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82382\Desktop\"/>
    </mc:Choice>
  </mc:AlternateContent>
  <xr:revisionPtr revIDLastSave="0" documentId="13_ncr:1_{5CD2E55A-4460-4449-9462-7249F60B5547}" xr6:coauthVersionLast="47" xr6:coauthVersionMax="47" xr10:uidLastSave="{00000000-0000-0000-0000-000000000000}"/>
  <bookViews>
    <workbookView xWindow="-120" yWindow="-120" windowWidth="38640" windowHeight="21240" tabRatio="832" activeTab="7" xr2:uid="{8A22698F-937C-4E35-82D8-20DE6E185F88}"/>
  </bookViews>
  <sheets>
    <sheet name="Valuation--&gt;" sheetId="23" r:id="rId1"/>
    <sheet name="PB_CACHE" sheetId="28" state="veryHidden" r:id="rId2"/>
    <sheet name="Assumptions" sheetId="25" r:id="rId3"/>
    <sheet name="Financials" sheetId="27" r:id="rId4"/>
    <sheet name="DCF" sheetId="3" r:id="rId5"/>
    <sheet name="Multiples" sheetId="18" r:id="rId6"/>
    <sheet name="DDM" sheetId="14" r:id="rId7"/>
    <sheet name="Summary" sheetId="6" r:id="rId8"/>
    <sheet name="IS Summary" sheetId="5" r:id="rId9"/>
    <sheet name="Addtl Support--&gt;" sheetId="22" r:id="rId10"/>
    <sheet name="Data_Input" sheetId="21" r:id="rId11"/>
    <sheet name="Data Visualisation" sheetId="20" r:id="rId12"/>
  </sheets>
  <definedNames>
    <definedName name="Annual_Periods">OFFSET(Financials!$E$6,0,1):OFFSET(Financials!$O$6,0,-1)</definedName>
    <definedName name="BS_End">Financials!$B$97</definedName>
    <definedName name="BS_Start">Financials!$B$51</definedName>
    <definedName name="CIQWBGuid" hidden="1">"Project Friend - Projections and Model.xlsx"</definedName>
    <definedName name="Comp_Name">Assumptions!$B$2</definedName>
    <definedName name="Cost_of_Debt">Assumptions!$B$15</definedName>
    <definedName name="Cost_of_Equity">Assumptions!$B$22</definedName>
    <definedName name="Country_RP">Assumptions!$B$19</definedName>
    <definedName name="Current_Price">Assumptions!$B$4</definedName>
    <definedName name="DCF_Enterprise_Value">DCF!$C$52</definedName>
    <definedName name="DCF_Enterprise_Value_PerShare">DCF!$D$52</definedName>
    <definedName name="DCF_Equity_Value">DCF!$C$54</definedName>
    <definedName name="DCF_Equity_Value_PerShare">DCF!$D$54</definedName>
    <definedName name="Debt_Adj_Factor">Assumptions!$B$13</definedName>
    <definedName name="Debt_MV">Assumptions!$B$28</definedName>
    <definedName name="Equity_Beta">Assumptions!$B$21</definedName>
    <definedName name="Equity_MV">Assumptions!$B$27</definedName>
    <definedName name="Equity_Risk_Premium">Assumptions!$B$18</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44280.7903587963</definedName>
    <definedName name="IQ_QTD" hidden="1">750000</definedName>
    <definedName name="IQ_TODAY" hidden="1">0</definedName>
    <definedName name="IQ_YTDMONTH" hidden="1">130000</definedName>
    <definedName name="_xlnm.Print_Area" localSheetId="4">DCF!$A$1:$I$54</definedName>
    <definedName name="_xlnm.Print_Area" localSheetId="6">DDM!$A$1:$F$15</definedName>
    <definedName name="_xlnm.Print_Area" localSheetId="8">'IS Summary'!$A$1:$J$17</definedName>
    <definedName name="_xlnm.Print_Area" localSheetId="5">Multiples!$A$1:$Q$30</definedName>
    <definedName name="_xlnm.Print_Area" localSheetId="7">Summary!$B$1:$L$29</definedName>
    <definedName name="Risk_Free_Rate">Assumptions!$B$12</definedName>
    <definedName name="Scale_Symbol">Assumptions!$D$6</definedName>
    <definedName name="Scaler">Assumptions!$C$6</definedName>
    <definedName name="Shares_Out">Assumptions!$B$25</definedName>
    <definedName name="Size_RP">Assumptions!$B$20</definedName>
    <definedName name="Tax_Rate">Assumptions!$B$14</definedName>
    <definedName name="Terminal_Rate">Assumptions!$B$33</definedName>
    <definedName name="Total_Capitalization">Assumptions!$B$29</definedName>
    <definedName name="WACC">Assumptions!$C$30</definedName>
    <definedName name="WACC_Override">DCF!$L$27</definedName>
  </definedNames>
  <calcPr calcId="191028"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3" i="27" l="1"/>
  <c r="G180" i="27"/>
  <c r="B22" i="25" l="1"/>
  <c r="J121" i="27"/>
  <c r="K121" i="27" l="1"/>
  <c r="L121" i="27" s="1"/>
  <c r="M121" i="27" l="1"/>
  <c r="N121" i="27" s="1"/>
  <c r="J94" i="27"/>
  <c r="F49" i="27"/>
  <c r="J35" i="27"/>
  <c r="K35" i="27" s="1"/>
  <c r="I183" i="27"/>
  <c r="J55" i="27"/>
  <c r="K55" i="27" s="1"/>
  <c r="L55" i="27" s="1"/>
  <c r="M55" i="27" s="1"/>
  <c r="N55" i="27" s="1"/>
  <c r="F60" i="27"/>
  <c r="G60" i="27"/>
  <c r="H60" i="27"/>
  <c r="I60" i="27"/>
  <c r="J64" i="27"/>
  <c r="K64" i="27" s="1"/>
  <c r="L64" i="27" s="1"/>
  <c r="M64" i="27" s="1"/>
  <c r="N64" i="27" s="1"/>
  <c r="I102" i="27"/>
  <c r="F125" i="27"/>
  <c r="G123" i="27" s="1"/>
  <c r="L35" i="27" l="1"/>
  <c r="M35" i="27" s="1"/>
  <c r="N35" i="27" s="1"/>
  <c r="K37" i="27"/>
  <c r="F124" i="27"/>
  <c r="H183" i="27" l="1"/>
  <c r="I180" i="27" s="1"/>
  <c r="G102" i="27"/>
  <c r="H37" i="27" l="1"/>
  <c r="F37" i="27"/>
  <c r="Q8" i="18"/>
  <c r="Q9" i="18"/>
  <c r="Q10" i="18"/>
  <c r="Q7" i="18"/>
  <c r="P8" i="18"/>
  <c r="P9" i="18"/>
  <c r="P10" i="18"/>
  <c r="P7" i="18"/>
  <c r="I125" i="27" l="1"/>
  <c r="F102" i="27" l="1"/>
  <c r="J37" i="27"/>
  <c r="J77" i="27" l="1"/>
  <c r="K77" i="27" s="1"/>
  <c r="L77" i="27" s="1"/>
  <c r="M77" i="27" s="1"/>
  <c r="N77" i="27" s="1"/>
  <c r="K94" i="27"/>
  <c r="L94" i="27" s="1"/>
  <c r="M94" i="27" s="1"/>
  <c r="N94" i="27" s="1"/>
  <c r="J92" i="27"/>
  <c r="K92" i="27" s="1"/>
  <c r="L92" i="27" s="1"/>
  <c r="M92" i="27" s="1"/>
  <c r="N92" i="27" s="1"/>
  <c r="J91" i="27"/>
  <c r="K91" i="27" s="1"/>
  <c r="L91" i="27" s="1"/>
  <c r="M91" i="27" s="1"/>
  <c r="N91" i="27" s="1"/>
  <c r="J85" i="27"/>
  <c r="K85" i="27" s="1"/>
  <c r="L85" i="27" s="1"/>
  <c r="M85" i="27" s="1"/>
  <c r="N85" i="27" s="1"/>
  <c r="J84" i="27"/>
  <c r="K84" i="27" s="1"/>
  <c r="L84" i="27" s="1"/>
  <c r="M84" i="27" s="1"/>
  <c r="N84" i="27" s="1"/>
  <c r="J83" i="27"/>
  <c r="K83" i="27" s="1"/>
  <c r="L83" i="27" s="1"/>
  <c r="M83" i="27" s="1"/>
  <c r="N83" i="27" s="1"/>
  <c r="J66" i="27" l="1"/>
  <c r="K66" i="27" s="1"/>
  <c r="L66" i="27" s="1"/>
  <c r="M66" i="27" s="1"/>
  <c r="N66" i="27" s="1"/>
  <c r="J65" i="27"/>
  <c r="K65" i="27" s="1"/>
  <c r="L65" i="27" s="1"/>
  <c r="M65" i="27" s="1"/>
  <c r="N65" i="27" s="1"/>
  <c r="J10" i="27" l="1"/>
  <c r="J27" i="27" l="1"/>
  <c r="J25" i="27"/>
  <c r="K10" i="27"/>
  <c r="G49" i="27"/>
  <c r="K27" i="27" l="1"/>
  <c r="L10" i="27"/>
  <c r="K25" i="27"/>
  <c r="L27" i="27" l="1"/>
  <c r="M10" i="27"/>
  <c r="L25" i="27"/>
  <c r="C33" i="25"/>
  <c r="M27" i="27" l="1"/>
  <c r="N10" i="27"/>
  <c r="M25" i="27"/>
  <c r="F6" i="27"/>
  <c r="N25" i="27" l="1"/>
  <c r="N27" i="27"/>
  <c r="E31" i="3"/>
  <c r="E41" i="3" s="1"/>
  <c r="F41" i="3" s="1"/>
  <c r="G41" i="3" s="1"/>
  <c r="H41" i="3" s="1"/>
  <c r="I41" i="3" s="1"/>
  <c r="G6" i="27"/>
  <c r="H6" i="27" s="1"/>
  <c r="I6" i="27" s="1"/>
  <c r="J6" i="27" s="1"/>
  <c r="K6" i="27" s="1"/>
  <c r="L6" i="27" s="1"/>
  <c r="M6" i="27" s="1"/>
  <c r="N6" i="27" s="1"/>
  <c r="A2" i="5"/>
  <c r="B35" i="6"/>
  <c r="B34" i="6"/>
  <c r="B33" i="6"/>
  <c r="H25" i="6"/>
  <c r="C3" i="6"/>
  <c r="B9" i="14"/>
  <c r="C9" i="14" s="1"/>
  <c r="C11" i="14" s="1"/>
  <c r="B4" i="14"/>
  <c r="B7" i="18" a="1"/>
  <c r="B7" i="18" s="1"/>
  <c r="B8" i="18" s="1"/>
  <c r="D3" i="18"/>
  <c r="G57" i="3"/>
  <c r="F57" i="3"/>
  <c r="E57" i="3"/>
  <c r="D57" i="3"/>
  <c r="C46" i="3"/>
  <c r="C25" i="3"/>
  <c r="C22" i="3"/>
  <c r="C18" i="3"/>
  <c r="C17" i="3"/>
  <c r="C13" i="3"/>
  <c r="C12" i="3"/>
  <c r="C11" i="3"/>
  <c r="C10" i="3"/>
  <c r="C9" i="3"/>
  <c r="B3" i="3"/>
  <c r="D217" i="27"/>
  <c r="D218" i="27" s="1"/>
  <c r="D219" i="27" s="1"/>
  <c r="D215" i="27"/>
  <c r="D214" i="27" s="1"/>
  <c r="D208" i="27"/>
  <c r="D209" i="27" s="1"/>
  <c r="D210" i="27" s="1"/>
  <c r="D206" i="27"/>
  <c r="I201" i="27"/>
  <c r="J199" i="27" s="1"/>
  <c r="J201" i="27" s="1"/>
  <c r="J82" i="27" s="1"/>
  <c r="H201" i="27"/>
  <c r="I199" i="27" s="1"/>
  <c r="G201" i="27"/>
  <c r="H199" i="27" s="1"/>
  <c r="F201" i="27"/>
  <c r="G199" i="27" s="1"/>
  <c r="I196" i="27"/>
  <c r="H196" i="27"/>
  <c r="G196" i="27"/>
  <c r="F196" i="27"/>
  <c r="F195" i="27" s="1"/>
  <c r="G194" i="27"/>
  <c r="I191" i="27"/>
  <c r="J189" i="27" s="1"/>
  <c r="J191" i="27" s="1"/>
  <c r="H191" i="27"/>
  <c r="I189" i="27" s="1"/>
  <c r="G191" i="27"/>
  <c r="H189" i="27" s="1"/>
  <c r="F191" i="27"/>
  <c r="G189" i="27" s="1"/>
  <c r="F185" i="27"/>
  <c r="J180" i="27"/>
  <c r="I185" i="27"/>
  <c r="G183" i="27"/>
  <c r="G185" i="27"/>
  <c r="I175" i="27"/>
  <c r="J173" i="27" s="1"/>
  <c r="H175" i="27"/>
  <c r="G175" i="27"/>
  <c r="F175" i="27"/>
  <c r="F174" i="27" s="1"/>
  <c r="I173" i="27"/>
  <c r="I169" i="27"/>
  <c r="J167" i="27" s="1"/>
  <c r="H169" i="27"/>
  <c r="G169" i="27"/>
  <c r="H167" i="27" s="1"/>
  <c r="F169" i="27"/>
  <c r="F168" i="27" s="1"/>
  <c r="I163" i="27"/>
  <c r="J161" i="27" s="1"/>
  <c r="H163" i="27"/>
  <c r="I161" i="27" s="1"/>
  <c r="G163" i="27"/>
  <c r="H161" i="27" s="1"/>
  <c r="F163" i="27"/>
  <c r="F162" i="27" s="1"/>
  <c r="I157" i="27"/>
  <c r="J155" i="27" s="1"/>
  <c r="H157" i="27"/>
  <c r="I155" i="27" s="1"/>
  <c r="G157" i="27"/>
  <c r="H155" i="27" s="1"/>
  <c r="F157" i="27"/>
  <c r="G155" i="27" s="1"/>
  <c r="I151" i="27"/>
  <c r="J149" i="27" s="1"/>
  <c r="H151" i="27"/>
  <c r="I149" i="27" s="1"/>
  <c r="G151" i="27"/>
  <c r="H149" i="27" s="1"/>
  <c r="F151" i="27"/>
  <c r="F150" i="27" s="1"/>
  <c r="I145" i="27"/>
  <c r="H145" i="27"/>
  <c r="I143" i="27" s="1"/>
  <c r="G145" i="27"/>
  <c r="H143" i="27" s="1"/>
  <c r="F145" i="27"/>
  <c r="F144" i="27" s="1"/>
  <c r="I139" i="27"/>
  <c r="J137" i="27" s="1"/>
  <c r="H139" i="27"/>
  <c r="I137" i="27" s="1"/>
  <c r="G139" i="27"/>
  <c r="F139" i="27"/>
  <c r="G137" i="27" s="1"/>
  <c r="J123" i="27"/>
  <c r="H125" i="27"/>
  <c r="I123" i="27" s="1"/>
  <c r="I124" i="27" s="1"/>
  <c r="G125" i="27"/>
  <c r="H102" i="27"/>
  <c r="F103" i="27"/>
  <c r="I95" i="27"/>
  <c r="H95" i="27"/>
  <c r="G95" i="27"/>
  <c r="F95" i="27"/>
  <c r="I86" i="27"/>
  <c r="H86" i="27"/>
  <c r="G86" i="27"/>
  <c r="F86" i="27"/>
  <c r="I79" i="27"/>
  <c r="H79" i="27"/>
  <c r="G79" i="27"/>
  <c r="F79" i="27"/>
  <c r="I67" i="27"/>
  <c r="H67" i="27"/>
  <c r="G67" i="27"/>
  <c r="F67" i="27"/>
  <c r="I49" i="27"/>
  <c r="J46" i="27" s="1"/>
  <c r="H49" i="27"/>
  <c r="N37" i="27"/>
  <c r="M37" i="27"/>
  <c r="L37" i="27"/>
  <c r="I37" i="27"/>
  <c r="G37" i="27"/>
  <c r="I18" i="27"/>
  <c r="H18" i="27"/>
  <c r="G18" i="27"/>
  <c r="F18" i="27"/>
  <c r="I12" i="27"/>
  <c r="H12" i="27"/>
  <c r="G12" i="27"/>
  <c r="F12" i="27"/>
  <c r="D33" i="25"/>
  <c r="B15" i="25"/>
  <c r="C19" i="3" s="1"/>
  <c r="D6" i="25"/>
  <c r="A25" i="25" s="1"/>
  <c r="B22" i="3" s="1"/>
  <c r="C6" i="25"/>
  <c r="B4" i="25" a="1"/>
  <c r="B4" i="25" s="1"/>
  <c r="I103" i="27" l="1"/>
  <c r="I108" i="27" s="1"/>
  <c r="H19" i="27"/>
  <c r="G19" i="27"/>
  <c r="I184" i="27"/>
  <c r="I19" i="27"/>
  <c r="I26" i="27" s="1"/>
  <c r="I28" i="27" s="1"/>
  <c r="G184" i="27"/>
  <c r="F19" i="27"/>
  <c r="F26" i="27" s="1"/>
  <c r="F28" i="27" s="1"/>
  <c r="F29" i="27" s="1"/>
  <c r="F38" i="27" s="1"/>
  <c r="I200" i="27"/>
  <c r="I174" i="27"/>
  <c r="G173" i="27"/>
  <c r="G174" i="27" s="1"/>
  <c r="H123" i="27"/>
  <c r="H124" i="27" s="1"/>
  <c r="G124" i="27"/>
  <c r="H180" i="27"/>
  <c r="H185" i="27" s="1"/>
  <c r="F156" i="27"/>
  <c r="H200" i="27"/>
  <c r="H13" i="27"/>
  <c r="K189" i="27"/>
  <c r="K191" i="27" s="1"/>
  <c r="J75" i="27"/>
  <c r="G200" i="27"/>
  <c r="G149" i="27"/>
  <c r="G152" i="27" s="1"/>
  <c r="I190" i="27"/>
  <c r="G167" i="27"/>
  <c r="G170" i="27" s="1"/>
  <c r="F200" i="27"/>
  <c r="H184" i="27"/>
  <c r="F31" i="3"/>
  <c r="G31" i="3" s="1"/>
  <c r="H31" i="3" s="1"/>
  <c r="I31" i="3" s="1"/>
  <c r="B11" i="14"/>
  <c r="G103" i="27"/>
  <c r="G190" i="27"/>
  <c r="G143" i="27"/>
  <c r="G144" i="27" s="1"/>
  <c r="H103" i="27"/>
  <c r="B9" i="18"/>
  <c r="B13" i="18"/>
  <c r="K12" i="27"/>
  <c r="G195" i="27"/>
  <c r="H88" i="27"/>
  <c r="H97" i="27" s="1"/>
  <c r="I88" i="27"/>
  <c r="I97" i="27" s="1"/>
  <c r="I146" i="27"/>
  <c r="I164" i="27"/>
  <c r="F88" i="27"/>
  <c r="F97" i="27" s="1"/>
  <c r="H168" i="27"/>
  <c r="G88" i="27"/>
  <c r="G97" i="27" s="1"/>
  <c r="H69" i="27"/>
  <c r="I69" i="27"/>
  <c r="H190" i="27"/>
  <c r="I144" i="27"/>
  <c r="F27" i="6"/>
  <c r="I8" i="3"/>
  <c r="B27" i="25"/>
  <c r="Z6" i="27" a="1"/>
  <c r="Z6" i="27" s="1"/>
  <c r="AA6" i="27" s="1"/>
  <c r="AB6" i="27" s="1"/>
  <c r="AC6" i="27" s="1"/>
  <c r="AD6" i="27" s="1"/>
  <c r="F140" i="27"/>
  <c r="F184" i="27"/>
  <c r="F152" i="27"/>
  <c r="H146" i="27"/>
  <c r="H170" i="27"/>
  <c r="I152" i="27"/>
  <c r="I140" i="27"/>
  <c r="J12" i="27"/>
  <c r="B17" i="18"/>
  <c r="B12" i="18"/>
  <c r="G140" i="27"/>
  <c r="H152" i="27"/>
  <c r="H150" i="27"/>
  <c r="F170" i="27"/>
  <c r="G138" i="27"/>
  <c r="G46" i="27"/>
  <c r="F69" i="27"/>
  <c r="E9" i="14"/>
  <c r="E11" i="14" s="1"/>
  <c r="G69" i="27"/>
  <c r="I158" i="27"/>
  <c r="B3" i="14"/>
  <c r="C14" i="3"/>
  <c r="G158" i="27"/>
  <c r="A26" i="25"/>
  <c r="B23" i="3" s="1"/>
  <c r="F13" i="27"/>
  <c r="H158" i="27"/>
  <c r="H156" i="27"/>
  <c r="J86" i="27"/>
  <c r="K199" i="27"/>
  <c r="K201" i="27" s="1"/>
  <c r="K82" i="27" s="1"/>
  <c r="G13" i="27"/>
  <c r="F146" i="27"/>
  <c r="A1" i="5"/>
  <c r="B29" i="3"/>
  <c r="I13" i="27"/>
  <c r="F176" i="27"/>
  <c r="F164" i="27"/>
  <c r="P6" i="27" a="1"/>
  <c r="S41" i="27" s="1" a="1"/>
  <c r="S41" i="27" s="1"/>
  <c r="H164" i="27"/>
  <c r="H162" i="27"/>
  <c r="H137" i="27"/>
  <c r="H140" i="27" s="1"/>
  <c r="J143" i="27"/>
  <c r="I176" i="27"/>
  <c r="D9" i="14"/>
  <c r="D11" i="14" s="1"/>
  <c r="G156" i="27"/>
  <c r="I162" i="27"/>
  <c r="F9" i="14"/>
  <c r="F158" i="27"/>
  <c r="I156" i="27"/>
  <c r="H173" i="27"/>
  <c r="H194" i="27"/>
  <c r="H195" i="27" s="1"/>
  <c r="I150" i="27"/>
  <c r="I194" i="27"/>
  <c r="I195" i="27" s="1"/>
  <c r="F138" i="27"/>
  <c r="H144" i="27"/>
  <c r="G161" i="27"/>
  <c r="G164" i="27" s="1"/>
  <c r="I167" i="27"/>
  <c r="I170" i="27" s="1"/>
  <c r="F190" i="27"/>
  <c r="J194" i="27"/>
  <c r="J196" i="27" s="1"/>
  <c r="J76" i="27" s="1"/>
  <c r="I138" i="27"/>
  <c r="K21" i="6"/>
  <c r="H46" i="27"/>
  <c r="I46" i="27"/>
  <c r="J184" i="27" l="1"/>
  <c r="J181" i="27" s="1"/>
  <c r="J113" i="27" s="1"/>
  <c r="J114" i="27" s="1"/>
  <c r="N184" i="27"/>
  <c r="K184" i="27"/>
  <c r="L184" i="27"/>
  <c r="M184" i="27"/>
  <c r="J182" i="27"/>
  <c r="J23" i="27"/>
  <c r="T23" i="27" s="1" a="1"/>
  <c r="T23" i="27" s="1"/>
  <c r="J24" i="27"/>
  <c r="T24" i="27" s="1" a="1"/>
  <c r="T24" i="27" s="1"/>
  <c r="G176" i="27"/>
  <c r="I99" i="27"/>
  <c r="L189" i="27"/>
  <c r="L191" i="27" s="1"/>
  <c r="L75" i="27" s="1"/>
  <c r="K75" i="27"/>
  <c r="K23" i="27"/>
  <c r="U23" i="27" s="1" a="1"/>
  <c r="U23" i="27" s="1"/>
  <c r="K24" i="27"/>
  <c r="U24" i="27" s="1" a="1"/>
  <c r="U24" i="27" s="1"/>
  <c r="J16" i="27"/>
  <c r="J18" i="27" s="1"/>
  <c r="T18" i="27" s="1" a="1"/>
  <c r="T18" i="27" s="1"/>
  <c r="K16" i="27"/>
  <c r="K18" i="27" s="1"/>
  <c r="G168" i="27"/>
  <c r="G150" i="27"/>
  <c r="F20" i="27"/>
  <c r="F30" i="27"/>
  <c r="G146" i="27"/>
  <c r="N17" i="18"/>
  <c r="M17" i="18"/>
  <c r="K17" i="18"/>
  <c r="J17" i="18"/>
  <c r="E17" i="18"/>
  <c r="H17" i="18"/>
  <c r="G17" i="18"/>
  <c r="D17" i="18"/>
  <c r="B10" i="18"/>
  <c r="B15" i="18" s="1"/>
  <c r="B14" i="18"/>
  <c r="G99" i="27"/>
  <c r="H99" i="27"/>
  <c r="F99" i="27"/>
  <c r="I168" i="27"/>
  <c r="B18" i="18"/>
  <c r="G162" i="27"/>
  <c r="B3" i="5" a="1"/>
  <c r="G26" i="27"/>
  <c r="Q26" i="27" s="1" a="1"/>
  <c r="Q26" i="27" s="1"/>
  <c r="G20" i="27"/>
  <c r="J157" i="27"/>
  <c r="J59" i="27" s="1"/>
  <c r="J139" i="27"/>
  <c r="J56" i="27" s="1"/>
  <c r="J151" i="27"/>
  <c r="J58" i="27" s="1"/>
  <c r="J13" i="27"/>
  <c r="H176" i="27"/>
  <c r="H174" i="27"/>
  <c r="K157" i="27"/>
  <c r="K59" i="27" s="1"/>
  <c r="K139" i="27"/>
  <c r="K56" i="27" s="1"/>
  <c r="K151" i="27"/>
  <c r="K58" i="27" s="1"/>
  <c r="K13" i="27"/>
  <c r="H20" i="27"/>
  <c r="H26" i="27"/>
  <c r="R26" i="27" s="1" a="1"/>
  <c r="R26" i="27" s="1"/>
  <c r="H138" i="27"/>
  <c r="S37" i="27" a="1"/>
  <c r="S37" i="27" s="1"/>
  <c r="R24" i="27" a="1"/>
  <c r="R24" i="27" s="1"/>
  <c r="Q35" i="27" a="1"/>
  <c r="Q35" i="27" s="1"/>
  <c r="R34" i="27" a="1"/>
  <c r="R34" i="27" s="1"/>
  <c r="R37" i="27" a="1"/>
  <c r="R37" i="27" s="1"/>
  <c r="Q34" i="27" a="1"/>
  <c r="Q34" i="27" s="1"/>
  <c r="R41" i="27" a="1"/>
  <c r="R41" i="27" s="1"/>
  <c r="Q41" i="27" a="1"/>
  <c r="Q41" i="27" s="1"/>
  <c r="R36" i="27" a="1"/>
  <c r="R36" i="27" s="1"/>
  <c r="S35" i="27" a="1"/>
  <c r="S35" i="27" s="1"/>
  <c r="Q36" i="27" a="1"/>
  <c r="Q36" i="27" s="1"/>
  <c r="R35" i="27" a="1"/>
  <c r="R35" i="27" s="1"/>
  <c r="S34" i="27" a="1"/>
  <c r="S34" i="27" s="1"/>
  <c r="Q27" i="27" a="1"/>
  <c r="Q27" i="27" s="1"/>
  <c r="U35" i="27" a="1"/>
  <c r="U35" i="27" s="1"/>
  <c r="R23" i="27" a="1"/>
  <c r="R23" i="27" s="1"/>
  <c r="Q17" i="27" a="1"/>
  <c r="Q17" i="27" s="1"/>
  <c r="S16" i="27" a="1"/>
  <c r="S16" i="27" s="1"/>
  <c r="R12" i="27" a="1"/>
  <c r="R12" i="27" s="1"/>
  <c r="Q16" i="27" a="1"/>
  <c r="Q16" i="27" s="1"/>
  <c r="T35" i="27" a="1"/>
  <c r="T35" i="27" s="1"/>
  <c r="Q23" i="27" a="1"/>
  <c r="Q23" i="27" s="1"/>
  <c r="S18" i="27" a="1"/>
  <c r="S18" i="27" s="1"/>
  <c r="U37" i="27" a="1"/>
  <c r="U37" i="27" s="1"/>
  <c r="R16" i="27" a="1"/>
  <c r="R16" i="27" s="1"/>
  <c r="T37" i="27" a="1"/>
  <c r="T37" i="27" s="1"/>
  <c r="U36" i="27" a="1"/>
  <c r="U36" i="27" s="1"/>
  <c r="Q12" i="27" a="1"/>
  <c r="Q12" i="27" s="1"/>
  <c r="Q18" i="27" a="1"/>
  <c r="Q18" i="27" s="1"/>
  <c r="T25" i="27" a="1"/>
  <c r="T25" i="27" s="1"/>
  <c r="R18" i="27" a="1"/>
  <c r="R18" i="27" s="1"/>
  <c r="Q37" i="27" a="1"/>
  <c r="Q37" i="27" s="1"/>
  <c r="U27" i="27" a="1"/>
  <c r="U27" i="27" s="1"/>
  <c r="Q19" i="27" a="1"/>
  <c r="Q19" i="27" s="1"/>
  <c r="U25" i="27" a="1"/>
  <c r="U25" i="27" s="1"/>
  <c r="T36" i="27" a="1"/>
  <c r="T36" i="27" s="1"/>
  <c r="S36" i="27" a="1"/>
  <c r="S36" i="27" s="1"/>
  <c r="S27" i="27" a="1"/>
  <c r="S27" i="27" s="1"/>
  <c r="S25" i="27" a="1"/>
  <c r="S25" i="27" s="1"/>
  <c r="S19" i="27" a="1"/>
  <c r="S19" i="27" s="1"/>
  <c r="U17" i="27" a="1"/>
  <c r="U17" i="27" s="1"/>
  <c r="U12" i="27" a="1"/>
  <c r="U12" i="27" s="1"/>
  <c r="S17" i="27" a="1"/>
  <c r="S17" i="27" s="1"/>
  <c r="Q24" i="27" a="1"/>
  <c r="Q24" i="27" s="1"/>
  <c r="R27" i="27" a="1"/>
  <c r="R27" i="27" s="1"/>
  <c r="R25" i="27" a="1"/>
  <c r="R25" i="27" s="1"/>
  <c r="S24" i="27" a="1"/>
  <c r="S24" i="27" s="1"/>
  <c r="R19" i="27" a="1"/>
  <c r="R19" i="27" s="1"/>
  <c r="T17" i="27" a="1"/>
  <c r="T17" i="27" s="1"/>
  <c r="U34" i="27" a="1"/>
  <c r="U34" i="27" s="1"/>
  <c r="Q25" i="27" a="1"/>
  <c r="Q25" i="27" s="1"/>
  <c r="T34" i="27" a="1"/>
  <c r="T34" i="27" s="1"/>
  <c r="S23" i="27" a="1"/>
  <c r="S23" i="27" s="1"/>
  <c r="R17" i="27" a="1"/>
  <c r="R17" i="27" s="1"/>
  <c r="T12" i="27" a="1"/>
  <c r="T12" i="27" s="1"/>
  <c r="P6" i="27"/>
  <c r="P41" i="27" s="1" a="1"/>
  <c r="P41" i="27" s="1"/>
  <c r="S12" i="27" a="1"/>
  <c r="S12" i="27" s="1"/>
  <c r="T27" i="27" a="1"/>
  <c r="T27" i="27" s="1"/>
  <c r="K86" i="27"/>
  <c r="L199" i="27"/>
  <c r="L201" i="27" s="1"/>
  <c r="L82" i="27" s="1"/>
  <c r="C24" i="3"/>
  <c r="B29" i="25"/>
  <c r="C27" i="25" s="1"/>
  <c r="K194" i="27"/>
  <c r="K196" i="27" s="1"/>
  <c r="K76" i="27" s="1"/>
  <c r="F10" i="14"/>
  <c r="F11" i="14" s="1"/>
  <c r="F13" i="14" s="1"/>
  <c r="F14" i="14" s="1"/>
  <c r="F24" i="6" s="1"/>
  <c r="I20" i="27"/>
  <c r="J19" i="27" l="1"/>
  <c r="J26" i="27" s="1"/>
  <c r="K18" i="18"/>
  <c r="J18" i="18"/>
  <c r="M189" i="27"/>
  <c r="M191" i="27" s="1"/>
  <c r="M75" i="27" s="1"/>
  <c r="U16" i="27" a="1"/>
  <c r="U16" i="27" s="1"/>
  <c r="K163" i="27"/>
  <c r="K169" i="27"/>
  <c r="K175" i="27"/>
  <c r="K19" i="27"/>
  <c r="U19" i="27" s="1" a="1"/>
  <c r="U19" i="27" s="1"/>
  <c r="K145" i="27"/>
  <c r="K57" i="27" s="1"/>
  <c r="U18" i="27" a="1"/>
  <c r="U18" i="27" s="1"/>
  <c r="N18" i="18"/>
  <c r="M18" i="18"/>
  <c r="H18" i="18"/>
  <c r="G18" i="18"/>
  <c r="E18" i="18"/>
  <c r="D18" i="18"/>
  <c r="Q17" i="18"/>
  <c r="P17" i="18"/>
  <c r="T16" i="27" a="1"/>
  <c r="T16" i="27" s="1"/>
  <c r="C51" i="3"/>
  <c r="D51" i="3" s="1"/>
  <c r="D36" i="3"/>
  <c r="D38" i="3"/>
  <c r="E38" i="3"/>
  <c r="D37" i="3"/>
  <c r="C53" i="3"/>
  <c r="D53" i="3" s="1"/>
  <c r="K22" i="6"/>
  <c r="L22" i="6" s="1"/>
  <c r="L12" i="27"/>
  <c r="G24" i="6"/>
  <c r="E24" i="6"/>
  <c r="D35" i="6" s="1"/>
  <c r="E35" i="6" s="1"/>
  <c r="H28" i="27"/>
  <c r="D12" i="5" s="1"/>
  <c r="H30" i="27"/>
  <c r="K149" i="27"/>
  <c r="K150" i="27" s="1"/>
  <c r="J150" i="27"/>
  <c r="J138" i="27"/>
  <c r="K137" i="27"/>
  <c r="K138" i="27" s="1"/>
  <c r="K155" i="27"/>
  <c r="K156" i="27" s="1"/>
  <c r="J156" i="27"/>
  <c r="L194" i="27"/>
  <c r="L196" i="27" s="1"/>
  <c r="L76" i="27" s="1"/>
  <c r="C26" i="3"/>
  <c r="D25" i="3" s="1"/>
  <c r="C28" i="25"/>
  <c r="C30" i="25" s="1"/>
  <c r="J163" i="27"/>
  <c r="J73" i="27" s="1"/>
  <c r="J169" i="27"/>
  <c r="J74" i="27" s="1"/>
  <c r="J175" i="27"/>
  <c r="J145" i="27"/>
  <c r="J57" i="27" s="1"/>
  <c r="I30" i="27"/>
  <c r="L149" i="27"/>
  <c r="L137" i="27"/>
  <c r="G28" i="27"/>
  <c r="G30" i="27"/>
  <c r="L155" i="27"/>
  <c r="B19" i="18"/>
  <c r="C7" i="5"/>
  <c r="F5" i="5"/>
  <c r="E5" i="5"/>
  <c r="G8" i="5"/>
  <c r="J6" i="5"/>
  <c r="D5" i="5"/>
  <c r="F8" i="5"/>
  <c r="I6" i="5"/>
  <c r="C5" i="5"/>
  <c r="E8" i="5"/>
  <c r="H6" i="5"/>
  <c r="D8" i="5"/>
  <c r="G6" i="5"/>
  <c r="B3" i="5"/>
  <c r="C8" i="5"/>
  <c r="F6" i="5"/>
  <c r="E6" i="5"/>
  <c r="D6" i="5"/>
  <c r="C6" i="5"/>
  <c r="G7" i="5"/>
  <c r="J5" i="5"/>
  <c r="F7" i="5"/>
  <c r="I5" i="5"/>
  <c r="E7" i="5"/>
  <c r="H5" i="5"/>
  <c r="D7" i="5"/>
  <c r="G5" i="5"/>
  <c r="M199" i="27"/>
  <c r="M201" i="27" s="1"/>
  <c r="M82" i="27" s="1"/>
  <c r="L86" i="27"/>
  <c r="N12" i="27"/>
  <c r="M12" i="27"/>
  <c r="M24" i="27" s="1"/>
  <c r="S26" i="27" a="1"/>
  <c r="S26" i="27" s="1"/>
  <c r="P36" i="27" a="1"/>
  <c r="P36" i="27" s="1"/>
  <c r="P27" i="27" a="1"/>
  <c r="P27" i="27" s="1"/>
  <c r="P35" i="27" a="1"/>
  <c r="P35" i="27" s="1"/>
  <c r="P26" i="27" a="1"/>
  <c r="P26" i="27" s="1"/>
  <c r="P23" i="27" a="1"/>
  <c r="P23" i="27" s="1"/>
  <c r="P16" i="27" a="1"/>
  <c r="P16" i="27" s="1"/>
  <c r="P34" i="27" a="1"/>
  <c r="P34" i="27" s="1"/>
  <c r="P17" i="27" a="1"/>
  <c r="P17" i="27" s="1"/>
  <c r="P12" i="27" a="1"/>
  <c r="P12" i="27" s="1"/>
  <c r="P37" i="27" a="1"/>
  <c r="P37" i="27" s="1"/>
  <c r="P18" i="27" a="1"/>
  <c r="P18" i="27" s="1"/>
  <c r="P24" i="27" a="1"/>
  <c r="P24" i="27" s="1"/>
  <c r="P25" i="27" a="1"/>
  <c r="P25" i="27" s="1"/>
  <c r="P19" i="27" a="1"/>
  <c r="P19" i="27" s="1"/>
  <c r="J109" i="27" l="1"/>
  <c r="E37" i="3" s="1"/>
  <c r="J183" i="27"/>
  <c r="I29" i="27"/>
  <c r="I31" i="27" s="1"/>
  <c r="F31" i="27"/>
  <c r="J78" i="27"/>
  <c r="J102" i="27" s="1"/>
  <c r="J103" i="27" s="1"/>
  <c r="J108" i="27" s="1"/>
  <c r="J174" i="27"/>
  <c r="N189" i="27"/>
  <c r="N191" i="27" s="1"/>
  <c r="N75" i="27" s="1"/>
  <c r="L143" i="27"/>
  <c r="L161" i="27"/>
  <c r="K73" i="27"/>
  <c r="L167" i="27"/>
  <c r="K74" i="27"/>
  <c r="L173" i="27"/>
  <c r="K78" i="27"/>
  <c r="K26" i="27"/>
  <c r="K30" i="27" s="1"/>
  <c r="K20" i="27"/>
  <c r="N23" i="27"/>
  <c r="N24" i="27"/>
  <c r="X24" i="27" s="1" a="1"/>
  <c r="X24" i="27" s="1"/>
  <c r="L23" i="27"/>
  <c r="V23" i="27" s="1" a="1"/>
  <c r="V23" i="27" s="1"/>
  <c r="L24" i="27"/>
  <c r="V24" i="27" s="1" a="1"/>
  <c r="V24" i="27" s="1"/>
  <c r="M16" i="27"/>
  <c r="M23" i="27"/>
  <c r="W23" i="27" s="1" a="1"/>
  <c r="W23" i="27" s="1"/>
  <c r="J7" i="5"/>
  <c r="L7" i="5" s="1"/>
  <c r="N16" i="27"/>
  <c r="V25" i="27" a="1"/>
  <c r="V25" i="27" s="1"/>
  <c r="L16" i="27"/>
  <c r="L18" i="27" s="1"/>
  <c r="E12" i="5"/>
  <c r="N19" i="18"/>
  <c r="M19" i="18"/>
  <c r="K19" i="18"/>
  <c r="J19" i="18"/>
  <c r="H19" i="18"/>
  <c r="G19" i="18"/>
  <c r="E19" i="18"/>
  <c r="D19" i="18"/>
  <c r="P18" i="18"/>
  <c r="Q18" i="18"/>
  <c r="P28" i="27" a="1"/>
  <c r="P28" i="27" s="1"/>
  <c r="P29" i="27" a="1"/>
  <c r="P29" i="27" s="1"/>
  <c r="F42" i="27"/>
  <c r="H7" i="5"/>
  <c r="D24" i="3"/>
  <c r="D26" i="3" s="1"/>
  <c r="L151" i="27"/>
  <c r="L58" i="27" s="1"/>
  <c r="L139" i="27"/>
  <c r="L56" i="27" s="1"/>
  <c r="V36" i="27" a="1"/>
  <c r="V36" i="27" s="1"/>
  <c r="V17" i="27" a="1"/>
  <c r="V17" i="27" s="1"/>
  <c r="V34" i="27" a="1"/>
  <c r="V34" i="27" s="1"/>
  <c r="V12" i="27" a="1"/>
  <c r="V12" i="27" s="1"/>
  <c r="L13" i="27"/>
  <c r="V35" i="27" a="1"/>
  <c r="V35" i="27" s="1"/>
  <c r="V37" i="27" a="1"/>
  <c r="V37" i="27" s="1"/>
  <c r="L157" i="27"/>
  <c r="L59" i="27" s="1"/>
  <c r="V27" i="27" a="1"/>
  <c r="V27" i="27" s="1"/>
  <c r="I7" i="5"/>
  <c r="B61" i="3"/>
  <c r="D27" i="3"/>
  <c r="B35" i="25"/>
  <c r="B20" i="18"/>
  <c r="D9" i="5"/>
  <c r="K173" i="27"/>
  <c r="K174" i="27" s="1"/>
  <c r="K167" i="27"/>
  <c r="K168" i="27" s="1"/>
  <c r="J168" i="27"/>
  <c r="J144" i="27"/>
  <c r="K143" i="27"/>
  <c r="K144" i="27" s="1"/>
  <c r="J20" i="27"/>
  <c r="K23" i="6"/>
  <c r="L23" i="6" s="1"/>
  <c r="T19" i="27" a="1"/>
  <c r="T19" i="27" s="1"/>
  <c r="K161" i="27"/>
  <c r="K162" i="27" s="1"/>
  <c r="J162" i="27"/>
  <c r="E9" i="5"/>
  <c r="S28" i="27" a="1"/>
  <c r="S28" i="27" s="1"/>
  <c r="R28" i="27" a="1"/>
  <c r="R28" i="27" s="1"/>
  <c r="H29" i="27"/>
  <c r="N199" i="27"/>
  <c r="N201" i="27" s="1"/>
  <c r="M86" i="27"/>
  <c r="F9" i="5"/>
  <c r="M194" i="27"/>
  <c r="M196" i="27" s="1"/>
  <c r="M76" i="27" s="1"/>
  <c r="Q28" i="27" a="1"/>
  <c r="Q28" i="27" s="1"/>
  <c r="G29" i="27"/>
  <c r="C29" i="25"/>
  <c r="B7" i="14" a="1"/>
  <c r="B7" i="14" s="1"/>
  <c r="G9" i="5"/>
  <c r="M139" i="27"/>
  <c r="M56" i="27" s="1"/>
  <c r="M151" i="27"/>
  <c r="M58" i="27" s="1"/>
  <c r="M157" i="27"/>
  <c r="M59" i="27" s="1"/>
  <c r="M13" i="27"/>
  <c r="W24" i="27" a="1"/>
  <c r="W24" i="27" s="1"/>
  <c r="W37" i="27" a="1"/>
  <c r="W37" i="27" s="1"/>
  <c r="W17" i="27" a="1"/>
  <c r="W17" i="27" s="1"/>
  <c r="W35" i="27" a="1"/>
  <c r="W35" i="27" s="1"/>
  <c r="W34" i="27" a="1"/>
  <c r="W34" i="27" s="1"/>
  <c r="W25" i="27" a="1"/>
  <c r="W25" i="27" s="1"/>
  <c r="W36" i="27" a="1"/>
  <c r="W36" i="27" s="1"/>
  <c r="W12" i="27" a="1"/>
  <c r="W12" i="27" s="1"/>
  <c r="W27" i="27" a="1"/>
  <c r="W27" i="27" s="1"/>
  <c r="N139" i="27"/>
  <c r="N56" i="27" s="1"/>
  <c r="N151" i="27"/>
  <c r="N58" i="27" s="1"/>
  <c r="N157" i="27"/>
  <c r="N59" i="27" s="1"/>
  <c r="N13" i="27"/>
  <c r="X34" i="27" a="1"/>
  <c r="X34" i="27" s="1"/>
  <c r="X27" i="27" a="1"/>
  <c r="X27" i="27" s="1"/>
  <c r="X37" i="27" a="1"/>
  <c r="X37" i="27" s="1"/>
  <c r="X25" i="27" a="1"/>
  <c r="X25" i="27" s="1"/>
  <c r="X17" i="27" a="1"/>
  <c r="X17" i="27" s="1"/>
  <c r="X12" i="27" a="1"/>
  <c r="X12" i="27" s="1"/>
  <c r="X35" i="27" a="1"/>
  <c r="X35" i="27" s="1"/>
  <c r="X36" i="27" a="1"/>
  <c r="X36" i="27" s="1"/>
  <c r="C12" i="5"/>
  <c r="B7" i="5"/>
  <c r="B5" i="5"/>
  <c r="L5" i="5" s="1"/>
  <c r="B8" i="5"/>
  <c r="B6" i="5"/>
  <c r="B12" i="5"/>
  <c r="C9" i="5"/>
  <c r="J63" i="27" l="1"/>
  <c r="J67" i="27" s="1"/>
  <c r="K180" i="27"/>
  <c r="I38" i="27"/>
  <c r="I42" i="27" s="1"/>
  <c r="K102" i="27"/>
  <c r="K103" i="27" s="1"/>
  <c r="K79" i="27"/>
  <c r="K88" i="27" s="1"/>
  <c r="L156" i="27"/>
  <c r="L150" i="27"/>
  <c r="L138" i="27"/>
  <c r="N82" i="27"/>
  <c r="N86" i="27" s="1"/>
  <c r="U26" i="27" a="1"/>
  <c r="U26" i="27" s="1"/>
  <c r="K28" i="27"/>
  <c r="K29" i="27" s="1"/>
  <c r="P42" i="27" a="1"/>
  <c r="P42" i="27" s="1"/>
  <c r="F47" i="27"/>
  <c r="F48" i="27" s="1"/>
  <c r="N20" i="18"/>
  <c r="N21" i="18" s="1"/>
  <c r="M20" i="18"/>
  <c r="M21" i="18" s="1"/>
  <c r="K20" i="18"/>
  <c r="K21" i="18" s="1"/>
  <c r="J20" i="18"/>
  <c r="J21" i="18" s="1"/>
  <c r="H20" i="18"/>
  <c r="G20" i="18"/>
  <c r="E20" i="18"/>
  <c r="E21" i="18" s="1"/>
  <c r="D20" i="18"/>
  <c r="D21" i="18" s="1"/>
  <c r="P19" i="18"/>
  <c r="Q19" i="18"/>
  <c r="P38" i="27" a="1"/>
  <c r="P38" i="27" s="1"/>
  <c r="B16" i="5"/>
  <c r="B17" i="5" s="1"/>
  <c r="F43" i="27"/>
  <c r="M155" i="27"/>
  <c r="M156" i="27" s="1"/>
  <c r="M137" i="27"/>
  <c r="M138" i="27" s="1"/>
  <c r="V16" i="27" a="1"/>
  <c r="V16" i="27" s="1"/>
  <c r="M149" i="27"/>
  <c r="M150" i="27" s="1"/>
  <c r="J79" i="27"/>
  <c r="J88" i="27" s="1"/>
  <c r="H38" i="27"/>
  <c r="H31" i="27"/>
  <c r="R29" i="27" a="1"/>
  <c r="R29" i="27" s="1"/>
  <c r="N18" i="27"/>
  <c r="X16" i="27" a="1"/>
  <c r="X16" i="27" s="1"/>
  <c r="B9" i="5"/>
  <c r="L163" i="27"/>
  <c r="L73" i="27" s="1"/>
  <c r="L169" i="27"/>
  <c r="L74" i="27" s="1"/>
  <c r="L175" i="27"/>
  <c r="L78" i="27" s="1"/>
  <c r="L145" i="27"/>
  <c r="L57" i="27" s="1"/>
  <c r="V18" i="27" a="1"/>
  <c r="V18" i="27" s="1"/>
  <c r="L19" i="27"/>
  <c r="H8" i="5"/>
  <c r="H9" i="5" s="1"/>
  <c r="C13" i="5"/>
  <c r="C14" i="5" s="1"/>
  <c r="C10" i="5"/>
  <c r="F10" i="5"/>
  <c r="D33" i="3"/>
  <c r="S29" i="27" a="1"/>
  <c r="S29" i="27" s="1"/>
  <c r="J30" i="27"/>
  <c r="T26" i="27" a="1"/>
  <c r="T26" i="27" s="1"/>
  <c r="J28" i="27"/>
  <c r="J29" i="27" s="1"/>
  <c r="E13" i="5"/>
  <c r="E14" i="5" s="1"/>
  <c r="E10" i="5"/>
  <c r="X23" i="27" a="1"/>
  <c r="X23" i="27" s="1"/>
  <c r="N155" i="27"/>
  <c r="N156" i="27" s="1"/>
  <c r="G38" i="27"/>
  <c r="G31" i="27"/>
  <c r="Q29" i="27" a="1"/>
  <c r="Q29" i="27" s="1"/>
  <c r="N149" i="27"/>
  <c r="N150" i="27" s="1"/>
  <c r="I40" i="3"/>
  <c r="H40" i="3"/>
  <c r="G40" i="3"/>
  <c r="F40" i="3"/>
  <c r="E40" i="3"/>
  <c r="D40" i="3"/>
  <c r="N137" i="27"/>
  <c r="N138" i="27" s="1"/>
  <c r="D35" i="25"/>
  <c r="C35" i="25"/>
  <c r="M18" i="27"/>
  <c r="W16" i="27" a="1"/>
  <c r="W16" i="27" s="1"/>
  <c r="N194" i="27"/>
  <c r="N196" i="27" s="1"/>
  <c r="N76" i="27" s="1"/>
  <c r="D13" i="5"/>
  <c r="D14" i="5" s="1"/>
  <c r="D10" i="5"/>
  <c r="B62" i="3"/>
  <c r="B63" i="3" s="1"/>
  <c r="B64" i="3" s="1"/>
  <c r="B60" i="3"/>
  <c r="B59" i="3" s="1"/>
  <c r="B58" i="3" s="1"/>
  <c r="G10" i="5"/>
  <c r="K182" i="27" l="1"/>
  <c r="K109" i="27" s="1"/>
  <c r="F37" i="3" s="1"/>
  <c r="D25" i="18"/>
  <c r="U28" i="27" a="1"/>
  <c r="U28" i="27" s="1"/>
  <c r="G12" i="5"/>
  <c r="G13" i="5" s="1"/>
  <c r="G14" i="5" s="1"/>
  <c r="G21" i="18"/>
  <c r="P20" i="18"/>
  <c r="P21" i="18" s="1"/>
  <c r="H21" i="18"/>
  <c r="Q20" i="18"/>
  <c r="Q21" i="18" s="1"/>
  <c r="K108" i="27"/>
  <c r="M163" i="27"/>
  <c r="M73" i="27" s="1"/>
  <c r="M169" i="27"/>
  <c r="M74" i="27" s="1"/>
  <c r="M175" i="27"/>
  <c r="M78" i="27" s="1"/>
  <c r="M145" i="27"/>
  <c r="M57" i="27" s="1"/>
  <c r="W18" i="27" a="1"/>
  <c r="W18" i="27" s="1"/>
  <c r="I8" i="5"/>
  <c r="I9" i="5" s="1"/>
  <c r="M19" i="27"/>
  <c r="G42" i="27"/>
  <c r="Q38" i="27" a="1"/>
  <c r="Q38" i="27" s="1"/>
  <c r="H10" i="5"/>
  <c r="T28" i="27" a="1"/>
  <c r="T28" i="27" s="1"/>
  <c r="F12" i="5"/>
  <c r="F13" i="5" s="1"/>
  <c r="F14" i="5" s="1"/>
  <c r="J38" i="27"/>
  <c r="L20" i="27"/>
  <c r="L26" i="27"/>
  <c r="V19" i="27" a="1"/>
  <c r="V19" i="27" s="1"/>
  <c r="H42" i="27"/>
  <c r="R38" i="27" a="1"/>
  <c r="R38" i="27" s="1"/>
  <c r="M173" i="27"/>
  <c r="L174" i="27"/>
  <c r="D34" i="3"/>
  <c r="D35" i="3" s="1"/>
  <c r="D39" i="3" s="1"/>
  <c r="M167" i="27"/>
  <c r="L168" i="27"/>
  <c r="K38" i="27"/>
  <c r="K41" i="27" s="1"/>
  <c r="U41" i="27" s="1" a="1"/>
  <c r="U41" i="27" s="1"/>
  <c r="K31" i="27"/>
  <c r="F33" i="3"/>
  <c r="U29" i="27" a="1"/>
  <c r="U29" i="27" s="1"/>
  <c r="M161" i="27"/>
  <c r="L162" i="27"/>
  <c r="S38" i="27" a="1"/>
  <c r="S38" i="27" s="1"/>
  <c r="N169" i="27"/>
  <c r="N74" i="27" s="1"/>
  <c r="N175" i="27"/>
  <c r="N78" i="27" s="1"/>
  <c r="N145" i="27"/>
  <c r="N57" i="27" s="1"/>
  <c r="N163" i="27"/>
  <c r="N73" i="27" s="1"/>
  <c r="X18" i="27" a="1"/>
  <c r="X18" i="27" s="1"/>
  <c r="J8" i="5"/>
  <c r="J9" i="5" s="1"/>
  <c r="N19" i="27"/>
  <c r="L144" i="27"/>
  <c r="M143" i="27"/>
  <c r="B13" i="5"/>
  <c r="B14" i="5" s="1"/>
  <c r="B10" i="5"/>
  <c r="J41" i="27" l="1"/>
  <c r="T41" i="27" s="1" a="1"/>
  <c r="T41" i="27" s="1"/>
  <c r="D24" i="18"/>
  <c r="D27" i="18" s="1"/>
  <c r="F36" i="3"/>
  <c r="L102" i="27"/>
  <c r="L103" i="27" s="1"/>
  <c r="L108" i="27" s="1"/>
  <c r="G36" i="3" s="1"/>
  <c r="G43" i="27"/>
  <c r="G47" i="27"/>
  <c r="G48" i="27" s="1"/>
  <c r="Q42" i="27" a="1"/>
  <c r="Q42" i="27" s="1"/>
  <c r="C16" i="5"/>
  <c r="C17" i="5" s="1"/>
  <c r="N173" i="27"/>
  <c r="N174" i="27" s="1"/>
  <c r="M174" i="27"/>
  <c r="I47" i="27"/>
  <c r="I48" i="27" s="1"/>
  <c r="I43" i="27"/>
  <c r="S42" i="27" a="1"/>
  <c r="S42" i="27" s="1"/>
  <c r="E16" i="5"/>
  <c r="E17" i="5" s="1"/>
  <c r="L79" i="27"/>
  <c r="L88" i="27" s="1"/>
  <c r="M20" i="27"/>
  <c r="M26" i="27"/>
  <c r="W19" i="27" a="1"/>
  <c r="W19" i="27" s="1"/>
  <c r="H47" i="27"/>
  <c r="H48" i="27" s="1"/>
  <c r="H43" i="27"/>
  <c r="R42" i="27" a="1"/>
  <c r="R42" i="27" s="1"/>
  <c r="D16" i="5"/>
  <c r="D17" i="5" s="1"/>
  <c r="L30" i="27"/>
  <c r="V26" i="27" a="1"/>
  <c r="V26" i="27" s="1"/>
  <c r="L28" i="27"/>
  <c r="N167" i="27"/>
  <c r="N168" i="27" s="1"/>
  <c r="M168" i="27"/>
  <c r="N161" i="27"/>
  <c r="N162" i="27" s="1"/>
  <c r="M162" i="27"/>
  <c r="I10" i="5"/>
  <c r="J31" i="27"/>
  <c r="E33" i="3"/>
  <c r="K24" i="6"/>
  <c r="L24" i="6" s="1"/>
  <c r="T29" i="27" a="1"/>
  <c r="T29" i="27" s="1"/>
  <c r="F34" i="3"/>
  <c r="F35" i="3" s="1"/>
  <c r="M144" i="27"/>
  <c r="N143" i="27"/>
  <c r="N144" i="27" s="1"/>
  <c r="K42" i="27"/>
  <c r="U38" i="27" a="1"/>
  <c r="U38" i="27" s="1"/>
  <c r="N20" i="27"/>
  <c r="N26" i="27"/>
  <c r="X19" i="27" a="1"/>
  <c r="X19" i="27" s="1"/>
  <c r="J10" i="5"/>
  <c r="J42" i="27" l="1"/>
  <c r="J47" i="27" s="1"/>
  <c r="M102" i="27"/>
  <c r="M103" i="27" s="1"/>
  <c r="M108" i="27" s="1"/>
  <c r="H36" i="3" s="1"/>
  <c r="N102" i="27"/>
  <c r="V28" i="27" a="1"/>
  <c r="V28" i="27" s="1"/>
  <c r="H12" i="5"/>
  <c r="H13" i="5" s="1"/>
  <c r="H14" i="5" s="1"/>
  <c r="L29" i="27"/>
  <c r="N30" i="27"/>
  <c r="X26" i="27" a="1"/>
  <c r="X26" i="27" s="1"/>
  <c r="N28" i="27"/>
  <c r="N79" i="27"/>
  <c r="N88" i="27" s="1"/>
  <c r="T38" i="27" a="1"/>
  <c r="T38" i="27" s="1"/>
  <c r="E34" i="3"/>
  <c r="E35" i="3" s="1"/>
  <c r="K47" i="27"/>
  <c r="K43" i="27"/>
  <c r="K107" i="27"/>
  <c r="K110" i="27" s="1"/>
  <c r="U42" i="27" a="1"/>
  <c r="U42" i="27" s="1"/>
  <c r="G16" i="5"/>
  <c r="G17" i="5" s="1"/>
  <c r="M79" i="27"/>
  <c r="M88" i="27" s="1"/>
  <c r="M30" i="27"/>
  <c r="W26" i="27" a="1"/>
  <c r="W26" i="27" s="1"/>
  <c r="M28" i="27"/>
  <c r="J107" i="27" l="1"/>
  <c r="J110" i="27" s="1"/>
  <c r="J124" i="27" s="1"/>
  <c r="N103" i="27"/>
  <c r="N108" i="27" s="1"/>
  <c r="I36" i="3" s="1"/>
  <c r="J43" i="27"/>
  <c r="K25" i="6"/>
  <c r="L25" i="6" s="1"/>
  <c r="D28" i="18" s="1"/>
  <c r="T42" i="27" a="1"/>
  <c r="T42" i="27" s="1"/>
  <c r="F16" i="5"/>
  <c r="F17" i="5" s="1"/>
  <c r="X28" i="27" a="1"/>
  <c r="X28" i="27" s="1"/>
  <c r="J12" i="5"/>
  <c r="J13" i="5" s="1"/>
  <c r="J14" i="5" s="1"/>
  <c r="N29" i="27"/>
  <c r="K129" i="27"/>
  <c r="L31" i="27"/>
  <c r="L38" i="27"/>
  <c r="L41" i="27" s="1"/>
  <c r="V41" i="27" s="1" a="1"/>
  <c r="V41" i="27" s="1"/>
  <c r="V29" i="27" a="1"/>
  <c r="V29" i="27" s="1"/>
  <c r="G33" i="3"/>
  <c r="W28" i="27" a="1"/>
  <c r="W28" i="27" s="1"/>
  <c r="I12" i="5"/>
  <c r="I13" i="5" s="1"/>
  <c r="I14" i="5" s="1"/>
  <c r="M29" i="27"/>
  <c r="D30" i="18" l="1"/>
  <c r="F23" i="6" s="1"/>
  <c r="G23" i="6" s="1"/>
  <c r="N31" i="27"/>
  <c r="N38" i="27"/>
  <c r="N41" i="27" s="1"/>
  <c r="X41" i="27" s="1" a="1"/>
  <c r="X41" i="27" s="1"/>
  <c r="X29" i="27" a="1"/>
  <c r="X29" i="27" s="1"/>
  <c r="I33" i="3"/>
  <c r="M38" i="27"/>
  <c r="M41" i="27" s="1"/>
  <c r="W41" i="27" s="1" a="1"/>
  <c r="W41" i="27" s="1"/>
  <c r="M31" i="27"/>
  <c r="W29" i="27" a="1"/>
  <c r="W29" i="27" s="1"/>
  <c r="H33" i="3"/>
  <c r="G34" i="3"/>
  <c r="G35" i="3" s="1"/>
  <c r="L42" i="27"/>
  <c r="V38" i="27" a="1"/>
  <c r="V38" i="27" s="1"/>
  <c r="E23" i="6" l="1"/>
  <c r="D34" i="6" s="1"/>
  <c r="E34" i="6" s="1"/>
  <c r="H34" i="3"/>
  <c r="H35" i="3" s="1"/>
  <c r="I34" i="3"/>
  <c r="I35" i="3" s="1"/>
  <c r="M42" i="27"/>
  <c r="W38" i="27" a="1"/>
  <c r="W38" i="27" s="1"/>
  <c r="L47" i="27"/>
  <c r="L43" i="27"/>
  <c r="L107" i="27"/>
  <c r="V42" i="27" a="1"/>
  <c r="V42" i="27" s="1"/>
  <c r="H16" i="5"/>
  <c r="H17" i="5" s="1"/>
  <c r="N42" i="27"/>
  <c r="X38" i="27" a="1"/>
  <c r="X38" i="27" s="1"/>
  <c r="M43" i="27" l="1"/>
  <c r="M107" i="27"/>
  <c r="M47" i="27"/>
  <c r="W42" i="27" a="1"/>
  <c r="W42" i="27" s="1"/>
  <c r="I16" i="5"/>
  <c r="I17" i="5" s="1"/>
  <c r="N47" i="27"/>
  <c r="N107" i="27"/>
  <c r="N43" i="27"/>
  <c r="X42" i="27" a="1"/>
  <c r="X42" i="27" s="1"/>
  <c r="J16" i="5"/>
  <c r="J17" i="5" s="1"/>
  <c r="E36" i="3" l="1"/>
  <c r="E39" i="3" s="1"/>
  <c r="E43" i="3" s="1"/>
  <c r="J125" i="27"/>
  <c r="J54" i="27" s="1"/>
  <c r="J129" i="27" l="1"/>
  <c r="J130" i="27" s="1"/>
  <c r="J131" i="27" s="1"/>
  <c r="K123" i="27" l="1"/>
  <c r="J60" i="27" l="1"/>
  <c r="J69" i="27" s="1"/>
  <c r="J126" i="27"/>
  <c r="N181" i="27" l="1"/>
  <c r="N113" i="27" s="1"/>
  <c r="I38" i="3" s="1"/>
  <c r="M181" i="27"/>
  <c r="M113" i="27" s="1"/>
  <c r="M114" i="27" s="1"/>
  <c r="K181" i="27"/>
  <c r="K113" i="27" s="1"/>
  <c r="L181" i="27"/>
  <c r="L113" i="27" s="1"/>
  <c r="N114" i="27" l="1"/>
  <c r="L114" i="27"/>
  <c r="G38" i="3"/>
  <c r="K130" i="27"/>
  <c r="K131" i="27" s="1"/>
  <c r="K114" i="27"/>
  <c r="K124" i="27" s="1"/>
  <c r="K125" i="27" s="1"/>
  <c r="F38" i="3"/>
  <c r="F39" i="3" s="1"/>
  <c r="F43" i="3" s="1"/>
  <c r="K183" i="27"/>
  <c r="H38" i="3"/>
  <c r="K63" i="27" l="1"/>
  <c r="K67" i="27" s="1"/>
  <c r="L180" i="27"/>
  <c r="L182" i="27" s="1"/>
  <c r="K54" i="27"/>
  <c r="L123" i="27"/>
  <c r="K126" i="27" l="1"/>
  <c r="K60" i="27"/>
  <c r="K69" i="27" s="1"/>
  <c r="L109" i="27"/>
  <c r="L183" i="27" l="1"/>
  <c r="M180" i="27" s="1"/>
  <c r="M182" i="27" s="1"/>
  <c r="L110" i="27"/>
  <c r="G37" i="3"/>
  <c r="G39" i="3" s="1"/>
  <c r="G43" i="3" s="1"/>
  <c r="L63" i="27" l="1"/>
  <c r="L67" i="27" s="1"/>
  <c r="L124" i="27"/>
  <c r="L125" i="27" s="1"/>
  <c r="L129" i="27"/>
  <c r="L130" i="27" s="1"/>
  <c r="L131" i="27" s="1"/>
  <c r="M109" i="27"/>
  <c r="M183" i="27" l="1"/>
  <c r="L54" i="27"/>
  <c r="M123" i="27"/>
  <c r="M110" i="27"/>
  <c r="H37" i="3"/>
  <c r="H39" i="3" s="1"/>
  <c r="H43" i="3" s="1"/>
  <c r="L126" i="27" l="1"/>
  <c r="L60" i="27"/>
  <c r="L69" i="27" s="1"/>
  <c r="M124" i="27"/>
  <c r="M125" i="27" s="1"/>
  <c r="M129" i="27"/>
  <c r="M130" i="27" s="1"/>
  <c r="M131" i="27" s="1"/>
  <c r="M63" i="27"/>
  <c r="M67" i="27" s="1"/>
  <c r="N180" i="27"/>
  <c r="N182" i="27" s="1"/>
  <c r="M54" i="27" l="1"/>
  <c r="N123" i="27"/>
  <c r="N109" i="27"/>
  <c r="N183" i="27" l="1"/>
  <c r="N63" i="27" s="1"/>
  <c r="N67" i="27" s="1"/>
  <c r="N110" i="27"/>
  <c r="I37" i="3"/>
  <c r="I39" i="3" s="1"/>
  <c r="M60" i="27"/>
  <c r="M69" i="27" s="1"/>
  <c r="M126" i="27"/>
  <c r="I43" i="3" l="1"/>
  <c r="C49" i="3" s="1"/>
  <c r="D49" i="3" s="1"/>
  <c r="C47" i="3"/>
  <c r="N129" i="27"/>
  <c r="N130" i="27" s="1"/>
  <c r="N131" i="27" s="1"/>
  <c r="N124" i="27"/>
  <c r="N125" i="27" s="1"/>
  <c r="N54" i="27" s="1"/>
  <c r="N126" i="27" l="1"/>
  <c r="N60" i="27"/>
  <c r="N69" i="27" s="1"/>
  <c r="C48" i="3"/>
  <c r="D47" i="3"/>
  <c r="C50" i="3" l="1"/>
  <c r="C52" i="3" s="1"/>
  <c r="D48" i="3"/>
  <c r="D50" i="3" s="1"/>
  <c r="D52" i="3" s="1"/>
  <c r="H205" i="27" l="1"/>
  <c r="H213" i="27"/>
  <c r="F205" i="27"/>
  <c r="F213" i="27"/>
  <c r="C54" i="3"/>
  <c r="G213" i="27" l="1"/>
  <c r="D54" i="3"/>
  <c r="G205" i="27"/>
  <c r="I213" i="27" l="1"/>
  <c r="B57" i="3"/>
  <c r="I205" i="27"/>
  <c r="F22" i="6"/>
  <c r="E22" i="6" l="1"/>
  <c r="F25" i="6"/>
  <c r="F28" i="6" s="1"/>
  <c r="F29" i="6" s="1"/>
  <c r="G22" i="6"/>
  <c r="G25" i="6" l="1"/>
  <c r="H35" i="6"/>
  <c r="F33" i="6"/>
  <c r="H34" i="6"/>
  <c r="H33" i="6"/>
  <c r="D33" i="6"/>
  <c r="E33" i="6" s="1"/>
  <c r="E25" i="6"/>
  <c r="F34" i="6" l="1"/>
  <c r="G34" i="6" s="1"/>
  <c r="F35" i="6"/>
  <c r="G35" i="6" s="1"/>
  <c r="G33" i="6"/>
  <c r="N99" i="27"/>
  <c r="N97" i="27"/>
  <c r="N95" i="27"/>
  <c r="N93" i="27"/>
  <c r="J99" i="27"/>
  <c r="J97" i="27"/>
  <c r="J95" i="27"/>
  <c r="J93" i="27"/>
  <c r="L99" i="27"/>
  <c r="L97" i="27"/>
  <c r="L95" i="27"/>
  <c r="L93" i="27"/>
  <c r="M99" i="27"/>
  <c r="M97" i="27"/>
  <c r="M95" i="27"/>
  <c r="M93" i="27"/>
  <c r="K93" i="27"/>
  <c r="K95" i="27"/>
  <c r="K97" i="27"/>
  <c r="K99" i="27"/>
  <c r="K48" i="27"/>
  <c r="N46" i="27"/>
  <c r="N49" i="27"/>
  <c r="N48" i="27"/>
  <c r="L48" i="27"/>
  <c r="J48" i="27"/>
  <c r="J49" i="27"/>
  <c r="K46" i="27"/>
  <c r="K49" i="27"/>
  <c r="L46" i="27"/>
  <c r="L49" i="27"/>
  <c r="M46" i="27"/>
  <c r="M49" i="27"/>
  <c r="M48" i="2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tc={7FAE66BA-6DB7-4ECD-8697-67FEA1C66A05}</author>
    <author>tc={15B8CD1C-1384-4DEC-BF82-9A81D31E3F1E}</author>
    <author>tc={316ADEF6-917B-40F7-9D79-EA5550114E09}</author>
    <author>tc={9C2A2920-93A4-4062-AF7C-FCCB88F09983}</author>
    <author>tc={D5373565-6335-450B-8BDA-6DD0C3779410}</author>
    <author>tc={EB1327CE-AD20-47FC-B9DB-2B74E2E4052B}</author>
  </authors>
  <commentList>
    <comment ref="B13" authorId="0" shapeId="0" xr:uid="{7FAE66BA-6DB7-4ECD-8697-67FEA1C66A05}">
      <text>
        <t>[Threaded comment]
Your version of Excel allows you to read this threaded comment; however, any edits to it will get removed if the file is opened in a newer version of Excel. Learn more: https://go.microsoft.com/fwlink/?linkid=870924
Comment:
    Use WACC function on Bloomberg. Expand details on cost of debt and use the "debt adjustment factor".</t>
      </text>
    </comment>
    <comment ref="B14" authorId="1" shapeId="0" xr:uid="{15B8CD1C-1384-4DEC-BF82-9A81D31E3F1E}">
      <text>
        <t>[Threaded comment]
Your version of Excel allows you to read this threaded comment; however, any edits to it will get removed if the file is opened in a newer version of Excel. Learn more: https://go.microsoft.com/fwlink/?linkid=870924
Comment:
    Based on assumption from company fillings &amp; historical average.
Bloomberg's WACC function can also give insight on the approximate value.</t>
      </text>
    </comment>
    <comment ref="B19" authorId="2" shapeId="0" xr:uid="{316ADEF6-917B-40F7-9D79-EA5550114E09}">
      <text>
        <t>[Threaded comment]
Your version of Excel allows you to read this threaded comment; however, any edits to it will get removed if the file is opened in a newer version of Excel. Learn more: https://go.microsoft.com/fwlink/?linkid=870924
Comment:
    Note: This is an extra risk premium on top of the US Equity Risk Premium.
In most cases, this will be 0% (since we invest in US Equities). If a US company has significant international sales, we may consider adding in an additional risk premium here.</t>
      </text>
    </comment>
    <comment ref="B20" authorId="3" shapeId="0" xr:uid="{9C2A2920-93A4-4062-AF7C-FCCB88F09983}">
      <text>
        <t>[Threaded comment]
Your version of Excel allows you to read this threaded comment; however, any edits to it will get removed if the file is opened in a newer version of Excel. Learn more: https://go.microsoft.com/fwlink/?linkid=870924
Comment:
    Additional risk premium for smaller companies.</t>
      </text>
    </comment>
    <comment ref="B21" authorId="4" shapeId="0" xr:uid="{D5373565-6335-450B-8BDA-6DD0C3779410}">
      <text>
        <t>[Threaded comment]
Your version of Excel allows you to read this threaded comment; however, any edits to it will get removed if the file is opened in a newer version of Excel. Learn more: https://go.microsoft.com/fwlink/?linkid=870924
Comment:
    Regression (levered) beta vs. the Russell 3000 Index.
We use the Russell 3K as the base, since this is our portfolio's benchmark.</t>
      </text>
    </comment>
    <comment ref="B25" authorId="5" shapeId="0" xr:uid="{EB1327CE-AD20-47FC-B9DB-2B74E2E4052B}">
      <text>
        <t>[Threaded comment]
Your version of Excel allows you to read this threaded comment; however, any edits to it will get removed if the file is opened in a newer version of Excel. Learn more: https://go.microsoft.com/fwlink/?linkid=870924
Comment:
    Must be entered in the same units as the underlying financial data (i.e. all in Thousands, Millions, etc.)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tc={87B44FF1-835F-48CD-B211-BFDC197E6CB1}</author>
    <author>tc={11394B89-6184-493B-A994-925B563D6BE7}</author>
    <author>tc={5CFCEE4F-7429-41A3-83E2-0C18054E8187}</author>
    <author>tc={73144D85-BE6C-4684-81DC-CA61DF1261D0}</author>
    <author>tc={01147EA1-6C3A-476A-9986-B69F7B6D379B}</author>
    <author>tc={4A6553F2-5086-4DD7-B9E5-218F91B1F601}</author>
    <author>tc={D47EC5C1-C4D1-4E61-BF67-7040F903E5AE}</author>
    <author>tc={778F1D4F-5238-4D63-B6FB-A65BB1B812C6}</author>
    <author>tc={23539609-81A9-46E2-9142-AA485C480600}</author>
    <author>tc={A095366A-69C9-48CE-92F2-10E9A24067B5}</author>
    <author>tc={FAE78D81-EF7C-4D3C-AA6A-80EAD8F622E8}</author>
    <author>tc={AABFFF60-289F-4A8D-9FD0-5FE5967A174B}</author>
    <author>tc={2487323F-B302-42FB-8A9F-665EBA57D50C}</author>
    <author>tc={C6693425-A34B-45DF-BA50-F97E57E8C13A}</author>
    <author>tc={0FC46834-0EE0-4E6B-9AF8-BF553D880585}</author>
    <author>tc={511F60FC-6802-4CB3-9AD6-216549A00F42}</author>
    <author>tc={E5E1F79C-3076-46C1-A83E-029D69AA99A5}</author>
    <author>tc={011630FE-28A9-4AC4-AE83-859471B1DCC9}</author>
    <author>tc={59121CB9-C33E-4C62-909C-438DB382DF5E}</author>
    <author>tc={515052DB-371D-45A2-AB28-41AA8739BE13}</author>
    <author>tc={4E6C9C25-D677-4E89-A424-96BDC8DAE370}</author>
    <author>tc={B7548520-791C-48B4-AB78-06BE34B545A1}</author>
  </authors>
  <commentList>
    <comment ref="D6" authorId="0" shapeId="0" xr:uid="{87B44FF1-835F-48CD-B211-BFDC197E6CB1}">
      <text>
        <t>[Threaded comment]
Your version of Excel allows you to read this threaded comment; however, any edits to it will get removed if the file is opened in a newer version of Excel. Learn more: https://go.microsoft.com/fwlink/?linkid=870924
Comment:
    Analyst may need to add or delete rows to reflect company-specific financial statements. As along as summation rows are not adjusted, the template will work.</t>
      </text>
    </comment>
    <comment ref="E6" authorId="1" shapeId="0" xr:uid="{11394B89-6184-493B-A994-925B563D6BE7}">
      <text>
        <t>[Threaded comment]
Your version of Excel allows you to read this threaded comment; however, any edits to it will get removed if the file is opened in a newer version of Excel. Learn more: https://go.microsoft.com/fwlink/?linkid=870924
Comment:
    NEVER DELETE THIS COLUMN
(It is structural for workbook automation).</t>
      </text>
    </comment>
    <comment ref="F6" authorId="2" shapeId="0" xr:uid="{5CFCEE4F-7429-41A3-83E2-0C18054E8187}">
      <text>
        <t>[Threaded comment]
Your version of Excel allows you to read this threaded comment; however, any edits to it will get removed if the file is opened in a newer version of Excel. Learn more: https://go.microsoft.com/fwlink/?linkid=870924
Comment:
    First Historical Date</t>
      </text>
    </comment>
    <comment ref="J6" authorId="3" shapeId="0" xr:uid="{73144D85-BE6C-4684-81DC-CA61DF1261D0}">
      <text>
        <t>[Threaded comment]
Your version of Excel allows you to read this threaded comment; however, any edits to it will get removed if the file is opened in a newer version of Excel. Learn more: https://go.microsoft.com/fwlink/?linkid=870924
Comment:
    Should be first projection date.
Insert additional historical columns before this one.</t>
      </text>
    </comment>
    <comment ref="O6" authorId="4" shapeId="0" xr:uid="{01147EA1-6C3A-476A-9986-B69F7B6D379B}">
      <text>
        <t>[Threaded comment]
Your version of Excel allows you to read this threaded comment; however, any edits to it will get removed if the file is opened in a newer version of Excel. Learn more: https://go.microsoft.com/fwlink/?linkid=870924
Comment:
    NEVER DELETE THIS COLUMN
(It is structural for workbook automation).</t>
      </text>
    </comment>
    <comment ref="H13" authorId="5" shapeId="0" xr:uid="{4A6553F2-5086-4DD7-B9E5-218F91B1F601}">
      <text>
        <t xml:space="preserve">[Threaded comment]
Your version of Excel allows you to read this threaded comment; however, any edits to it will get removed if the file is opened in a newer version of Excel. Learn more: https://go.microsoft.com/fwlink/?linkid=870924
Comment:
    Separation of Kyndryl </t>
      </text>
    </comment>
    <comment ref="I36" authorId="6" shapeId="0" xr:uid="{D47EC5C1-C4D1-4E61-BF67-7040F903E5AE}">
      <text>
        <t>[Threaded comment]
Your version of Excel allows you to read this threaded comment; however, any edits to it will get removed if the file is opened in a newer version of Excel. Learn more: https://go.microsoft.com/fwlink/?linkid=870924
Comment:
    retirement-related costs 5,266 million</t>
      </text>
    </comment>
    <comment ref="D49" authorId="7" shapeId="0" xr:uid="{778F1D4F-5238-4D63-B6FB-A65BB1B812C6}">
      <text>
        <t>[Threaded comment]
Your version of Excel allows you to read this threaded comment; however, any edits to it will get removed if the file is opened in a newer version of Excel. Learn more: https://go.microsoft.com/fwlink/?linkid=870924
Comment:
    Historicals: Pull from Balance Sheet
Projections: Calculate and link back to Balance Sheet.</t>
      </text>
    </comment>
    <comment ref="B51" authorId="8" shapeId="0" xr:uid="{23539609-81A9-46E2-9142-AA485C480600}">
      <text>
        <t>[Threaded comment]
Your version of Excel allows you to read this threaded comment; however, any edits to it will get removed if the file is opened in a newer version of Excel. Learn more: https://go.microsoft.com/fwlink/?linkid=870924
Comment:
    ST = Short Term
LT = Long Term
NO = "Non-Operating"
FC = "Financial Claims"</t>
      </text>
    </comment>
    <comment ref="D51" authorId="9" shapeId="0" xr:uid="{A095366A-69C9-48CE-92F2-10E9A24067B5}">
      <text>
        <t>[Threaded comment]
Your version of Excel allows you to read this threaded comment; however, any edits to it will get removed if the file is opened in a newer version of Excel. Learn more: https://go.microsoft.com/fwlink/?linkid=870924
Comment:
    Recommendation:
Enter historicals here, and link historical schedules (below) back to here. Then, use schedules to project future balances, and link projections back to the balance sheet.
Working Capital and other operating items should be projected line by line (via the "Supplementary Schedules" section below), and linked back to this balance sheet.
Non-operating items or items that cannot be reasonably predicted should be entered here directly. OK to hold at value, but any change in value must be reconciled in Owner's Equity or the Statement of Cash Flows!</t>
      </text>
    </comment>
    <comment ref="D103" authorId="10" shapeId="0" xr:uid="{FAE78D81-EF7C-4D3C-AA6A-80EAD8F622E8}">
      <text>
        <t>[Threaded comment]
Your version of Excel allows you to read this threaded comment; however, any edits to it will get removed if the file is opened in a newer version of Excel. Learn more: https://go.microsoft.com/fwlink/?linkid=870924
Comment:
    Increase = Use of Cash</t>
      </text>
    </comment>
    <comment ref="D105" authorId="11" shapeId="0" xr:uid="{AABFFF60-289F-4A8D-9FD0-5FE5967A174B}">
      <text>
        <t>[Threaded comment]
Your version of Excel allows you to read this threaded comment; however, any edits to it will get removed if the file is opened in a newer version of Excel. Learn more: https://go.microsoft.com/fwlink/?linkid=870924
Comment:
    Does not need to be reproduced historically.</t>
      </text>
    </comment>
    <comment ref="D133" authorId="12" shapeId="0" xr:uid="{2487323F-B302-42FB-8A9F-665EBA57D50C}">
      <text>
        <t>[Threaded comment]
Your version of Excel allows you to read this threaded comment; however, any edits to it will get removed if the file is opened in a newer version of Excel. Learn more: https://go.microsoft.com/fwlink/?linkid=870924
Comment:
    Can add or remove new sections as needed, but remember to link to the Balance Sheet and Statement of Cash Flows.</t>
      </text>
    </comment>
    <comment ref="D140" authorId="13" shapeId="0" xr:uid="{C6693425-A34B-45DF-BA50-F97E57E8C13A}">
      <text>
        <t>[Threaded comment]
Your version of Excel allows you to read this threaded comment; however, any edits to it will get removed if the file is opened in a newer version of Excel. Learn more: https://go.microsoft.com/fwlink/?linkid=870924
Comment:
    = Average Balance / Sales * 365
Calculate based off of historical values, and then use this to project future periods (by inverting the formula).</t>
      </text>
    </comment>
    <comment ref="D146" authorId="14" shapeId="0" xr:uid="{0FC46834-0EE0-4E6B-9AF8-BF553D880585}">
      <text>
        <t>[Threaded comment]
Your version of Excel allows you to read this threaded comment; however, any edits to it will get removed if the file is opened in a newer version of Excel. Learn more: https://go.microsoft.com/fwlink/?linkid=870924
Comment:
    = Average Balance / ABS(COGS) * 365
Calculate based off of historical values, and then use this to project future periods (by inverting the formula).</t>
      </text>
    </comment>
    <comment ref="D152" authorId="15" shapeId="0" xr:uid="{511F60FC-6802-4CB3-9AD6-216549A00F42}">
      <text>
        <t>[Threaded comment]
Your version of Excel allows you to read this threaded comment; however, any edits to it will get removed if the file is opened in a newer version of Excel. Learn more: https://go.microsoft.com/fwlink/?linkid=870924
Comment:
    = Average Balance / Sales
Calculate based off of historical values, and then use this to project future periods (by inverting the formula).</t>
      </text>
    </comment>
    <comment ref="D158" authorId="16" shapeId="0" xr:uid="{E5E1F79C-3076-46C1-A83E-029D69AA99A5}">
      <text>
        <t>[Threaded comment]
Your version of Excel allows you to read this threaded comment; however, any edits to it will get removed if the file is opened in a newer version of Excel. Learn more: https://go.microsoft.com/fwlink/?linkid=870924
Comment:
    = Average Balance / Sales
Calculate based off of historical values, and then use this to project future periods (by inverting the formula).</t>
      </text>
    </comment>
    <comment ref="D164" authorId="17" shapeId="0" xr:uid="{011630FE-28A9-4AC4-AE83-859471B1DCC9}">
      <text>
        <t>[Threaded comment]
Your version of Excel allows you to read this threaded comment; however, any edits to it will get removed if the file is opened in a newer version of Excel. Learn more: https://go.microsoft.com/fwlink/?linkid=870924
Comment:
    = Average Balance / ABS(COGS) * 365
Calculate based off of historical values, and then use this to project future periods (by inverting the formula).</t>
      </text>
    </comment>
    <comment ref="D170" authorId="18" shapeId="0" xr:uid="{59121CB9-C33E-4C62-909C-438DB382DF5E}">
      <text>
        <t>[Threaded comment]
Your version of Excel allows you to read this threaded comment; however, any edits to it will get removed if the file is opened in a newer version of Excel. Learn more: https://go.microsoft.com/fwlink/?linkid=870924
Comment:
    = Average Balance / ABS(COGS) * 365
Calculate based off of historical values, and then use this to project future periods (by inverting the formula).</t>
      </text>
    </comment>
    <comment ref="D176" authorId="19" shapeId="0" xr:uid="{515052DB-371D-45A2-AB28-41AA8739BE13}">
      <text>
        <t>[Threaded comment]
Your version of Excel allows you to read this threaded comment; however, any edits to it will get removed if the file is opened in a newer version of Excel. Learn more: https://go.microsoft.com/fwlink/?linkid=870924
Comment:
    = Average Balance / ABS(COGS) * 365
Calculate based off of historical values, and then use this to project future periods (by inverting the formula).</t>
      </text>
    </comment>
    <comment ref="D179" authorId="20" shapeId="0" xr:uid="{4E6C9C25-D677-4E89-A424-96BDC8DAE370}">
      <text>
        <t>[Threaded comment]
Your version of Excel allows you to read this threaded comment; however, any edits to it will get removed if the file is opened in a newer version of Excel. Learn more: https://go.microsoft.com/fwlink/?linkid=870924
Comment:
    General Check: For mature businesses, Capex and depreciation should be reasonably close.
For Growth businesses, Capex likely to be higher.</t>
      </text>
    </comment>
    <comment ref="D212" authorId="21" shapeId="0" xr:uid="{B7548520-791C-48B4-AB78-06BE34B545A1}">
      <text>
        <t>[Threaded comment]
Your version of Excel allows you to read this threaded comment; however, any edits to it will get removed if the file is opened in a newer version of Excel. Learn more: https://go.microsoft.com/fwlink/?linkid=870924
Comment:
    Note: Inverse of Gross Margin. Sensitivity has to be set up this way in order to match the model.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tc={ABFD7733-55D4-42D2-B0E0-55D0AEA37538}</author>
    <author>Nick Douglas</author>
  </authors>
  <commentList>
    <comment ref="L27" authorId="0" shapeId="0" xr:uid="{ABFD7733-55D4-42D2-B0E0-55D0AEA37538}">
      <text>
        <t>[Threaded comment]
Your version of Excel allows you to read this threaded comment; however, any edits to it will get removed if the file is opened in a newer version of Excel. Learn more: https://go.microsoft.com/fwlink/?linkid=870924
Comment:
    Use to test impact of different WACC rates.</t>
      </text>
    </comment>
    <comment ref="E41" authorId="1" shapeId="0" xr:uid="{D9D991EF-ADC5-4C97-A20B-619677BC614F}">
      <text>
        <r>
          <rPr>
            <b/>
            <sz val="9"/>
            <color indexed="81"/>
            <rFont val="Tahoma"/>
            <family val="2"/>
          </rPr>
          <t>Nick Douglas:</t>
        </r>
        <r>
          <rPr>
            <sz val="9"/>
            <color indexed="81"/>
            <rFont val="Tahoma"/>
            <family val="2"/>
          </rPr>
          <t xml:space="preserve">
=YEARFRAC(TODAY(),EOMONTH(TODAY(),12-MONTH(TODAY())))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KILIAN Bendjaballah</author>
  </authors>
  <commentList>
    <comment ref="A1" authorId="0" shapeId="0" xr:uid="{A90B30E1-E5B0-4624-A92B-50D8EF95821C}">
      <text>
        <r>
          <rPr>
            <b/>
            <sz val="10.5"/>
            <color rgb="FF000000"/>
            <rFont val="Verdana"/>
            <family val="2"/>
          </rPr>
          <t>Thought Questions for determining an Appropriate Comparable Group:
Industry:</t>
        </r>
        <r>
          <rPr>
            <sz val="10.5"/>
            <color rgb="FF000000"/>
            <rFont val="Verdana"/>
            <family val="2"/>
          </rPr>
          <t xml:space="preserve">
- Same product? 
- Same customers?
- Business model similarity?
</t>
        </r>
        <r>
          <rPr>
            <b/>
            <sz val="10.5"/>
            <color rgb="FF000000"/>
            <rFont val="Verdana"/>
            <family val="2"/>
          </rPr>
          <t xml:space="preserve">Financial Criteria: </t>
        </r>
        <r>
          <rPr>
            <sz val="10.5"/>
            <color rgb="FF000000"/>
            <rFont val="Verdana"/>
            <family val="2"/>
          </rPr>
          <t xml:space="preserve">
- Same scale (revenue, EBITDA, etc.)?
- Capital structure similarity? 
- Note: Avoid private companies
</t>
        </r>
        <r>
          <rPr>
            <b/>
            <sz val="10.5"/>
            <color rgb="FF000000"/>
            <rFont val="Verdana"/>
            <family val="2"/>
          </rPr>
          <t>Geography:</t>
        </r>
        <r>
          <rPr>
            <sz val="10.5"/>
            <color rgb="FF000000"/>
            <rFont val="Verdana"/>
            <family val="2"/>
          </rPr>
          <t xml:space="preserve">
- Significant geopolitical differences?
- Significant geographical regulation differences
- Overlaping customers?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<sst xmlns="http://schemas.openxmlformats.org/spreadsheetml/2006/main" count="420" uniqueCount="303">
  <si>
    <r>
      <t xml:space="preserve">360 Huntington Fund
</t>
    </r>
    <r>
      <rPr>
        <b/>
        <sz val="11"/>
        <color theme="1" tint="0.34998626667073579"/>
        <rFont val="Calibri"/>
        <family val="2"/>
        <scheme val="minor"/>
      </rPr>
      <t>Free Cash Flow Model</t>
    </r>
  </si>
  <si>
    <t>Key Assumptions</t>
  </si>
  <si>
    <t>X</t>
  </si>
  <si>
    <t>Revenues</t>
  </si>
  <si>
    <t>Total Net Revenue</t>
  </si>
  <si>
    <t>Net Revenue Growth %</t>
  </si>
  <si>
    <r>
      <t>COGS</t>
    </r>
    <r>
      <rPr>
        <i/>
        <sz val="9"/>
        <color theme="1"/>
        <rFont val="Calibri"/>
        <family val="2"/>
        <scheme val="minor"/>
      </rPr>
      <t xml:space="preserve"> (Enter as Negative)</t>
    </r>
  </si>
  <si>
    <t>Total COGS</t>
  </si>
  <si>
    <t>Gross Profit</t>
  </si>
  <si>
    <t>Total Gross Margin %</t>
  </si>
  <si>
    <r>
      <t>Operating Expenses</t>
    </r>
    <r>
      <rPr>
        <sz val="9"/>
        <color theme="1"/>
        <rFont val="Calibri"/>
        <family val="2"/>
        <scheme val="minor"/>
      </rPr>
      <t xml:space="preserve"> </t>
    </r>
    <r>
      <rPr>
        <i/>
        <sz val="9"/>
        <color theme="1"/>
        <rFont val="Calibri"/>
        <family val="2"/>
        <scheme val="minor"/>
      </rPr>
      <t>(Enter as Positive)</t>
    </r>
  </si>
  <si>
    <t>EBITDA</t>
  </si>
  <si>
    <t>Depreciation &amp; Amortization</t>
  </si>
  <si>
    <t>Total Operating Expenses</t>
  </si>
  <si>
    <t>Operating Income (EBIT)</t>
  </si>
  <si>
    <t>EBITDA Margin %</t>
  </si>
  <si>
    <t>Total Operating (EBIT) Margin %</t>
  </si>
  <si>
    <t>Other Income (Expense)</t>
  </si>
  <si>
    <t>Interest Income (Positive)</t>
  </si>
  <si>
    <t>Interest Expense (Negative)</t>
  </si>
  <si>
    <t>Total Other Income (Expense)</t>
  </si>
  <si>
    <t>EBT</t>
  </si>
  <si>
    <t>Taxation</t>
  </si>
  <si>
    <t>Net Income</t>
  </si>
  <si>
    <t>Profit Margin %</t>
  </si>
  <si>
    <t>Retained Earnings</t>
  </si>
  <si>
    <t>Beginning of Period</t>
  </si>
  <si>
    <t>End of Period</t>
  </si>
  <si>
    <t>Working Capital Schedule</t>
  </si>
  <si>
    <t>Inventories</t>
  </si>
  <si>
    <t>Beginning Balance</t>
  </si>
  <si>
    <t>Increase (Decrease)</t>
  </si>
  <si>
    <t>Ending Balance</t>
  </si>
  <si>
    <t>Days Inventory Outstanding</t>
  </si>
  <si>
    <t>Accounts Receivable</t>
  </si>
  <si>
    <t>Days Sales Outstanding</t>
  </si>
  <si>
    <t>Other Current Assets</t>
  </si>
  <si>
    <t>% of Sales</t>
  </si>
  <si>
    <t>Accounts Payable</t>
  </si>
  <si>
    <t>Days Payables Outstanding</t>
  </si>
  <si>
    <t>Accrued Expenses</t>
  </si>
  <si>
    <t>Days Accruals Outstanding</t>
  </si>
  <si>
    <t>Other Current Liabilities</t>
  </si>
  <si>
    <t>Days Other Liabilities Outstanding</t>
  </si>
  <si>
    <t>Property, Plant, &amp; Equipment</t>
  </si>
  <si>
    <t>PPE</t>
  </si>
  <si>
    <t>Capex</t>
  </si>
  <si>
    <t>Depreciation</t>
  </si>
  <si>
    <t>Capex % Sales</t>
  </si>
  <si>
    <t>Depreciation % Opening Balance</t>
  </si>
  <si>
    <t>Debt Schedule</t>
  </si>
  <si>
    <t>Notes Payable</t>
  </si>
  <si>
    <t>Additional Lending (Payments)</t>
  </si>
  <si>
    <t>Current Debt</t>
  </si>
  <si>
    <t>Long-Term Debt</t>
  </si>
  <si>
    <t>Balance Sheet Toggles</t>
  </si>
  <si>
    <t>Balance Sheet</t>
  </si>
  <si>
    <t>Assets</t>
  </si>
  <si>
    <t>Current Assets</t>
  </si>
  <si>
    <t>NOA</t>
  </si>
  <si>
    <t>Cash</t>
  </si>
  <si>
    <t>Marketable Securities</t>
  </si>
  <si>
    <t>STA</t>
  </si>
  <si>
    <t>Inventory</t>
  </si>
  <si>
    <t>Accounts Receivable (Net of Doubtful)</t>
  </si>
  <si>
    <t>Total Current Assets</t>
  </si>
  <si>
    <t>Long-Term Assets</t>
  </si>
  <si>
    <t>LTA</t>
  </si>
  <si>
    <t>Net PP&amp;E</t>
  </si>
  <si>
    <t>Other Non-Current Assets</t>
  </si>
  <si>
    <t>Total Assets</t>
  </si>
  <si>
    <t>Liabilities</t>
  </si>
  <si>
    <t>Current Liabilities</t>
  </si>
  <si>
    <t>STL</t>
  </si>
  <si>
    <t>FC</t>
  </si>
  <si>
    <t>Total Current Liabilities</t>
  </si>
  <si>
    <t>Long-Term Liabilities</t>
  </si>
  <si>
    <t>Long-Tern Debt</t>
  </si>
  <si>
    <t>NOL</t>
  </si>
  <si>
    <t>Other Non-Current Liabilities</t>
  </si>
  <si>
    <t>Total Long-Term Liabilities</t>
  </si>
  <si>
    <t>Total Liabilities</t>
  </si>
  <si>
    <t>Equity</t>
  </si>
  <si>
    <t>Preferred Stock</t>
  </si>
  <si>
    <t>Total Equity</t>
  </si>
  <si>
    <t>Total Liabilities &amp; Equity</t>
  </si>
  <si>
    <t>Balance Check</t>
  </si>
  <si>
    <t>Addendum Items</t>
  </si>
  <si>
    <t>Net Working Capital</t>
  </si>
  <si>
    <t>∆ Net Working Capital</t>
  </si>
  <si>
    <t>Statement of Cash Flows</t>
  </si>
  <si>
    <t>Cash Flow from Operations</t>
  </si>
  <si>
    <t>Cash Flow from Investing Activities</t>
  </si>
  <si>
    <t>Net Cash Flow from Investing Activities</t>
  </si>
  <si>
    <t>Cash Flow from Financing Activities</t>
  </si>
  <si>
    <t>Dividends / Ownership Distributions</t>
  </si>
  <si>
    <t>Note Issuance (Payments)</t>
  </si>
  <si>
    <t>Current Debt Issuance (Payments)</t>
  </si>
  <si>
    <t>Long-Term Debt Financing (Payments)</t>
  </si>
  <si>
    <t>Net Cash Flow from Financing Activities</t>
  </si>
  <si>
    <t>∆ in Cash</t>
  </si>
  <si>
    <t>Operating Cash Flow (OCF)</t>
  </si>
  <si>
    <t>Free Cash Flow (FCF)</t>
  </si>
  <si>
    <t>Free Cash Flow to Equity (FCFE)</t>
  </si>
  <si>
    <t>Models</t>
  </si>
  <si>
    <t>Low</t>
  </si>
  <si>
    <t>Median</t>
  </si>
  <si>
    <t>High</t>
  </si>
  <si>
    <t>Weights</t>
  </si>
  <si>
    <t>Enterprise Value</t>
  </si>
  <si>
    <t>Graph Options -- Do Not Change!</t>
  </si>
  <si>
    <t>Extra</t>
  </si>
  <si>
    <t>EV</t>
  </si>
  <si>
    <t>H4sIAAAAAAAEAM2QQUvDMBTHu1Wxoh8id0toa+fcoRerKLjDpMXLGDMNDxuWJjVJhe5j+IU1KZ0ePHj1BfJeAv/f+/P3Jp7nfdpy3dX51F5PK2ZofSPlDpV9CxotWaWI6kP0DEozKbIkShKc4hhHIco7bjoFmYDOKMJDtOoqzugj9KXcgchEx/mx4xff2O2A3Y5YXIBihLM9qTjkhNbw++eilO0S3oEPr1tGjbVhtb7lnoyuglw2LVGgggei64LtwfO94GNS9NpAg3PJOQw6je9B2A300O/eOrvN9AfAS7xej6rCKCZeQ9RoKhVn1U8GKY7c+TuAaj4nMzq7iheXKUTXi80mmI5xn/rjcOSG/2jVmTv7At67jZonAgAA</t>
  </si>
  <si>
    <t>| Discounted Cash Flow Analysis</t>
  </si>
  <si>
    <t xml:space="preserve">WACC Assumptions </t>
  </si>
  <si>
    <t xml:space="preserve">Cost of Equity (CAPM) </t>
  </si>
  <si>
    <t>10 Year T-Bill Rate</t>
  </si>
  <si>
    <t>Equity Risk Premium</t>
  </si>
  <si>
    <t>Equity Risk Premium (S&amp;P 500 US)</t>
  </si>
  <si>
    <t>Country Risk Premium</t>
  </si>
  <si>
    <t>Size Risk Premium</t>
  </si>
  <si>
    <t>WACC Calculation</t>
  </si>
  <si>
    <t>Total Capitalization</t>
  </si>
  <si>
    <t>Cost of Debt</t>
  </si>
  <si>
    <t>WACC</t>
  </si>
  <si>
    <t>WACC Override:</t>
  </si>
  <si>
    <t>Historic</t>
  </si>
  <si>
    <t>Projected</t>
  </si>
  <si>
    <t>Calendar Year</t>
  </si>
  <si>
    <t>Est. Cash Taxes</t>
  </si>
  <si>
    <t>NOPAT*</t>
  </si>
  <si>
    <t>Change in Working Capital (-)</t>
  </si>
  <si>
    <t>D&amp;A (+)</t>
  </si>
  <si>
    <t>Capex (-)</t>
  </si>
  <si>
    <t>Free Cash Flow (FCFF)</t>
  </si>
  <si>
    <t>Discount Factor</t>
  </si>
  <si>
    <t>Discount Period</t>
  </si>
  <si>
    <t>Discounted Free Cash Flow</t>
  </si>
  <si>
    <t>*NOPAT = Net Operating Profit After Tax</t>
  </si>
  <si>
    <t>Perpetuity Growth Rate</t>
  </si>
  <si>
    <t>Terminal Value</t>
  </si>
  <si>
    <t>Discounted Terminal Value</t>
  </si>
  <si>
    <t>Sum of DCFs</t>
  </si>
  <si>
    <t>VOPS</t>
  </si>
  <si>
    <t>Net Non-Operating Assets (Liabilities)</t>
  </si>
  <si>
    <t>Revenue</t>
  </si>
  <si>
    <t>Total</t>
  </si>
  <si>
    <t>Gross Shipments</t>
  </si>
  <si>
    <t>Less: Deductions &amp; Allowances</t>
  </si>
  <si>
    <t>Net Sales</t>
  </si>
  <si>
    <t>Less: COGS</t>
  </si>
  <si>
    <t>Gross Margin</t>
  </si>
  <si>
    <t>Gross Margin %</t>
  </si>
  <si>
    <t>Less: Operating Expense</t>
  </si>
  <si>
    <t>Operating Margin %</t>
  </si>
  <si>
    <t>CASH</t>
  </si>
  <si>
    <t>Company Equity Beta</t>
  </si>
  <si>
    <t>Debt Adjustment Factor</t>
  </si>
  <si>
    <t>Assumed Effective Tax Rate</t>
  </si>
  <si>
    <t>CAPM Cost of Equity</t>
  </si>
  <si>
    <t>After-Tax Cost of Debt</t>
  </si>
  <si>
    <t>Market Value of Equity</t>
  </si>
  <si>
    <t>Market Value of Debt</t>
  </si>
  <si>
    <t>Current Share Price:</t>
  </si>
  <si>
    <t>per Share</t>
  </si>
  <si>
    <t>Prepaid Expenses</t>
  </si>
  <si>
    <t>Deferred Tax Assets</t>
  </si>
  <si>
    <t>Current Income Tax Payable</t>
  </si>
  <si>
    <t>Long-Term Leases</t>
  </si>
  <si>
    <t>Deferred Tax Liability</t>
  </si>
  <si>
    <t>Other Comprehensive Income</t>
  </si>
  <si>
    <t>Discounted Cash Flow</t>
  </si>
  <si>
    <t>Market Multiples: Price to Earnings</t>
  </si>
  <si>
    <t>Dividend Discount Model</t>
  </si>
  <si>
    <t>Operating Income</t>
  </si>
  <si>
    <t>Baseline Metrics ($B):</t>
  </si>
  <si>
    <t>Per Share</t>
  </si>
  <si>
    <t>Low (-10%)</t>
  </si>
  <si>
    <t>High (+10%)</t>
  </si>
  <si>
    <t>Net Out: Financial Claims (Net of Cash)</t>
  </si>
  <si>
    <t>Perpetuity Growth Methodology</t>
  </si>
  <si>
    <r>
      <t xml:space="preserve">Taxes </t>
    </r>
    <r>
      <rPr>
        <i/>
        <sz val="9"/>
        <color theme="1"/>
        <rFont val="Calibri"/>
        <family val="2"/>
        <scheme val="minor"/>
      </rPr>
      <t>(Enter as Negative for Taxes Paid)</t>
    </r>
  </si>
  <si>
    <t>Dividend Growth Rate (YoY)</t>
  </si>
  <si>
    <t>Dividend per Share</t>
  </si>
  <si>
    <t>Total Cash Flow</t>
  </si>
  <si>
    <t>Present Value of Cash Flows</t>
  </si>
  <si>
    <t>NOTES:</t>
  </si>
  <si>
    <t>** The DDM is best suited for large, low growth mature companies with a consistent history of dividends.</t>
  </si>
  <si>
    <t>** This model works best when the company has a relatively high payout ratio.</t>
  </si>
  <si>
    <t>** Assumptions: Dividends are the correct metric for valuation purposes, g is perpetual, r is constant over time, g strictly less than r</t>
  </si>
  <si>
    <r>
      <t>D</t>
    </r>
    <r>
      <rPr>
        <b/>
        <vertAlign val="subscript"/>
        <sz val="11"/>
        <color theme="1"/>
        <rFont val="Calibri"/>
        <family val="2"/>
        <scheme val="minor"/>
      </rPr>
      <t>0</t>
    </r>
  </si>
  <si>
    <t>Cost of Equity (r)</t>
  </si>
  <si>
    <t>Terminal Growth Rate (g)</t>
  </si>
  <si>
    <t>12-Month Target Price</t>
  </si>
  <si>
    <t>Industry Betas</t>
  </si>
  <si>
    <t>Automated Page for Reference Only</t>
  </si>
  <si>
    <t>Year</t>
  </si>
  <si>
    <t>Annual  EPS</t>
  </si>
  <si>
    <t>P/E Ratio</t>
  </si>
  <si>
    <t>Average</t>
  </si>
  <si>
    <t>Peer Group Average</t>
  </si>
  <si>
    <t>Using Historical Averages</t>
  </si>
  <si>
    <t>Historical Peer Group Hi-Low Avg.</t>
  </si>
  <si>
    <t>Historical Target Firm Hi-Low Avg.</t>
  </si>
  <si>
    <t>Average P/E</t>
  </si>
  <si>
    <t>Relative P/E Target Price</t>
  </si>
  <si>
    <t>Market Multiples Model</t>
  </si>
  <si>
    <t>Peer Group:</t>
  </si>
  <si>
    <t>Market Price</t>
  </si>
  <si>
    <t>Check the note in the cell "Historical Relative P/E" on the top left corner in Yellow</t>
  </si>
  <si>
    <t>Be sure to check your data for outliers that may be skewing the results of the model and delete them.</t>
  </si>
  <si>
    <t xml:space="preserve"> If you are not sure about a value, consult your SM</t>
  </si>
  <si>
    <t>Helpful Notes:</t>
  </si>
  <si>
    <t>Projected Forward EPS</t>
  </si>
  <si>
    <t>Current Price</t>
  </si>
  <si>
    <r>
      <t xml:space="preserve">Upside from Current Price </t>
    </r>
    <r>
      <rPr>
        <b/>
        <i/>
        <sz val="11"/>
        <rFont val="Calibri"/>
        <family val="2"/>
        <scheme val="minor"/>
      </rPr>
      <t>(12 Month)</t>
    </r>
  </si>
  <si>
    <r>
      <t xml:space="preserve">Expected Alpha </t>
    </r>
    <r>
      <rPr>
        <b/>
        <i/>
        <sz val="11"/>
        <rFont val="Calibri"/>
        <family val="2"/>
        <scheme val="minor"/>
      </rPr>
      <t>(12 Month)</t>
    </r>
  </si>
  <si>
    <t>Valuation Methodology</t>
  </si>
  <si>
    <t>Target Price (12-Month)</t>
  </si>
  <si>
    <t>Price to Volume</t>
  </si>
  <si>
    <t>Revenue Growth</t>
  </si>
  <si>
    <t>EPS Ratio</t>
  </si>
  <si>
    <t>D/E Ratio</t>
  </si>
  <si>
    <t>ROE Ratio</t>
  </si>
  <si>
    <t>Current Ratio</t>
  </si>
  <si>
    <t>Date</t>
  </si>
  <si>
    <t>Adj Close</t>
  </si>
  <si>
    <t xml:space="preserve">ROE Ratio </t>
  </si>
  <si>
    <t>Revenue Forecast (2017-2026)</t>
  </si>
  <si>
    <t>$(B)</t>
  </si>
  <si>
    <t>Volume (000s)</t>
  </si>
  <si>
    <t>Sensitivity Analysis: Perpetuity Growth Rate vs. WACC</t>
  </si>
  <si>
    <t>Currency</t>
  </si>
  <si>
    <t>USD</t>
  </si>
  <si>
    <t>For the numeral system to work please divide with "decimal" (cell highlighted in blue) while adding values</t>
  </si>
  <si>
    <t>Sentivity Matrix</t>
  </si>
  <si>
    <t xml:space="preserve">Normal </t>
  </si>
  <si>
    <t>Lower</t>
  </si>
  <si>
    <t>Current Share Price</t>
  </si>
  <si>
    <t>Numeral Scaling</t>
  </si>
  <si>
    <t>Start Period</t>
  </si>
  <si>
    <t>Entity Name</t>
  </si>
  <si>
    <t>Risk-Free Rate (10 Year T-Bill)</t>
  </si>
  <si>
    <t>Cost of Equity</t>
  </si>
  <si>
    <t>Company Capitalization &amp; WACC</t>
  </si>
  <si>
    <t>General Information:</t>
  </si>
  <si>
    <t>Cost of Capital Assumptions</t>
  </si>
  <si>
    <t>Equity Value (Present Value)</t>
  </si>
  <si>
    <t>Higher</t>
  </si>
  <si>
    <t>WACC Range</t>
  </si>
  <si>
    <r>
      <rPr>
        <sz val="9"/>
        <color theme="1"/>
        <rFont val="Calibri"/>
        <family val="2"/>
      </rPr>
      <t>∆ (+/-)</t>
    </r>
    <r>
      <rPr>
        <i/>
        <sz val="9"/>
        <color theme="1"/>
        <rFont val="Calibri"/>
        <family val="2"/>
      </rPr>
      <t xml:space="preserve"> in Perpetuity Growth Rate</t>
    </r>
  </si>
  <si>
    <t>∆ (+/-) WACC</t>
  </si>
  <si>
    <t>Ticker Symbol (for Excel API)</t>
  </si>
  <si>
    <t>Consolidated Income Statement</t>
  </si>
  <si>
    <t>| Per Share Valuation Summary</t>
  </si>
  <si>
    <t>Goodwill &amp; Intangibles</t>
  </si>
  <si>
    <t>Capital/Common Stock</t>
  </si>
  <si>
    <t>Common Size</t>
  </si>
  <si>
    <t>Fiscal Year Ending:</t>
  </si>
  <si>
    <t>Historical</t>
  </si>
  <si>
    <t>[Revenue Segment 1]</t>
  </si>
  <si>
    <t>[Revenue Segment 2]</t>
  </si>
  <si>
    <t>[COGS Segment 1]</t>
  </si>
  <si>
    <t>[COGS Segment 2]</t>
  </si>
  <si>
    <t>Supplementary Schedules:</t>
  </si>
  <si>
    <t>Additional Cash Flow Calculations</t>
  </si>
  <si>
    <t>Use to Project Working Capital Requirements &amp; Other Balance Sheet Accounts</t>
  </si>
  <si>
    <t>General Guidelines</t>
  </si>
  <si>
    <t>1)</t>
  </si>
  <si>
    <t>Use all in-cell notes where possible. They are intended to be helpful.</t>
  </si>
  <si>
    <t>2)</t>
  </si>
  <si>
    <t>Purple = Historical Data</t>
  </si>
  <si>
    <t>Blue = Assumptions &amp; Projections</t>
  </si>
  <si>
    <t>Green = Links to Other Sheets</t>
  </si>
  <si>
    <t>Black = Formulas</t>
  </si>
  <si>
    <t>User Input Cells</t>
  </si>
  <si>
    <t>Color coding is important Excel modeling practice:</t>
  </si>
  <si>
    <t>360 Huntington Fund Valuation Template</t>
  </si>
  <si>
    <t>Version: 2023 Update</t>
  </si>
  <si>
    <t>By: Nick Douglas, CFA</t>
  </si>
  <si>
    <t>Total Long-Term Assets</t>
  </si>
  <si>
    <t>Net Income from Continuing Operations</t>
  </si>
  <si>
    <t>PLUG (Dividends, Other Adj, Etc.)</t>
  </si>
  <si>
    <t>Net Cash Flow from Operating Activities</t>
  </si>
  <si>
    <t>Enterprise Value (Per Share)</t>
  </si>
  <si>
    <t>Equity Value</t>
  </si>
  <si>
    <t>Equity Value (Per Share)</t>
  </si>
  <si>
    <t>DCF Applied Case</t>
  </si>
  <si>
    <t>Sales Growth Rate</t>
  </si>
  <si>
    <t>COGS % of Sales</t>
  </si>
  <si>
    <t>Sensitivity Analysis of Operating Assumptions</t>
  </si>
  <si>
    <t>Fiscal Year:</t>
  </si>
  <si>
    <t>Fiscal Year Ending</t>
  </si>
  <si>
    <t>International Business Machines Corporation</t>
  </si>
  <si>
    <t>Millions</t>
  </si>
  <si>
    <t>Selling General and Administrative</t>
  </si>
  <si>
    <t>R&amp;D</t>
  </si>
  <si>
    <t>Other Operating Expense</t>
  </si>
  <si>
    <t>ORCL</t>
  </si>
  <si>
    <t>MSFT</t>
  </si>
  <si>
    <t>SAP</t>
  </si>
  <si>
    <t>tax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</si>
</sst>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409]d\-mmm\-yy;@"/>
    <numFmt numFmtId="165" formatCode="_(&quot;$&quot;* #,##0_);_(&quot;$&quot;* \(#,##0\);_(&quot;$&quot;* &quot;-&quot;??_);_(@_)"/>
    <numFmt numFmtId="166" formatCode="#,##0_);\(#,##0\);\-\-"/>
    <numFmt numFmtId="167" formatCode="#,##0_);[Red]\(#,##0\);\-\-"/>
    <numFmt numFmtId="168" formatCode="0.0%;[Red]\-0.0%;\-\-"/>
    <numFmt numFmtId="169" formatCode="[$-409]mmm\-yy;@"/>
    <numFmt numFmtId="170" formatCode="0.0%"/>
    <numFmt numFmtId="171" formatCode="0.00%;[Red]\-0.00%;\-\-"/>
    <numFmt numFmtId="172" formatCode="_(* #,##0_);_(* \(#,##0\);_(* &quot;-&quot;??_);_(@_)"/>
    <numFmt numFmtId="173" formatCode="_(* #,##0_);[Red]_(* \(#,##0\);_(* &quot;-&quot;??_);_(@_)"/>
    <numFmt numFmtId="174" formatCode="_(* #,##0.0_);_(* \(#,##0.0\);_(* &quot;-&quot;??_);_(@_)"/>
    <numFmt numFmtId="175" formatCode="&quot;$&quot;#,##0.00_);[Red]\(&quot;$&quot;#,##0.00\);\-"/>
    <numFmt numFmtId="176" formatCode="0000\ &quot;Revenue&quot;"/>
    <numFmt numFmtId="177" formatCode="&quot;$&quot;#,##0.0_);[Red]\(&quot;$&quot;#,##0.0\)"/>
    <numFmt numFmtId="178" formatCode="0000\ &quot;EBITDA&quot;"/>
    <numFmt numFmtId="179" formatCode="0.0\x;[Red]\-0.0\x;\-\-"/>
    <numFmt numFmtId="180" formatCode="0%;[Red]\-0%;\-\-"/>
    <numFmt numFmtId="181" formatCode="_(#,##0_);[Red]_(\(#,##0\);_(* &quot;-&quot;??_);_(@_)"/>
    <numFmt numFmtId="182" formatCode="_(* #,##0.00_);[Red]_(* \(#,##0.00\);_(* &quot;-&quot;??_);_(@_)"/>
    <numFmt numFmtId="183" formatCode="&quot;$&quot;#,##0.00"/>
    <numFmt numFmtId="184" formatCode="0.0"/>
    <numFmt numFmtId="185" formatCode="_([$$-409]* #,##0.00_);_([$$-409]* \(#,##0.00\);_([$$-409]* &quot;-&quot;??_);_(@_)"/>
    <numFmt numFmtId="186" formatCode="yyyy"/>
  </numFmts>
  <fonts count="117">
    <font>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9"/>
      <color theme="1"/>
      <name val="Calibri"/>
      <family val="2"/>
      <scheme val="minor"/>
    </font>
    <font>
      <u/>
      <sz val="9"/>
      <color theme="1"/>
      <name val="Calibri"/>
      <family val="2"/>
      <scheme val="minor"/>
    </font>
    <font>
      <sz val="9"/>
      <color rgb="FF7030A0"/>
      <name val="Calibri"/>
      <family val="2"/>
      <scheme val="minor"/>
    </font>
    <font>
      <b/>
      <sz val="9"/>
      <name val="Calibri"/>
      <family val="2"/>
      <scheme val="minor"/>
    </font>
    <font>
      <b/>
      <sz val="16"/>
      <color theme="1" tint="0.34998626667073579"/>
      <name val="Calibri"/>
      <family val="2"/>
      <scheme val="minor"/>
    </font>
    <font>
      <i/>
      <sz val="9"/>
      <color theme="1"/>
      <name val="Calibri"/>
      <family val="2"/>
      <scheme val="minor"/>
    </font>
    <font>
      <sz val="9"/>
      <name val="Calibri"/>
      <family val="2"/>
      <scheme val="minor"/>
    </font>
    <font>
      <sz val="10"/>
      <name val="Arial"/>
      <family val="2"/>
    </font>
    <font>
      <b/>
      <u/>
      <sz val="9"/>
      <name val="Calibri"/>
      <family val="2"/>
      <scheme val="minor"/>
    </font>
    <font>
      <sz val="9"/>
      <color rgb="FF0000FF"/>
      <name val="Calibri"/>
      <family val="2"/>
      <scheme val="minor"/>
    </font>
    <font>
      <i/>
      <sz val="9"/>
      <name val="Calibri"/>
      <family val="2"/>
      <scheme val="minor"/>
    </font>
    <font>
      <b/>
      <i/>
      <sz val="16"/>
      <color theme="1" tint="0.34998626667073579"/>
      <name val="Calibri"/>
      <family val="2"/>
      <scheme val="minor"/>
    </font>
    <font>
      <b/>
      <sz val="9"/>
      <color theme="0"/>
      <name val="Calibri"/>
      <family val="2"/>
      <scheme val="minor"/>
    </font>
    <font>
      <b/>
      <i/>
      <sz val="9"/>
      <color theme="0"/>
      <name val="Calibri"/>
      <family val="2"/>
      <scheme val="minor"/>
    </font>
    <font>
      <b/>
      <i/>
      <sz val="9"/>
      <color rgb="FF0000FF"/>
      <name val="Calibri"/>
      <family val="2"/>
      <scheme val="minor"/>
    </font>
    <font>
      <b/>
      <sz val="11"/>
      <color theme="1" tint="0.34998626667073579"/>
      <name val="Calibri"/>
      <family val="2"/>
      <scheme val="minor"/>
    </font>
    <font>
      <u/>
      <sz val="11"/>
      <color theme="10"/>
      <name val="Calibri"/>
      <family val="2"/>
      <scheme val="minor"/>
    </font>
    <font>
      <sz val="10"/>
      <color theme="1"/>
      <name val="Arial Narrow"/>
      <family val="2"/>
    </font>
    <font>
      <sz val="10"/>
      <color theme="0" tint="-0.499984740745262"/>
      <name val="Arial Narrow"/>
      <family val="2"/>
    </font>
    <font>
      <sz val="10"/>
      <name val="Arial Narrow"/>
      <family val="2"/>
    </font>
    <font>
      <sz val="10"/>
      <color theme="0"/>
      <name val="Arial Narrow"/>
      <family val="2"/>
    </font>
    <font>
      <b/>
      <sz val="10"/>
      <color theme="0"/>
      <name val="Arial Narrow"/>
      <family val="2"/>
    </font>
    <font>
      <sz val="10"/>
      <color rgb="FF0000FF"/>
      <name val="Arial Narrow"/>
      <family val="2"/>
    </font>
    <font>
      <b/>
      <u/>
      <sz val="10"/>
      <name val="Arial"/>
      <family val="2"/>
    </font>
    <font>
      <b/>
      <sz val="10"/>
      <color theme="1"/>
      <name val="Arial Narrow"/>
      <family val="2"/>
    </font>
    <font>
      <b/>
      <sz val="10"/>
      <name val="Arial Narrow"/>
      <family val="2"/>
    </font>
    <font>
      <sz val="10"/>
      <color theme="0"/>
      <name val="Arial"/>
      <family val="2"/>
    </font>
    <font>
      <b/>
      <u val="singleAccounting"/>
      <sz val="10"/>
      <color theme="1"/>
      <name val="Calibri"/>
      <family val="2"/>
      <scheme val="minor"/>
    </font>
    <font>
      <b/>
      <u val="singleAccounting"/>
      <sz val="10"/>
      <color theme="1"/>
      <name val="Arial Narrow"/>
      <family val="2"/>
    </font>
    <font>
      <i/>
      <sz val="10"/>
      <color theme="1"/>
      <name val="Arial Narrow"/>
      <family val="2"/>
    </font>
    <font>
      <b/>
      <i/>
      <sz val="10"/>
      <name val="Arial Narrow"/>
      <family val="2"/>
    </font>
    <font>
      <b/>
      <sz val="20"/>
      <color theme="1" tint="0.34998626667073579"/>
      <name val="Arial Narrow"/>
      <family val="2"/>
    </font>
    <font>
      <b/>
      <sz val="9"/>
      <color rgb="FFFF6600"/>
      <name val="Calibri"/>
      <family val="2"/>
      <scheme val="minor"/>
    </font>
    <font>
      <i/>
      <sz val="9"/>
      <color rgb="FF0000FF"/>
      <name val="Calibri"/>
      <family val="2"/>
      <scheme val="minor"/>
    </font>
    <font>
      <b/>
      <i/>
      <sz val="9"/>
      <color rgb="FFFF0000"/>
      <name val="Calibri"/>
      <family val="2"/>
      <scheme val="minor"/>
    </font>
    <font>
      <b/>
      <sz val="10"/>
      <name val="Arial"/>
      <family val="2"/>
    </font>
    <font>
      <b/>
      <sz val="10"/>
      <color rgb="FF0000FF"/>
      <name val="Arial"/>
      <family val="2"/>
    </font>
    <font>
      <b/>
      <sz val="11"/>
      <color theme="0"/>
      <name val="Calibri"/>
      <family val="2"/>
      <scheme val="minor"/>
    </font>
    <font>
      <b/>
      <sz val="11"/>
      <color theme="1"/>
      <name val="Calibri"/>
      <family val="2"/>
      <scheme val="minor"/>
    </font>
    <font>
      <sz val="11"/>
      <color theme="0"/>
      <name val="Calibri"/>
      <family val="2"/>
      <scheme val="minor"/>
    </font>
    <font>
      <b/>
      <sz val="6"/>
      <color theme="1"/>
      <name val="Calibri"/>
      <family val="2"/>
      <scheme val="minor"/>
    </font>
    <font>
      <b/>
      <i/>
      <sz val="9"/>
      <color theme="0"/>
      <name val="Arial Narrow"/>
      <family val="2"/>
    </font>
    <font>
      <b/>
      <i/>
      <u val="singleAccounting"/>
      <sz val="10"/>
      <color theme="1"/>
      <name val="Calibri"/>
      <family val="2"/>
      <scheme val="minor"/>
    </font>
    <font>
      <b/>
      <i/>
      <sz val="9"/>
      <name val="Arial Narrow"/>
      <family val="2"/>
    </font>
    <font>
      <sz val="4"/>
      <color theme="1"/>
      <name val="Arial Narrow"/>
      <family val="2"/>
    </font>
    <font>
      <sz val="4"/>
      <name val="Arial Narrow"/>
      <family val="2"/>
    </font>
    <font>
      <sz val="4"/>
      <color theme="1"/>
      <name val="Calibri"/>
      <family val="2"/>
      <scheme val="minor"/>
    </font>
    <font>
      <i/>
      <sz val="10"/>
      <name val="Arial Narrow"/>
      <family val="2"/>
    </font>
    <font>
      <i/>
      <sz val="4"/>
      <color theme="1"/>
      <name val="Arial Narrow"/>
      <family val="2"/>
    </font>
    <font>
      <i/>
      <sz val="4"/>
      <name val="Arial Narrow"/>
      <family val="2"/>
    </font>
    <font>
      <sz val="10"/>
      <color theme="0"/>
      <name val="Calibri"/>
      <family val="2"/>
      <scheme val="minor"/>
    </font>
    <font>
      <sz val="10"/>
      <color theme="1"/>
      <name val="Calibri"/>
      <family val="2"/>
      <scheme val="minor"/>
    </font>
    <font>
      <b/>
      <sz val="12"/>
      <color theme="0"/>
      <name val="Calibri"/>
      <family val="2"/>
      <scheme val="minor"/>
    </font>
    <font>
      <i/>
      <sz val="11"/>
      <color theme="1"/>
      <name val="Calibri"/>
      <family val="2"/>
      <scheme val="minor"/>
    </font>
    <font>
      <b/>
      <i/>
      <sz val="11"/>
      <color theme="0"/>
      <name val="Calibri"/>
      <family val="2"/>
      <scheme val="minor"/>
    </font>
    <font>
      <sz val="11"/>
      <name val="Calibri"/>
      <family val="2"/>
      <scheme val="minor"/>
    </font>
    <font>
      <b/>
      <i/>
      <sz val="11"/>
      <color theme="1"/>
      <name val="Calibri"/>
      <family val="2"/>
      <scheme val="minor"/>
    </font>
    <font>
      <b/>
      <sz val="11"/>
      <name val="Calibri"/>
      <family val="2"/>
      <scheme val="minor"/>
    </font>
    <font>
      <b/>
      <sz val="11"/>
      <color rgb="FF0000FF"/>
      <name val="Calibri"/>
      <family val="2"/>
      <scheme val="minor"/>
    </font>
    <font>
      <sz val="9"/>
      <color indexed="81"/>
      <name val="Tahoma"/>
      <family val="2"/>
    </font>
    <font>
      <sz val="10"/>
      <color rgb="FF0000FF"/>
      <name val="Arial"/>
      <family val="2"/>
    </font>
    <font>
      <b/>
      <sz val="20"/>
      <color theme="1" tint="0.34998626667073579"/>
      <name val="Calibri"/>
      <family val="2"/>
      <scheme val="minor"/>
    </font>
    <font>
      <b/>
      <sz val="10"/>
      <color theme="0"/>
      <name val="Calibri"/>
      <family val="2"/>
      <scheme val="minor"/>
    </font>
    <font>
      <b/>
      <sz val="10"/>
      <color theme="1"/>
      <name val="Calibri"/>
      <family val="2"/>
      <scheme val="minor"/>
    </font>
    <font>
      <b/>
      <i/>
      <sz val="11"/>
      <color rgb="FF0000FF"/>
      <name val="Calibri"/>
      <family val="2"/>
      <scheme val="minor"/>
    </font>
    <font>
      <b/>
      <i/>
      <sz val="10"/>
      <color theme="0"/>
      <name val="Calibri"/>
      <family val="2"/>
      <scheme val="minor"/>
    </font>
    <font>
      <sz val="11"/>
      <color rgb="FF006600"/>
      <name val="Calibri"/>
      <family val="2"/>
      <scheme val="minor"/>
    </font>
    <font>
      <b/>
      <sz val="10"/>
      <color theme="1"/>
      <name val="Calibri (Body)"/>
    </font>
    <font>
      <sz val="10"/>
      <name val="Calibri"/>
      <family val="2"/>
      <scheme val="minor"/>
    </font>
    <font>
      <b/>
      <sz val="10"/>
      <name val="Calibri"/>
      <family val="2"/>
      <scheme val="minor"/>
    </font>
    <font>
      <b/>
      <vertAlign val="subscript"/>
      <sz val="11"/>
      <color theme="1"/>
      <name val="Calibri"/>
      <family val="2"/>
      <scheme val="minor"/>
    </font>
    <font>
      <b/>
      <i/>
      <sz val="11"/>
      <name val="Calibri"/>
      <family val="2"/>
      <scheme val="minor"/>
    </font>
    <font>
      <b/>
      <i/>
      <sz val="14"/>
      <color rgb="FFFF0000"/>
      <name val="Calibri"/>
      <family val="2"/>
      <scheme val="minor"/>
    </font>
    <font>
      <sz val="11"/>
      <color indexed="8"/>
      <name val="Calibri"/>
      <family val="2"/>
    </font>
    <font>
      <b/>
      <sz val="10"/>
      <color indexed="8"/>
      <name val="Calibri"/>
      <family val="2"/>
      <scheme val="minor"/>
    </font>
    <font>
      <sz val="10"/>
      <color indexed="8"/>
      <name val="Calibri"/>
      <family val="2"/>
      <scheme val="minor"/>
    </font>
    <font>
      <b/>
      <sz val="10.5"/>
      <color rgb="FF000000"/>
      <name val="Verdana"/>
      <family val="2"/>
    </font>
    <font>
      <sz val="10.5"/>
      <color rgb="FF000000"/>
      <name val="Verdana"/>
      <family val="2"/>
    </font>
    <font>
      <sz val="10"/>
      <color rgb="FF7030A0"/>
      <name val="Calibri"/>
      <family val="2"/>
      <scheme val="minor"/>
    </font>
    <font>
      <b/>
      <sz val="14"/>
      <color theme="0"/>
      <name val="Calibri"/>
      <family val="2"/>
      <scheme val="minor"/>
    </font>
    <font>
      <b/>
      <u/>
      <sz val="10"/>
      <color theme="0"/>
      <name val="Calibri"/>
      <family val="2"/>
      <scheme val="minor"/>
    </font>
    <font>
      <b/>
      <sz val="10"/>
      <color rgb="FF0000FF"/>
      <name val="Calibri"/>
      <family val="2"/>
      <scheme val="minor"/>
    </font>
    <font>
      <i/>
      <sz val="10"/>
      <name val="Arial"/>
      <family val="2"/>
    </font>
    <font>
      <sz val="10"/>
      <color rgb="FF0000FF"/>
      <name val="Calibri"/>
      <family val="2"/>
      <scheme val="minor"/>
    </font>
    <font>
      <i/>
      <sz val="10"/>
      <color theme="1"/>
      <name val="Calibri"/>
      <family val="2"/>
      <scheme val="minor"/>
    </font>
    <font>
      <u/>
      <sz val="10"/>
      <color theme="10"/>
      <name val="Calibri"/>
      <family val="2"/>
      <scheme val="minor"/>
    </font>
    <font>
      <u/>
      <sz val="9"/>
      <color theme="10"/>
      <name val="Calibri"/>
      <family val="2"/>
      <scheme val="minor"/>
    </font>
    <font>
      <sz val="9"/>
      <color theme="1"/>
      <name val="Calibri"/>
      <family val="2"/>
    </font>
    <font>
      <i/>
      <sz val="9"/>
      <color theme="1"/>
      <name val="Calibri"/>
      <family val="2"/>
    </font>
    <font>
      <b/>
      <i/>
      <u/>
      <sz val="14"/>
      <color theme="1" tint="0.34998626667073579"/>
      <name val="Calibri"/>
      <family val="2"/>
      <scheme val="minor"/>
    </font>
    <font>
      <b/>
      <u/>
      <sz val="14"/>
      <color theme="1"/>
      <name val="Calibri"/>
      <family val="2"/>
      <scheme val="minor"/>
    </font>
    <font>
      <sz val="11"/>
      <color rgb="FF7030A0"/>
      <name val="Calibri"/>
      <family val="2"/>
      <scheme val="minor"/>
    </font>
    <font>
      <sz val="11"/>
      <color rgb="FF0000FF"/>
      <name val="Calibri"/>
      <family val="2"/>
      <scheme val="minor"/>
    </font>
    <font>
      <sz val="9"/>
      <color theme="1" tint="0.14999847407452621"/>
      <name val="Calibri"/>
      <family val="2"/>
      <scheme val="minor"/>
    </font>
    <font>
      <i/>
      <sz val="9"/>
      <color theme="1" tint="0.14999847407452621"/>
      <name val="Calibri"/>
      <family val="2"/>
      <scheme val="minor"/>
    </font>
    <font>
      <sz val="9"/>
      <color theme="0"/>
      <name val="Calibri"/>
      <family val="2"/>
      <scheme val="minor"/>
    </font>
    <font>
      <b/>
      <sz val="9"/>
      <color indexed="81"/>
      <name val="Tahoma"/>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6"/>
      <color indexed="9"/>
      <name val="Arial"/>
      <family val="2"/>
    </font>
    <font>
      <b/>
      <sz val="10"/>
      <color indexed="9"/>
      <name val="Arial"/>
      <family val="2"/>
    </font>
    <font>
      <b/>
      <sz val="18"/>
      <color theme="3"/>
      <name val="Calibri Light"/>
      <family val="2"/>
      <scheme val="major"/>
    </font>
    <font>
      <sz val="11"/>
      <color rgb="FF9C6500"/>
      <name val="Calibri"/>
      <family val="2"/>
      <scheme val="minor"/>
    </font>
    <font>
      <sz val="9"/>
      <color rgb="FFFF0000"/>
      <name val="Calibri"/>
      <family val="2"/>
      <scheme val="minor"/>
    </font>
  </fonts>
  <fills count="64">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3"/>
        <bgColor indexed="64"/>
      </patternFill>
    </fill>
    <fill>
      <patternFill patternType="solid">
        <fgColor theme="1"/>
        <bgColor indexed="64"/>
      </patternFill>
    </fill>
    <fill>
      <patternFill patternType="solid">
        <fgColor theme="2"/>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499984740745262"/>
        <bgColor indexed="64"/>
      </patternFill>
    </fill>
    <fill>
      <patternFill patternType="solid">
        <fgColor theme="9"/>
        <bgColor indexed="64"/>
      </patternFill>
    </fill>
    <fill>
      <patternFill patternType="solid">
        <fgColor theme="9" tint="0.39997558519241921"/>
        <bgColor indexed="64"/>
      </patternFill>
    </fill>
    <fill>
      <patternFill patternType="solid">
        <fgColor theme="0"/>
        <bgColor indexed="64"/>
      </patternFill>
    </fill>
    <fill>
      <patternFill patternType="solid">
        <fgColor rgb="FFD0232B"/>
        <bgColor indexed="64"/>
      </patternFill>
    </fill>
    <fill>
      <patternFill patternType="solid">
        <fgColor theme="0" tint="-4.9989318521683403E-2"/>
        <bgColor indexed="64"/>
      </patternFill>
    </fill>
    <fill>
      <patternFill patternType="solid">
        <fgColor theme="8"/>
        <bgColor indexed="64"/>
      </patternFill>
    </fill>
    <fill>
      <patternFill patternType="solid">
        <fgColor theme="4" tint="0.59999389629810485"/>
        <bgColor indexed="64"/>
      </patternFill>
    </fill>
    <fill>
      <patternFill patternType="solid">
        <fgColor rgb="FF333437"/>
        <bgColor indexed="64"/>
      </patternFill>
    </fill>
    <fill>
      <patternFill patternType="solid">
        <fgColor theme="0" tint="-0.49998474074526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5"/>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theme="3" tint="-0.49998474074526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s>
  <borders count="83">
    <border>
      <left/>
      <right/>
      <top/>
      <bottom/>
      <diagonal/>
    </border>
    <border>
      <left/>
      <right/>
      <top style="hair">
        <color auto="1"/>
      </top>
      <bottom style="hair">
        <color auto="1"/>
      </bottom>
      <diagonal/>
    </border>
    <border>
      <left/>
      <right/>
      <top/>
      <bottom style="hair">
        <color auto="1"/>
      </bottom>
      <diagonal/>
    </border>
    <border>
      <left/>
      <right/>
      <top style="dotted">
        <color auto="1"/>
      </top>
      <bottom style="dotted">
        <color auto="1"/>
      </bottom>
      <diagonal/>
    </border>
    <border>
      <left/>
      <right/>
      <top/>
      <bottom style="medium">
        <color indexed="64"/>
      </bottom>
      <diagonal/>
    </border>
    <border>
      <left style="thin">
        <color auto="1"/>
      </left>
      <right/>
      <top/>
      <bottom/>
      <diagonal/>
    </border>
    <border>
      <left/>
      <right style="thin">
        <color auto="1"/>
      </right>
      <top/>
      <bottom/>
      <diagonal/>
    </border>
    <border>
      <left style="thin">
        <color auto="1"/>
      </left>
      <right/>
      <top style="dotted">
        <color auto="1"/>
      </top>
      <bottom style="dotted">
        <color auto="1"/>
      </bottom>
      <diagonal/>
    </border>
    <border>
      <left/>
      <right style="thin">
        <color auto="1"/>
      </right>
      <top style="dotted">
        <color auto="1"/>
      </top>
      <bottom style="dotted">
        <color auto="1"/>
      </bottom>
      <diagonal/>
    </border>
    <border>
      <left/>
      <right style="thin">
        <color auto="1"/>
      </right>
      <top style="dotted">
        <color auto="1"/>
      </top>
      <bottom/>
      <diagonal/>
    </border>
    <border>
      <left/>
      <right/>
      <top style="thin">
        <color auto="1"/>
      </top>
      <bottom/>
      <diagonal/>
    </border>
    <border>
      <left/>
      <right/>
      <top/>
      <bottom style="thin">
        <color indexed="64"/>
      </bottom>
      <diagonal/>
    </border>
    <border>
      <left/>
      <right/>
      <top style="medium">
        <color theme="3" tint="-0.24994659260841701"/>
      </top>
      <bottom/>
      <diagonal/>
    </border>
    <border>
      <left/>
      <right/>
      <top/>
      <bottom style="medium">
        <color theme="3" tint="-0.24994659260841701"/>
      </bottom>
      <diagonal/>
    </border>
    <border>
      <left style="thin">
        <color auto="1"/>
      </left>
      <right/>
      <top style="dotted">
        <color auto="1"/>
      </top>
      <bottom style="thin">
        <color indexed="64"/>
      </bottom>
      <diagonal/>
    </border>
    <border>
      <left style="thin">
        <color auto="1"/>
      </left>
      <right/>
      <top style="dotted">
        <color auto="1"/>
      </top>
      <bottom/>
      <diagonal/>
    </border>
    <border>
      <left/>
      <right/>
      <top/>
      <bottom style="medium">
        <color theme="0"/>
      </bottom>
      <diagonal/>
    </border>
    <border>
      <left/>
      <right/>
      <top style="thin">
        <color theme="0" tint="-0.499984740745262"/>
      </top>
      <bottom style="thin">
        <color theme="0" tint="-0.499984740745262"/>
      </bottom>
      <diagonal/>
    </border>
    <border>
      <left/>
      <right/>
      <top style="thin">
        <color theme="0" tint="-0.499984740745262"/>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dotted">
        <color auto="1"/>
      </top>
      <bottom/>
      <diagonal/>
    </border>
    <border>
      <left/>
      <right/>
      <top style="dotted">
        <color auto="1"/>
      </top>
      <bottom style="thin">
        <color indexed="64"/>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
      <left style="thick">
        <color theme="3"/>
      </left>
      <right style="thick">
        <color theme="3"/>
      </right>
      <top style="thick">
        <color theme="3"/>
      </top>
      <bottom style="thick">
        <color theme="3"/>
      </bottom>
      <diagonal/>
    </border>
    <border>
      <left/>
      <right/>
      <top style="thin">
        <color theme="0" tint="-0.34998626667073579"/>
      </top>
      <bottom style="thin">
        <color theme="0" tint="-0.34998626667073579"/>
      </bottom>
      <diagonal/>
    </border>
    <border>
      <left style="medium">
        <color theme="3"/>
      </left>
      <right style="medium">
        <color theme="3"/>
      </right>
      <top style="medium">
        <color theme="3"/>
      </top>
      <bottom style="medium">
        <color theme="3"/>
      </bottom>
      <diagonal/>
    </border>
    <border>
      <left/>
      <right/>
      <top style="thin">
        <color theme="0" tint="-0.34998626667073579"/>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right/>
      <top style="medium">
        <color theme="0" tint="-0.34998626667073579"/>
      </top>
      <bottom style="dotted">
        <color theme="0" tint="-0.34998626667073579"/>
      </bottom>
      <diagonal/>
    </border>
    <border>
      <left/>
      <right/>
      <top style="dotted">
        <color theme="0" tint="-0.34998626667073579"/>
      </top>
      <bottom style="dotted">
        <color theme="0" tint="-0.34998626667073579"/>
      </bottom>
      <diagonal/>
    </border>
    <border>
      <left/>
      <right/>
      <top style="dotted">
        <color theme="0" tint="-0.34998626667073579"/>
      </top>
      <bottom style="medium">
        <color theme="0" tint="-0.34998626667073579"/>
      </bottom>
      <diagonal/>
    </border>
    <border>
      <left/>
      <right/>
      <top style="medium">
        <color theme="0" tint="-0.499984740745262"/>
      </top>
      <bottom style="medium">
        <color theme="0" tint="-0.499984740745262"/>
      </bottom>
      <diagonal/>
    </border>
    <border>
      <left/>
      <right/>
      <top style="medium">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top style="dotted">
        <color theme="0" tint="-0.499984740745262"/>
      </top>
      <bottom style="medium">
        <color theme="0" tint="-0.499984740745262"/>
      </bottom>
      <diagonal/>
    </border>
    <border>
      <left style="medium">
        <color theme="3" tint="-0.24994659260841701"/>
      </left>
      <right/>
      <top style="medium">
        <color theme="3" tint="-0.24994659260841701"/>
      </top>
      <bottom style="dotted">
        <color theme="0" tint="-0.499984740745262"/>
      </bottom>
      <diagonal/>
    </border>
    <border>
      <left/>
      <right style="medium">
        <color theme="3" tint="-0.24994659260841701"/>
      </right>
      <top style="medium">
        <color theme="3" tint="-0.24994659260841701"/>
      </top>
      <bottom style="dotted">
        <color theme="0" tint="-0.499984740745262"/>
      </bottom>
      <diagonal/>
    </border>
    <border>
      <left style="medium">
        <color theme="3" tint="-0.24994659260841701"/>
      </left>
      <right/>
      <top style="dotted">
        <color theme="0" tint="-0.499984740745262"/>
      </top>
      <bottom style="dotted">
        <color theme="0" tint="-0.499984740745262"/>
      </bottom>
      <diagonal/>
    </border>
    <border>
      <left/>
      <right style="medium">
        <color theme="3" tint="-0.24994659260841701"/>
      </right>
      <top style="dotted">
        <color theme="0" tint="-0.499984740745262"/>
      </top>
      <bottom style="dotted">
        <color theme="0" tint="-0.499984740745262"/>
      </bottom>
      <diagonal/>
    </border>
    <border>
      <left style="medium">
        <color theme="3" tint="-0.24994659260841701"/>
      </left>
      <right/>
      <top style="dotted">
        <color theme="0" tint="-0.499984740745262"/>
      </top>
      <bottom style="medium">
        <color theme="3" tint="-0.24994659260841701"/>
      </bottom>
      <diagonal/>
    </border>
    <border>
      <left/>
      <right style="medium">
        <color theme="3" tint="-0.24994659260841701"/>
      </right>
      <top style="dotted">
        <color theme="0" tint="-0.499984740745262"/>
      </top>
      <bottom style="medium">
        <color theme="3" tint="-0.24994659260841701"/>
      </bottom>
      <diagonal/>
    </border>
    <border>
      <left/>
      <right style="medium">
        <color theme="3" tint="-0.24994659260841701"/>
      </right>
      <top/>
      <bottom/>
      <diagonal/>
    </border>
    <border>
      <left/>
      <right/>
      <top style="medium">
        <color auto="1"/>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dotted">
        <color indexed="64"/>
      </left>
      <right/>
      <top style="dotted">
        <color indexed="64"/>
      </top>
      <bottom/>
      <diagonal/>
    </border>
    <border>
      <left/>
      <right style="dotted">
        <color indexed="64"/>
      </right>
      <top style="dotted">
        <color indexed="64"/>
      </top>
      <bottom/>
      <diagonal/>
    </border>
    <border>
      <left style="dotted">
        <color indexed="64"/>
      </left>
      <right/>
      <top/>
      <bottom/>
      <diagonal/>
    </border>
    <border>
      <left/>
      <right style="dotted">
        <color indexed="64"/>
      </right>
      <top/>
      <bottom/>
      <diagonal/>
    </border>
    <border>
      <left style="dotted">
        <color indexed="64"/>
      </left>
      <right/>
      <top/>
      <bottom style="dotted">
        <color indexed="64"/>
      </bottom>
      <diagonal/>
    </border>
    <border>
      <left/>
      <right style="dotted">
        <color indexed="64"/>
      </right>
      <top/>
      <bottom style="dotted">
        <color indexed="64"/>
      </bottom>
      <diagonal/>
    </border>
    <border>
      <left/>
      <right/>
      <top/>
      <bottom style="dotted">
        <color indexed="64"/>
      </bottom>
      <diagonal/>
    </border>
    <border>
      <left style="medium">
        <color rgb="FFFF0000"/>
      </left>
      <right style="medium">
        <color rgb="FFFF0000"/>
      </right>
      <top style="medium">
        <color rgb="FFFF0000"/>
      </top>
      <bottom style="medium">
        <color rgb="FFFF0000"/>
      </bottom>
      <diagonal/>
    </border>
    <border>
      <left style="dotted">
        <color rgb="FFFF0000"/>
      </left>
      <right style="dotted">
        <color rgb="FFFF0000"/>
      </right>
      <top style="dotted">
        <color rgb="FFFF0000"/>
      </top>
      <bottom style="dotted">
        <color rgb="FFFF0000"/>
      </bottom>
      <diagonal/>
    </border>
    <border>
      <left/>
      <right/>
      <top/>
      <bottom style="dotted">
        <color theme="0" tint="-0.34998626667073579"/>
      </bottom>
      <diagonal/>
    </border>
    <border>
      <left/>
      <right/>
      <top style="dotted">
        <color theme="0" tint="-0.34998626667073579"/>
      </top>
      <bottom style="thin">
        <color theme="0" tint="-0.34998626667073579"/>
      </bottom>
      <diagonal/>
    </border>
    <border>
      <left/>
      <right/>
      <top style="thin">
        <color theme="0" tint="-0.34998626667073579"/>
      </top>
      <bottom style="dotted">
        <color theme="0" tint="-0.3499862666707357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54">
    <xf numFmtId="0" fontId="0" fillId="0" borderId="0"/>
    <xf numFmtId="9" fontId="2" fillId="0" borderId="0" applyFont="0" applyFill="0" applyBorder="0" applyAlignment="0" applyProtection="0"/>
    <xf numFmtId="0" fontId="11" fillId="0" borderId="0"/>
    <xf numFmtId="0" fontId="20" fillId="0" borderId="0" applyNumberForma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0" fontId="77" fillId="0" borderId="0"/>
    <xf numFmtId="0" fontId="101" fillId="0" borderId="73" applyNumberFormat="0" applyFill="0" applyAlignment="0" applyProtection="0"/>
    <xf numFmtId="0" fontId="102" fillId="0" borderId="74" applyNumberFormat="0" applyFill="0" applyAlignment="0" applyProtection="0"/>
    <xf numFmtId="0" fontId="103" fillId="0" borderId="75" applyNumberFormat="0" applyFill="0" applyAlignment="0" applyProtection="0"/>
    <xf numFmtId="0" fontId="103" fillId="0" borderId="0" applyNumberFormat="0" applyFill="0" applyBorder="0" applyAlignment="0" applyProtection="0"/>
    <xf numFmtId="0" fontId="104" fillId="32" borderId="0" applyNumberFormat="0" applyBorder="0" applyAlignment="0" applyProtection="0"/>
    <xf numFmtId="0" fontId="105" fillId="33" borderId="0" applyNumberFormat="0" applyBorder="0" applyAlignment="0" applyProtection="0"/>
    <xf numFmtId="0" fontId="106" fillId="35" borderId="76" applyNumberFormat="0" applyAlignment="0" applyProtection="0"/>
    <xf numFmtId="0" fontId="107" fillId="36" borderId="77" applyNumberFormat="0" applyAlignment="0" applyProtection="0"/>
    <xf numFmtId="0" fontId="108" fillId="36" borderId="76" applyNumberFormat="0" applyAlignment="0" applyProtection="0"/>
    <xf numFmtId="0" fontId="109" fillId="0" borderId="78" applyNumberFormat="0" applyFill="0" applyAlignment="0" applyProtection="0"/>
    <xf numFmtId="0" fontId="41" fillId="37" borderId="79" applyNumberFormat="0" applyAlignment="0" applyProtection="0"/>
    <xf numFmtId="0" fontId="110" fillId="0" borderId="0" applyNumberFormat="0" applyFill="0" applyBorder="0" applyAlignment="0" applyProtection="0"/>
    <xf numFmtId="0" fontId="2" fillId="38" borderId="80" applyNumberFormat="0" applyFont="0" applyAlignment="0" applyProtection="0"/>
    <xf numFmtId="0" fontId="111" fillId="0" borderId="0" applyNumberFormat="0" applyFill="0" applyBorder="0" applyAlignment="0" applyProtection="0"/>
    <xf numFmtId="0" fontId="42" fillId="0" borderId="81" applyNumberFormat="0" applyFill="0" applyAlignment="0" applyProtection="0"/>
    <xf numFmtId="0" fontId="43"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43"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43" fillId="47" borderId="0" applyNumberFormat="0" applyBorder="0" applyAlignment="0" applyProtection="0"/>
    <xf numFmtId="0" fontId="2" fillId="48" borderId="0" applyNumberFormat="0" applyBorder="0" applyAlignment="0" applyProtection="0"/>
    <xf numFmtId="0" fontId="2" fillId="49" borderId="0" applyNumberFormat="0" applyBorder="0" applyAlignment="0" applyProtection="0"/>
    <xf numFmtId="0" fontId="43" fillId="51" borderId="0" applyNumberFormat="0" applyBorder="0" applyAlignment="0" applyProtection="0"/>
    <xf numFmtId="0" fontId="2" fillId="52" borderId="0" applyNumberFormat="0" applyBorder="0" applyAlignment="0" applyProtection="0"/>
    <xf numFmtId="0" fontId="2" fillId="53" borderId="0" applyNumberFormat="0" applyBorder="0" applyAlignment="0" applyProtection="0"/>
    <xf numFmtId="0" fontId="43" fillId="55" borderId="0" applyNumberFormat="0" applyBorder="0" applyAlignment="0" applyProtection="0"/>
    <xf numFmtId="0" fontId="2" fillId="56" borderId="0" applyNumberFormat="0" applyBorder="0" applyAlignment="0" applyProtection="0"/>
    <xf numFmtId="0" fontId="2" fillId="57" borderId="0" applyNumberFormat="0" applyBorder="0" applyAlignment="0" applyProtection="0"/>
    <xf numFmtId="0" fontId="43" fillId="59" borderId="0" applyNumberFormat="0" applyBorder="0" applyAlignment="0" applyProtection="0"/>
    <xf numFmtId="0" fontId="2" fillId="60" borderId="0" applyNumberFormat="0" applyBorder="0" applyAlignment="0" applyProtection="0"/>
    <xf numFmtId="0" fontId="2" fillId="61" borderId="0" applyNumberFormat="0" applyBorder="0" applyAlignment="0" applyProtection="0"/>
    <xf numFmtId="0" fontId="43" fillId="42" borderId="0" applyNumberFormat="0" applyBorder="0" applyAlignment="0" applyProtection="0"/>
    <xf numFmtId="0" fontId="43" fillId="46" borderId="0" applyNumberFormat="0" applyBorder="0" applyAlignment="0" applyProtection="0"/>
    <xf numFmtId="0" fontId="43" fillId="50" borderId="0" applyNumberFormat="0" applyBorder="0" applyAlignment="0" applyProtection="0"/>
    <xf numFmtId="0" fontId="43" fillId="54" borderId="0" applyNumberFormat="0" applyBorder="0" applyAlignment="0" applyProtection="0"/>
    <xf numFmtId="0" fontId="43" fillId="58" borderId="0" applyNumberFormat="0" applyBorder="0" applyAlignment="0" applyProtection="0"/>
    <xf numFmtId="0" fontId="43" fillId="62" borderId="0" applyNumberFormat="0" applyBorder="0" applyAlignment="0" applyProtection="0"/>
    <xf numFmtId="0" fontId="115" fillId="34" borderId="0" applyNumberFormat="0" applyBorder="0" applyAlignment="0" applyProtection="0"/>
    <xf numFmtId="0" fontId="114" fillId="0" borderId="0" applyNumberFormat="0" applyFill="0" applyBorder="0" applyAlignment="0" applyProtection="0"/>
    <xf numFmtId="0" fontId="112" fillId="63" borderId="55" applyNumberFormat="0" applyProtection="0">
      <alignment horizontal="left" vertical="center" readingOrder="1"/>
    </xf>
    <xf numFmtId="0" fontId="113" fillId="63" borderId="82">
      <alignment horizontal="left"/>
    </xf>
  </cellStyleXfs>
  <cellXfs count="518">
    <xf numFmtId="0" fontId="0" fillId="0" borderId="0" xfId="0"/>
    <xf numFmtId="0" fontId="3" fillId="3" borderId="0" xfId="0" applyFont="1" applyFill="1" applyAlignment="1">
      <alignment vertical="center"/>
    </xf>
    <xf numFmtId="0" fontId="4" fillId="0" borderId="0" xfId="0" applyFont="1"/>
    <xf numFmtId="0" fontId="3" fillId="0" borderId="0" xfId="0" applyFont="1"/>
    <xf numFmtId="0" fontId="4" fillId="4" borderId="0" xfId="0" applyFont="1" applyFill="1"/>
    <xf numFmtId="0" fontId="4" fillId="5" borderId="0" xfId="0" applyFont="1" applyFill="1"/>
    <xf numFmtId="165" fontId="3" fillId="0" borderId="1" xfId="0" applyNumberFormat="1" applyFont="1" applyBorder="1"/>
    <xf numFmtId="0" fontId="3" fillId="0" borderId="1" xfId="0" applyFont="1" applyBorder="1" applyAlignment="1">
      <alignment vertical="center"/>
    </xf>
    <xf numFmtId="0" fontId="4" fillId="0" borderId="0" xfId="0" applyFont="1" applyAlignment="1">
      <alignment horizontal="left" vertical="center" indent="1"/>
    </xf>
    <xf numFmtId="0" fontId="9" fillId="0" borderId="0" xfId="0" applyFont="1" applyAlignment="1">
      <alignment horizontal="left" indent="1"/>
    </xf>
    <xf numFmtId="167" fontId="7" fillId="0" borderId="0" xfId="0" applyNumberFormat="1" applyFont="1" applyAlignment="1">
      <alignment horizontal="right" vertical="center"/>
    </xf>
    <xf numFmtId="167" fontId="3" fillId="0" borderId="1" xfId="0" applyNumberFormat="1" applyFont="1" applyBorder="1"/>
    <xf numFmtId="0" fontId="3" fillId="6" borderId="0" xfId="0" applyFont="1" applyFill="1" applyAlignment="1">
      <alignment vertical="center"/>
    </xf>
    <xf numFmtId="0" fontId="4" fillId="6" borderId="0" xfId="0" applyFont="1" applyFill="1"/>
    <xf numFmtId="168" fontId="9" fillId="0" borderId="0" xfId="1" applyNumberFormat="1" applyFont="1" applyAlignment="1">
      <alignment horizontal="right"/>
    </xf>
    <xf numFmtId="0" fontId="7" fillId="0" borderId="0" xfId="2" applyFont="1" applyAlignment="1">
      <alignment horizontal="left" indent="1"/>
    </xf>
    <xf numFmtId="0" fontId="10" fillId="0" borderId="0" xfId="2" applyFont="1" applyAlignment="1">
      <alignment horizontal="left" indent="2"/>
    </xf>
    <xf numFmtId="0" fontId="7" fillId="0" borderId="1" xfId="2" applyFont="1" applyBorder="1" applyAlignment="1">
      <alignment horizontal="left" indent="1"/>
    </xf>
    <xf numFmtId="0" fontId="10" fillId="0" borderId="0" xfId="2" applyFont="1" applyAlignment="1">
      <alignment horizontal="left" indent="1"/>
    </xf>
    <xf numFmtId="0" fontId="7" fillId="0" borderId="1" xfId="2" applyFont="1" applyBorder="1"/>
    <xf numFmtId="0" fontId="3" fillId="0" borderId="0" xfId="2" applyFont="1" applyAlignment="1">
      <alignment horizontal="left" indent="1"/>
    </xf>
    <xf numFmtId="0" fontId="5" fillId="9" borderId="0" xfId="0" applyFont="1" applyFill="1" applyAlignment="1">
      <alignment vertical="center"/>
    </xf>
    <xf numFmtId="0" fontId="4" fillId="9" borderId="0" xfId="0" applyFont="1" applyFill="1"/>
    <xf numFmtId="0" fontId="5" fillId="9" borderId="0" xfId="0" applyFont="1" applyFill="1"/>
    <xf numFmtId="0" fontId="12" fillId="9" borderId="0" xfId="2" applyFont="1" applyFill="1"/>
    <xf numFmtId="167" fontId="9" fillId="8" borderId="0" xfId="0" applyNumberFormat="1" applyFont="1" applyFill="1"/>
    <xf numFmtId="0" fontId="13" fillId="7" borderId="0" xfId="0" applyFont="1" applyFill="1" applyAlignment="1">
      <alignment horizontal="center" vertical="center"/>
    </xf>
    <xf numFmtId="0" fontId="10" fillId="0" borderId="1" xfId="2" applyFont="1" applyBorder="1" applyAlignment="1">
      <alignment horizontal="left" indent="1"/>
    </xf>
    <xf numFmtId="0" fontId="3" fillId="11" borderId="0" xfId="0" applyFont="1" applyFill="1"/>
    <xf numFmtId="0" fontId="4" fillId="11" borderId="0" xfId="0" applyFont="1" applyFill="1"/>
    <xf numFmtId="0" fontId="14" fillId="0" borderId="1" xfId="2" applyFont="1" applyBorder="1" applyAlignment="1">
      <alignment horizontal="left" indent="1"/>
    </xf>
    <xf numFmtId="168" fontId="4" fillId="0" borderId="0" xfId="1" applyNumberFormat="1" applyFont="1" applyAlignment="1">
      <alignment horizontal="right"/>
    </xf>
    <xf numFmtId="168" fontId="3" fillId="0" borderId="0" xfId="1" applyNumberFormat="1" applyFont="1" applyAlignment="1">
      <alignment horizontal="right"/>
    </xf>
    <xf numFmtId="0" fontId="15" fillId="0" borderId="0" xfId="0" applyFont="1" applyAlignment="1">
      <alignment horizontal="left" vertical="center" indent="1"/>
    </xf>
    <xf numFmtId="168" fontId="3" fillId="0" borderId="1" xfId="1" applyNumberFormat="1" applyFont="1" applyBorder="1" applyAlignment="1">
      <alignment horizontal="right"/>
    </xf>
    <xf numFmtId="165" fontId="6" fillId="7" borderId="0" xfId="0" applyNumberFormat="1" applyFont="1" applyFill="1" applyAlignment="1" applyProtection="1">
      <alignment horizontal="center" vertical="center"/>
      <protection locked="0"/>
    </xf>
    <xf numFmtId="165" fontId="13" fillId="7" borderId="0" xfId="0" applyNumberFormat="1" applyFont="1" applyFill="1" applyAlignment="1" applyProtection="1">
      <alignment horizontal="center" vertical="center"/>
      <protection locked="0"/>
    </xf>
    <xf numFmtId="166" fontId="6" fillId="7" borderId="0" xfId="0" applyNumberFormat="1" applyFont="1" applyFill="1" applyAlignment="1" applyProtection="1">
      <alignment horizontal="right" vertical="center"/>
      <protection locked="0"/>
    </xf>
    <xf numFmtId="166" fontId="13" fillId="7" borderId="0" xfId="0" applyNumberFormat="1" applyFont="1" applyFill="1" applyAlignment="1" applyProtection="1">
      <alignment horizontal="right" vertical="center"/>
      <protection locked="0"/>
    </xf>
    <xf numFmtId="0" fontId="8" fillId="0" borderId="0" xfId="0" applyFont="1" applyAlignment="1">
      <alignment horizontal="left" vertical="center" wrapText="1" indent="1"/>
    </xf>
    <xf numFmtId="0" fontId="21" fillId="16" borderId="0" xfId="2" applyFont="1" applyFill="1" applyAlignment="1">
      <alignment vertical="center"/>
    </xf>
    <xf numFmtId="0" fontId="22" fillId="16" borderId="0" xfId="2" applyFont="1" applyFill="1" applyAlignment="1">
      <alignment horizontal="center" vertical="center"/>
    </xf>
    <xf numFmtId="0" fontId="23" fillId="16" borderId="0" xfId="2" applyFont="1" applyFill="1"/>
    <xf numFmtId="0" fontId="21" fillId="16" borderId="0" xfId="2" applyFont="1" applyFill="1"/>
    <xf numFmtId="0" fontId="24" fillId="16" borderId="0" xfId="2" applyFont="1" applyFill="1" applyAlignment="1">
      <alignment vertical="center"/>
    </xf>
    <xf numFmtId="0" fontId="11" fillId="16" borderId="0" xfId="2" applyFill="1"/>
    <xf numFmtId="0" fontId="23" fillId="16" borderId="0" xfId="2" applyFont="1" applyFill="1" applyAlignment="1">
      <alignment horizontal="left" vertical="center"/>
    </xf>
    <xf numFmtId="0" fontId="21" fillId="16" borderId="2" xfId="2" applyFont="1" applyFill="1" applyBorder="1"/>
    <xf numFmtId="0" fontId="23" fillId="16" borderId="0" xfId="2" applyFont="1" applyFill="1" applyAlignment="1">
      <alignment vertical="center"/>
    </xf>
    <xf numFmtId="0" fontId="28" fillId="16" borderId="0" xfId="2" applyFont="1" applyFill="1"/>
    <xf numFmtId="170" fontId="28" fillId="16" borderId="0" xfId="2" applyNumberFormat="1" applyFont="1" applyFill="1"/>
    <xf numFmtId="0" fontId="29" fillId="16" borderId="0" xfId="2" applyFont="1" applyFill="1" applyAlignment="1">
      <alignment horizontal="left" vertical="top"/>
    </xf>
    <xf numFmtId="0" fontId="29" fillId="16" borderId="0" xfId="2" applyFont="1" applyFill="1" applyAlignment="1">
      <alignment horizontal="center"/>
    </xf>
    <xf numFmtId="0" fontId="30" fillId="16" borderId="0" xfId="2" applyFont="1" applyFill="1"/>
    <xf numFmtId="9" fontId="24" fillId="16" borderId="0" xfId="4" applyFont="1" applyFill="1"/>
    <xf numFmtId="0" fontId="21" fillId="16" borderId="0" xfId="2" applyFont="1" applyFill="1" applyAlignment="1">
      <alignment horizontal="left" indent="1"/>
    </xf>
    <xf numFmtId="172" fontId="23" fillId="16" borderId="0" xfId="6" applyNumberFormat="1" applyFont="1" applyFill="1"/>
    <xf numFmtId="9" fontId="29" fillId="16" borderId="0" xfId="4" applyFont="1" applyFill="1"/>
    <xf numFmtId="0" fontId="28" fillId="16" borderId="0" xfId="2" applyFont="1" applyFill="1" applyAlignment="1">
      <alignment vertical="center"/>
    </xf>
    <xf numFmtId="0" fontId="28" fillId="16" borderId="0" xfId="2" applyFont="1" applyFill="1" applyAlignment="1">
      <alignment horizontal="center" vertical="center"/>
    </xf>
    <xf numFmtId="0" fontId="31" fillId="16" borderId="0" xfId="0" applyFont="1" applyFill="1" applyAlignment="1">
      <alignment horizontal="center" vertical="center"/>
    </xf>
    <xf numFmtId="0" fontId="32" fillId="16" borderId="0" xfId="2" applyFont="1" applyFill="1" applyAlignment="1">
      <alignment horizontal="centerContinuous" vertical="center"/>
    </xf>
    <xf numFmtId="0" fontId="29" fillId="8" borderId="4" xfId="2" applyFont="1" applyFill="1" applyBorder="1" applyAlignment="1">
      <alignment vertical="center"/>
    </xf>
    <xf numFmtId="0" fontId="23" fillId="8" borderId="4" xfId="2" applyFont="1" applyFill="1" applyBorder="1" applyAlignment="1">
      <alignment horizontal="center" vertical="center"/>
    </xf>
    <xf numFmtId="170" fontId="28" fillId="16" borderId="3" xfId="4" applyNumberFormat="1" applyFont="1" applyFill="1" applyBorder="1" applyAlignment="1">
      <alignment vertical="center"/>
    </xf>
    <xf numFmtId="0" fontId="23" fillId="16" borderId="3" xfId="2" applyFont="1" applyFill="1" applyBorder="1"/>
    <xf numFmtId="173" fontId="23" fillId="16" borderId="3" xfId="6" applyNumberFormat="1" applyFont="1" applyFill="1" applyBorder="1" applyAlignment="1">
      <alignment vertical="center"/>
    </xf>
    <xf numFmtId="0" fontId="21" fillId="16" borderId="0" xfId="2" applyFont="1" applyFill="1" applyAlignment="1">
      <alignment horizontal="left" vertical="center" indent="1"/>
    </xf>
    <xf numFmtId="170" fontId="21" fillId="16" borderId="2" xfId="4" applyNumberFormat="1" applyFont="1" applyFill="1" applyBorder="1" applyAlignment="1">
      <alignment horizontal="left" vertical="center" indent="1"/>
    </xf>
    <xf numFmtId="173" fontId="23" fillId="16" borderId="0" xfId="6" applyNumberFormat="1" applyFont="1" applyFill="1" applyAlignment="1">
      <alignment vertical="center"/>
    </xf>
    <xf numFmtId="0" fontId="28" fillId="16" borderId="3" xfId="2" applyFont="1" applyFill="1" applyBorder="1" applyAlignment="1">
      <alignment horizontal="left" vertical="center"/>
    </xf>
    <xf numFmtId="0" fontId="33" fillId="16" borderId="0" xfId="2" applyFont="1" applyFill="1" applyAlignment="1">
      <alignment horizontal="left" vertical="center" indent="1"/>
    </xf>
    <xf numFmtId="172" fontId="23" fillId="16" borderId="0" xfId="6" applyNumberFormat="1" applyFont="1" applyFill="1" applyAlignment="1">
      <alignment vertical="center"/>
    </xf>
    <xf numFmtId="0" fontId="28" fillId="16" borderId="3" xfId="2" applyFont="1" applyFill="1" applyBorder="1" applyAlignment="1">
      <alignment vertical="center"/>
    </xf>
    <xf numFmtId="173" fontId="29" fillId="16" borderId="3" xfId="6" applyNumberFormat="1" applyFont="1" applyFill="1" applyBorder="1" applyAlignment="1">
      <alignment vertical="center"/>
    </xf>
    <xf numFmtId="172" fontId="0" fillId="16" borderId="0" xfId="6" applyNumberFormat="1" applyFont="1" applyFill="1"/>
    <xf numFmtId="0" fontId="33" fillId="16" borderId="0" xfId="2" applyFont="1" applyFill="1" applyAlignment="1">
      <alignment horizontal="right"/>
    </xf>
    <xf numFmtId="0" fontId="21" fillId="18" borderId="5" xfId="2" applyFont="1" applyFill="1" applyBorder="1" applyAlignment="1">
      <alignment horizontal="left" vertical="center"/>
    </xf>
    <xf numFmtId="170" fontId="26" fillId="18" borderId="6" xfId="4" applyNumberFormat="1" applyFont="1" applyFill="1" applyBorder="1" applyAlignment="1">
      <alignment horizontal="right" vertical="center"/>
    </xf>
    <xf numFmtId="0" fontId="28" fillId="18" borderId="7" xfId="2" applyFont="1" applyFill="1" applyBorder="1" applyAlignment="1">
      <alignment horizontal="left" vertical="center"/>
    </xf>
    <xf numFmtId="0" fontId="35" fillId="16" borderId="0" xfId="2" applyFont="1" applyFill="1" applyAlignment="1">
      <alignment horizontal="left" vertical="center" indent="1"/>
    </xf>
    <xf numFmtId="0" fontId="24" fillId="4" borderId="0" xfId="2" applyFont="1" applyFill="1" applyAlignment="1">
      <alignment vertical="center"/>
    </xf>
    <xf numFmtId="0" fontId="21" fillId="5" borderId="0" xfId="2" applyFont="1" applyFill="1" applyAlignment="1">
      <alignment vertical="center"/>
    </xf>
    <xf numFmtId="0" fontId="25" fillId="4" borderId="0" xfId="2" applyFont="1" applyFill="1" applyAlignment="1">
      <alignment vertical="center"/>
    </xf>
    <xf numFmtId="0" fontId="24" fillId="4" borderId="0" xfId="2" applyFont="1" applyFill="1" applyAlignment="1">
      <alignment horizontal="center" vertical="center"/>
    </xf>
    <xf numFmtId="0" fontId="24" fillId="4" borderId="0" xfId="2" applyFont="1" applyFill="1" applyAlignment="1">
      <alignment horizontal="right" vertical="center"/>
    </xf>
    <xf numFmtId="0" fontId="23" fillId="4" borderId="0" xfId="2" applyFont="1" applyFill="1"/>
    <xf numFmtId="0" fontId="28" fillId="11" borderId="3" xfId="2" applyFont="1" applyFill="1" applyBorder="1"/>
    <xf numFmtId="170" fontId="28" fillId="11" borderId="3" xfId="2" applyNumberFormat="1" applyFont="1" applyFill="1" applyBorder="1"/>
    <xf numFmtId="167" fontId="4" fillId="0" borderId="0" xfId="0" applyNumberFormat="1" applyFont="1"/>
    <xf numFmtId="0" fontId="4" fillId="0" borderId="0" xfId="0" applyFont="1" applyAlignment="1">
      <alignment horizontal="left" indent="1"/>
    </xf>
    <xf numFmtId="0" fontId="3" fillId="0" borderId="1" xfId="0" applyFont="1" applyBorder="1"/>
    <xf numFmtId="167" fontId="9" fillId="0" borderId="0" xfId="0" applyNumberFormat="1" applyFont="1"/>
    <xf numFmtId="0" fontId="3" fillId="11" borderId="13" xfId="0" applyFont="1" applyFill="1" applyBorder="1"/>
    <xf numFmtId="167" fontId="3" fillId="11" borderId="13" xfId="0" applyNumberFormat="1" applyFont="1" applyFill="1" applyBorder="1"/>
    <xf numFmtId="0" fontId="3" fillId="0" borderId="12" xfId="0" applyFont="1" applyBorder="1"/>
    <xf numFmtId="0" fontId="3" fillId="0" borderId="1" xfId="0" applyFont="1" applyBorder="1" applyAlignment="1">
      <alignment horizontal="left" indent="1"/>
    </xf>
    <xf numFmtId="167" fontId="4" fillId="0" borderId="12" xfId="0" applyNumberFormat="1" applyFont="1" applyBorder="1"/>
    <xf numFmtId="0" fontId="36" fillId="0" borderId="0" xfId="0" applyFont="1" applyAlignment="1">
      <alignment horizontal="center" vertical="center"/>
    </xf>
    <xf numFmtId="0" fontId="3" fillId="0" borderId="1" xfId="0" applyFont="1" applyBorder="1" applyAlignment="1">
      <alignment horizontal="left" vertical="center" indent="1"/>
    </xf>
    <xf numFmtId="0" fontId="9" fillId="20" borderId="0" xfId="0" applyFont="1" applyFill="1" applyAlignment="1">
      <alignment horizontal="left" indent="2"/>
    </xf>
    <xf numFmtId="168" fontId="9" fillId="20" borderId="0" xfId="1" applyNumberFormat="1" applyFont="1" applyFill="1" applyAlignment="1">
      <alignment horizontal="right"/>
    </xf>
    <xf numFmtId="167" fontId="9" fillId="0" borderId="1" xfId="0" applyNumberFormat="1" applyFont="1" applyBorder="1"/>
    <xf numFmtId="166" fontId="7" fillId="0" borderId="1" xfId="0" applyNumberFormat="1" applyFont="1" applyBorder="1" applyAlignment="1" applyProtection="1">
      <alignment horizontal="right" vertical="center"/>
      <protection locked="0"/>
    </xf>
    <xf numFmtId="168" fontId="37" fillId="7" borderId="0" xfId="1" applyNumberFormat="1" applyFont="1" applyFill="1" applyAlignment="1">
      <alignment horizontal="right"/>
    </xf>
    <xf numFmtId="168" fontId="18" fillId="7" borderId="0" xfId="1" applyNumberFormat="1" applyFont="1" applyFill="1" applyAlignment="1">
      <alignment horizontal="right"/>
    </xf>
    <xf numFmtId="1" fontId="18" fillId="7" borderId="0" xfId="0" applyNumberFormat="1" applyFont="1" applyFill="1" applyAlignment="1">
      <alignment horizontal="right"/>
    </xf>
    <xf numFmtId="0" fontId="38" fillId="8" borderId="0" xfId="2" applyFont="1" applyFill="1"/>
    <xf numFmtId="168" fontId="13" fillId="7" borderId="0" xfId="0" applyNumberFormat="1" applyFont="1" applyFill="1" applyAlignment="1" applyProtection="1">
      <alignment horizontal="center" vertical="center"/>
      <protection locked="0"/>
    </xf>
    <xf numFmtId="0" fontId="28" fillId="18" borderId="14" xfId="2" applyFont="1" applyFill="1" applyBorder="1" applyAlignment="1">
      <alignment horizontal="left" vertical="center"/>
    </xf>
    <xf numFmtId="0" fontId="21" fillId="18" borderId="15" xfId="2" applyFont="1" applyFill="1" applyBorder="1" applyAlignment="1">
      <alignment horizontal="left" vertical="center" indent="1"/>
    </xf>
    <xf numFmtId="0" fontId="25" fillId="17" borderId="0" xfId="2" applyFont="1" applyFill="1" applyAlignment="1">
      <alignment vertical="center"/>
    </xf>
    <xf numFmtId="0" fontId="24" fillId="17" borderId="0" xfId="2" applyFont="1" applyFill="1" applyAlignment="1">
      <alignment vertical="center"/>
    </xf>
    <xf numFmtId="0" fontId="24" fillId="17" borderId="0" xfId="2" applyFont="1" applyFill="1" applyAlignment="1">
      <alignment horizontal="right" vertical="center"/>
    </xf>
    <xf numFmtId="0" fontId="45" fillId="16" borderId="0" xfId="2" applyFont="1" applyFill="1" applyAlignment="1">
      <alignment vertical="center" wrapText="1"/>
    </xf>
    <xf numFmtId="0" fontId="46" fillId="16" borderId="0" xfId="0" applyFont="1" applyFill="1" applyAlignment="1">
      <alignment horizontal="centerContinuous" vertical="center"/>
    </xf>
    <xf numFmtId="0" fontId="47" fillId="8" borderId="4" xfId="2" applyFont="1" applyFill="1" applyBorder="1" applyAlignment="1">
      <alignment horizontal="center" vertical="center" wrapText="1"/>
    </xf>
    <xf numFmtId="0" fontId="48" fillId="16" borderId="0" xfId="2" applyFont="1" applyFill="1" applyAlignment="1">
      <alignment vertical="center"/>
    </xf>
    <xf numFmtId="0" fontId="49" fillId="16" borderId="0" xfId="2" applyFont="1" applyFill="1" applyAlignment="1">
      <alignment vertical="center"/>
    </xf>
    <xf numFmtId="170" fontId="28" fillId="18" borderId="3" xfId="4" applyNumberFormat="1" applyFont="1" applyFill="1" applyBorder="1" applyAlignment="1">
      <alignment vertical="center"/>
    </xf>
    <xf numFmtId="173" fontId="29" fillId="18" borderId="3" xfId="6" applyNumberFormat="1" applyFont="1" applyFill="1" applyBorder="1" applyAlignment="1">
      <alignment vertical="center"/>
    </xf>
    <xf numFmtId="168" fontId="34" fillId="18" borderId="3" xfId="1" applyNumberFormat="1" applyFont="1" applyFill="1" applyBorder="1" applyAlignment="1">
      <alignment vertical="center"/>
    </xf>
    <xf numFmtId="170" fontId="21" fillId="16" borderId="3" xfId="4" applyNumberFormat="1" applyFont="1" applyFill="1" applyBorder="1" applyAlignment="1">
      <alignment horizontal="left" vertical="center"/>
    </xf>
    <xf numFmtId="170" fontId="33" fillId="16" borderId="3" xfId="4" applyNumberFormat="1" applyFont="1" applyFill="1" applyBorder="1" applyAlignment="1">
      <alignment horizontal="left" vertical="center"/>
    </xf>
    <xf numFmtId="168" fontId="51" fillId="16" borderId="3" xfId="6" applyNumberFormat="1" applyFont="1" applyFill="1" applyBorder="1" applyAlignment="1">
      <alignment horizontal="right" vertical="center"/>
    </xf>
    <xf numFmtId="168" fontId="51" fillId="16" borderId="3" xfId="6" applyNumberFormat="1" applyFont="1" applyFill="1" applyBorder="1" applyAlignment="1">
      <alignment vertical="center"/>
    </xf>
    <xf numFmtId="170" fontId="52" fillId="16" borderId="3" xfId="4" applyNumberFormat="1" applyFont="1" applyFill="1" applyBorder="1" applyAlignment="1">
      <alignment horizontal="left" vertical="center"/>
    </xf>
    <xf numFmtId="168" fontId="53" fillId="16" borderId="3" xfId="6" applyNumberFormat="1" applyFont="1" applyFill="1" applyBorder="1" applyAlignment="1">
      <alignment horizontal="right" vertical="center"/>
    </xf>
    <xf numFmtId="168" fontId="53" fillId="16" borderId="3" xfId="6" applyNumberFormat="1" applyFont="1" applyFill="1" applyBorder="1" applyAlignment="1">
      <alignment vertical="center"/>
    </xf>
    <xf numFmtId="9" fontId="0" fillId="0" borderId="0" xfId="0" applyNumberFormat="1"/>
    <xf numFmtId="0" fontId="2" fillId="16" borderId="0" xfId="7" applyFill="1"/>
    <xf numFmtId="0" fontId="54" fillId="17" borderId="0" xfId="7" applyFont="1" applyFill="1" applyAlignment="1">
      <alignment vertical="center"/>
    </xf>
    <xf numFmtId="0" fontId="54" fillId="16" borderId="16" xfId="7" applyFont="1" applyFill="1" applyBorder="1" applyAlignment="1">
      <alignment vertical="center"/>
    </xf>
    <xf numFmtId="0" fontId="55" fillId="21" borderId="0" xfId="7" applyFont="1" applyFill="1" applyAlignment="1">
      <alignment vertical="center"/>
    </xf>
    <xf numFmtId="0" fontId="56" fillId="17" borderId="0" xfId="7" applyFont="1" applyFill="1" applyAlignment="1">
      <alignment vertical="center"/>
    </xf>
    <xf numFmtId="0" fontId="41" fillId="17" borderId="0" xfId="7" applyFont="1" applyFill="1" applyAlignment="1">
      <alignment horizontal="center" vertical="center"/>
    </xf>
    <xf numFmtId="0" fontId="43" fillId="17" borderId="0" xfId="7" applyFont="1" applyFill="1" applyAlignment="1">
      <alignment vertical="center"/>
    </xf>
    <xf numFmtId="0" fontId="41" fillId="17" borderId="0" xfId="7" applyFont="1" applyFill="1" applyAlignment="1">
      <alignment vertical="center"/>
    </xf>
    <xf numFmtId="0" fontId="57" fillId="16" borderId="0" xfId="7" applyFont="1" applyFill="1" applyAlignment="1">
      <alignment vertical="center"/>
    </xf>
    <xf numFmtId="0" fontId="42" fillId="16" borderId="0" xfId="7" applyFont="1" applyFill="1" applyAlignment="1">
      <alignment vertical="center"/>
    </xf>
    <xf numFmtId="0" fontId="42" fillId="16" borderId="0" xfId="7" applyFont="1" applyFill="1" applyAlignment="1">
      <alignment horizontal="center" vertical="center"/>
    </xf>
    <xf numFmtId="0" fontId="43" fillId="16" borderId="0" xfId="7" applyFont="1" applyFill="1" applyAlignment="1">
      <alignment vertical="center"/>
    </xf>
    <xf numFmtId="0" fontId="41" fillId="22" borderId="17" xfId="7" applyFont="1" applyFill="1" applyBorder="1" applyAlignment="1">
      <alignment vertical="center"/>
    </xf>
    <xf numFmtId="0" fontId="59" fillId="16" borderId="18" xfId="7" applyFont="1" applyFill="1" applyBorder="1" applyAlignment="1">
      <alignment horizontal="left" vertical="center" indent="1"/>
    </xf>
    <xf numFmtId="0" fontId="42" fillId="16" borderId="18" xfId="7" applyFont="1" applyFill="1" applyBorder="1" applyAlignment="1">
      <alignment horizontal="left" vertical="center" indent="1"/>
    </xf>
    <xf numFmtId="0" fontId="42" fillId="16" borderId="18" xfId="7" applyFont="1" applyFill="1" applyBorder="1" applyAlignment="1">
      <alignment vertical="center"/>
    </xf>
    <xf numFmtId="175" fontId="59" fillId="16" borderId="0" xfId="7" applyNumberFormat="1" applyFont="1" applyFill="1" applyAlignment="1">
      <alignment horizontal="right" vertical="center"/>
    </xf>
    <xf numFmtId="177" fontId="61" fillId="16" borderId="0" xfId="7" applyNumberFormat="1" applyFont="1" applyFill="1" applyAlignment="1">
      <alignment vertical="center"/>
    </xf>
    <xf numFmtId="0" fontId="43" fillId="16" borderId="0" xfId="7" applyFont="1" applyFill="1" applyAlignment="1">
      <alignment horizontal="left" vertical="center" indent="1"/>
    </xf>
    <xf numFmtId="0" fontId="42" fillId="16" borderId="0" xfId="7" applyFont="1" applyFill="1" applyAlignment="1">
      <alignment horizontal="left" vertical="center" indent="1"/>
    </xf>
    <xf numFmtId="0" fontId="2" fillId="16" borderId="0" xfId="7" applyFill="1" applyAlignment="1">
      <alignment vertical="center"/>
    </xf>
    <xf numFmtId="0" fontId="42" fillId="8" borderId="17" xfId="7" applyFont="1" applyFill="1" applyBorder="1" applyAlignment="1">
      <alignment vertical="center"/>
    </xf>
    <xf numFmtId="0" fontId="2" fillId="8" borderId="17" xfId="7" applyFill="1" applyBorder="1" applyAlignment="1">
      <alignment vertical="center"/>
    </xf>
    <xf numFmtId="8" fontId="61" fillId="8" borderId="17" xfId="7" applyNumberFormat="1" applyFont="1" applyFill="1" applyBorder="1" applyAlignment="1">
      <alignment horizontal="right" vertical="center"/>
    </xf>
    <xf numFmtId="180" fontId="60" fillId="8" borderId="17" xfId="7" applyNumberFormat="1" applyFont="1" applyFill="1" applyBorder="1" applyAlignment="1">
      <alignment vertical="center"/>
    </xf>
    <xf numFmtId="0" fontId="56" fillId="17" borderId="0" xfId="7" applyFont="1" applyFill="1"/>
    <xf numFmtId="0" fontId="41" fillId="17" borderId="0" xfId="7" applyFont="1" applyFill="1" applyAlignment="1">
      <alignment horizontal="center"/>
    </xf>
    <xf numFmtId="0" fontId="43" fillId="17" borderId="0" xfId="7" applyFont="1" applyFill="1"/>
    <xf numFmtId="0" fontId="57" fillId="8" borderId="0" xfId="7" applyFont="1" applyFill="1"/>
    <xf numFmtId="0" fontId="2" fillId="8" borderId="0" xfId="7" applyFill="1"/>
    <xf numFmtId="0" fontId="42" fillId="8" borderId="0" xfId="7" applyFont="1" applyFill="1"/>
    <xf numFmtId="0" fontId="0" fillId="0" borderId="0" xfId="0" applyAlignment="1">
      <alignment horizontal="left" indent="1"/>
    </xf>
    <xf numFmtId="0" fontId="42" fillId="16" borderId="0" xfId="7" applyFont="1" applyFill="1" applyAlignment="1">
      <alignment horizontal="left"/>
    </xf>
    <xf numFmtId="0" fontId="42" fillId="16" borderId="0" xfId="7" applyFont="1" applyFill="1" applyAlignment="1">
      <alignment horizontal="center"/>
    </xf>
    <xf numFmtId="0" fontId="0" fillId="16" borderId="0" xfId="0" applyFill="1" applyAlignment="1">
      <alignment vertical="center"/>
    </xf>
    <xf numFmtId="174" fontId="2" fillId="8" borderId="0" xfId="7" applyNumberFormat="1" applyFill="1" applyAlignment="1">
      <alignment horizontal="right" vertical="center"/>
    </xf>
    <xf numFmtId="0" fontId="42" fillId="8" borderId="0" xfId="7" applyFont="1" applyFill="1" applyAlignment="1">
      <alignment horizontal="right"/>
    </xf>
    <xf numFmtId="181" fontId="29" fillId="18" borderId="3" xfId="6" applyNumberFormat="1" applyFont="1" applyFill="1" applyBorder="1" applyAlignment="1">
      <alignment horizontal="right" vertical="center"/>
    </xf>
    <xf numFmtId="181" fontId="23" fillId="16" borderId="3" xfId="6" applyNumberFormat="1" applyFont="1" applyFill="1" applyBorder="1" applyAlignment="1">
      <alignment horizontal="right" vertical="center"/>
    </xf>
    <xf numFmtId="173" fontId="11" fillId="16" borderId="0" xfId="2" applyNumberFormat="1" applyFill="1"/>
    <xf numFmtId="0" fontId="34" fillId="8" borderId="4" xfId="2" applyFont="1" applyFill="1" applyBorder="1" applyAlignment="1">
      <alignment vertical="center"/>
    </xf>
    <xf numFmtId="0" fontId="21" fillId="18" borderId="5" xfId="2" applyFont="1" applyFill="1" applyBorder="1" applyAlignment="1">
      <alignment horizontal="left" vertical="center" indent="1"/>
    </xf>
    <xf numFmtId="0" fontId="28" fillId="18" borderId="19" xfId="2" applyFont="1" applyFill="1" applyBorder="1" applyAlignment="1">
      <alignment horizontal="left" vertical="center"/>
    </xf>
    <xf numFmtId="0" fontId="50" fillId="16" borderId="0" xfId="0" applyFont="1" applyFill="1" applyAlignment="1">
      <alignment vertical="center"/>
    </xf>
    <xf numFmtId="0" fontId="39" fillId="16" borderId="0" xfId="2" applyFont="1" applyFill="1" applyAlignment="1">
      <alignment horizontal="right" indent="1"/>
    </xf>
    <xf numFmtId="170" fontId="29" fillId="16" borderId="0" xfId="4" applyNumberFormat="1" applyFont="1" applyFill="1"/>
    <xf numFmtId="173" fontId="23" fillId="18" borderId="0" xfId="6" applyNumberFormat="1" applyFont="1" applyFill="1" applyBorder="1" applyAlignment="1">
      <alignment horizontal="right" vertical="center"/>
    </xf>
    <xf numFmtId="173" fontId="29" fillId="18" borderId="3" xfId="6" applyNumberFormat="1" applyFont="1" applyFill="1" applyBorder="1" applyAlignment="1">
      <alignment horizontal="right" vertical="center"/>
    </xf>
    <xf numFmtId="173" fontId="23" fillId="18" borderId="21" xfId="6" applyNumberFormat="1" applyFont="1" applyFill="1" applyBorder="1" applyAlignment="1">
      <alignment horizontal="right" vertical="center"/>
    </xf>
    <xf numFmtId="173" fontId="29" fillId="18" borderId="1" xfId="6" applyNumberFormat="1" applyFont="1" applyFill="1" applyBorder="1" applyAlignment="1">
      <alignment horizontal="right" vertical="center"/>
    </xf>
    <xf numFmtId="173" fontId="29" fillId="18" borderId="22" xfId="6" applyNumberFormat="1" applyFont="1" applyFill="1" applyBorder="1" applyAlignment="1">
      <alignment horizontal="right" vertical="center"/>
    </xf>
    <xf numFmtId="0" fontId="25" fillId="19" borderId="23" xfId="2" applyFont="1" applyFill="1" applyBorder="1" applyAlignment="1">
      <alignment horizontal="left" vertical="center"/>
    </xf>
    <xf numFmtId="0" fontId="25" fillId="19" borderId="24" xfId="2" applyFont="1" applyFill="1" applyBorder="1" applyAlignment="1">
      <alignment horizontal="centerContinuous" vertical="center"/>
    </xf>
    <xf numFmtId="0" fontId="25" fillId="19" borderId="25" xfId="2" applyFont="1" applyFill="1" applyBorder="1" applyAlignment="1">
      <alignment horizontal="centerContinuous" vertical="center"/>
    </xf>
    <xf numFmtId="0" fontId="65" fillId="16" borderId="16" xfId="7" applyFont="1" applyFill="1" applyBorder="1" applyAlignment="1">
      <alignment vertical="center"/>
    </xf>
    <xf numFmtId="0" fontId="0" fillId="16" borderId="0" xfId="7" applyFont="1" applyFill="1" applyAlignment="1">
      <alignment horizontal="left" vertical="center" indent="1"/>
    </xf>
    <xf numFmtId="0" fontId="59" fillId="0" borderId="0" xfId="7" applyFont="1" applyAlignment="1">
      <alignment vertical="center"/>
    </xf>
    <xf numFmtId="0" fontId="66" fillId="22" borderId="0" xfId="7" applyFont="1" applyFill="1" applyAlignment="1">
      <alignment horizontal="left" vertical="center"/>
    </xf>
    <xf numFmtId="176" fontId="67" fillId="16" borderId="0" xfId="7" applyNumberFormat="1" applyFont="1" applyFill="1" applyAlignment="1">
      <alignment horizontal="left" vertical="center"/>
    </xf>
    <xf numFmtId="178" fontId="67" fillId="16" borderId="0" xfId="7" applyNumberFormat="1" applyFont="1" applyFill="1" applyAlignment="1">
      <alignment horizontal="left" vertical="center"/>
    </xf>
    <xf numFmtId="6" fontId="29" fillId="16" borderId="0" xfId="4" applyNumberFormat="1" applyFont="1" applyFill="1"/>
    <xf numFmtId="181" fontId="23" fillId="16" borderId="0" xfId="4" applyNumberFormat="1" applyFont="1" applyFill="1"/>
    <xf numFmtId="182" fontId="23" fillId="18" borderId="6" xfId="6" applyNumberFormat="1" applyFont="1" applyFill="1" applyBorder="1" applyAlignment="1">
      <alignment horizontal="right" vertical="center"/>
    </xf>
    <xf numFmtId="182" fontId="29" fillId="18" borderId="8" xfId="6" applyNumberFormat="1" applyFont="1" applyFill="1" applyBorder="1" applyAlignment="1">
      <alignment horizontal="right" vertical="center"/>
    </xf>
    <xf numFmtId="182" fontId="23" fillId="18" borderId="9" xfId="6" applyNumberFormat="1" applyFont="1" applyFill="1" applyBorder="1" applyAlignment="1">
      <alignment horizontal="right" vertical="center"/>
    </xf>
    <xf numFmtId="182" fontId="29" fillId="18" borderId="20" xfId="6" applyNumberFormat="1" applyFont="1" applyFill="1" applyBorder="1" applyAlignment="1">
      <alignment horizontal="right" vertical="center"/>
    </xf>
    <xf numFmtId="44" fontId="29" fillId="6" borderId="26" xfId="9" applyFont="1" applyFill="1" applyBorder="1" applyAlignment="1">
      <alignment horizontal="right" vertical="center"/>
    </xf>
    <xf numFmtId="0" fontId="59" fillId="0" borderId="0" xfId="7" applyFont="1"/>
    <xf numFmtId="168" fontId="68" fillId="7" borderId="18" xfId="7" applyNumberFormat="1" applyFont="1" applyFill="1" applyBorder="1" applyAlignment="1">
      <alignment vertical="center"/>
    </xf>
    <xf numFmtId="168" fontId="68" fillId="7" borderId="0" xfId="7" applyNumberFormat="1" applyFont="1" applyFill="1" applyAlignment="1">
      <alignment vertical="center"/>
    </xf>
    <xf numFmtId="0" fontId="66" fillId="22" borderId="17" xfId="7" applyFont="1" applyFill="1" applyBorder="1" applyAlignment="1">
      <alignment horizontal="right" vertical="center"/>
    </xf>
    <xf numFmtId="0" fontId="66" fillId="22" borderId="17" xfId="7" applyFont="1" applyFill="1" applyBorder="1" applyAlignment="1">
      <alignment horizontal="center" vertical="center"/>
    </xf>
    <xf numFmtId="0" fontId="66" fillId="22" borderId="17" xfId="7" applyFont="1" applyFill="1" applyBorder="1" applyAlignment="1">
      <alignment horizontal="left" vertical="center"/>
    </xf>
    <xf numFmtId="0" fontId="69" fillId="22" borderId="17" xfId="7" applyFont="1" applyFill="1" applyBorder="1" applyAlignment="1">
      <alignment horizontal="center" vertical="center"/>
    </xf>
    <xf numFmtId="182" fontId="0" fillId="0" borderId="0" xfId="0" applyNumberFormat="1" applyAlignment="1">
      <alignment horizontal="right" vertical="center"/>
    </xf>
    <xf numFmtId="0" fontId="41" fillId="4" borderId="0" xfId="0" applyFont="1" applyFill="1"/>
    <xf numFmtId="0" fontId="43" fillId="4" borderId="0" xfId="0" applyFont="1" applyFill="1"/>
    <xf numFmtId="0" fontId="71" fillId="0" borderId="11" xfId="0" applyFont="1" applyBorder="1"/>
    <xf numFmtId="0" fontId="72" fillId="0" borderId="11" xfId="0" applyFont="1" applyBorder="1"/>
    <xf numFmtId="0" fontId="73" fillId="0" borderId="0" xfId="0" applyFont="1" applyAlignment="1">
      <alignment horizontal="left"/>
    </xf>
    <xf numFmtId="0" fontId="72" fillId="0" borderId="0" xfId="0" applyFont="1" applyAlignment="1">
      <alignment horizontal="left"/>
    </xf>
    <xf numFmtId="0" fontId="42" fillId="0" borderId="27" xfId="0" applyFont="1" applyBorder="1" applyAlignment="1">
      <alignment horizontal="left" vertical="center" indent="1"/>
    </xf>
    <xf numFmtId="171" fontId="70" fillId="0" borderId="27" xfId="0" applyNumberFormat="1" applyFont="1" applyBorder="1"/>
    <xf numFmtId="0" fontId="0" fillId="0" borderId="27" xfId="0" applyBorder="1"/>
    <xf numFmtId="0" fontId="58" fillId="22" borderId="0" xfId="7" applyFont="1" applyFill="1" applyAlignment="1">
      <alignment horizontal="center" vertical="center"/>
    </xf>
    <xf numFmtId="177" fontId="75" fillId="16" borderId="0" xfId="7" applyNumberFormat="1" applyFont="1" applyFill="1" applyAlignment="1">
      <alignment vertical="center"/>
    </xf>
    <xf numFmtId="8" fontId="42" fillId="6" borderId="28" xfId="0" applyNumberFormat="1" applyFont="1" applyFill="1" applyBorder="1"/>
    <xf numFmtId="171" fontId="62" fillId="7" borderId="0" xfId="0" applyNumberFormat="1" applyFont="1" applyFill="1" applyAlignment="1">
      <alignment horizontal="right" vertical="center"/>
    </xf>
    <xf numFmtId="44" fontId="62" fillId="7" borderId="27" xfId="0" applyNumberFormat="1" applyFont="1" applyFill="1" applyBorder="1"/>
    <xf numFmtId="0" fontId="42" fillId="23" borderId="1" xfId="0" applyFont="1" applyFill="1" applyBorder="1" applyAlignment="1">
      <alignment horizontal="left"/>
    </xf>
    <xf numFmtId="182" fontId="42" fillId="23" borderId="1" xfId="0" applyNumberFormat="1" applyFont="1" applyFill="1" applyBorder="1" applyAlignment="1">
      <alignment horizontal="right" vertical="center"/>
    </xf>
    <xf numFmtId="0" fontId="42" fillId="11" borderId="27" xfId="0" applyFont="1" applyFill="1" applyBorder="1" applyAlignment="1">
      <alignment horizontal="left"/>
    </xf>
    <xf numFmtId="0" fontId="0" fillId="11" borderId="27" xfId="0" applyFill="1" applyBorder="1"/>
    <xf numFmtId="0" fontId="76" fillId="0" borderId="0" xfId="0" applyFont="1" applyAlignment="1">
      <alignment vertical="center"/>
    </xf>
    <xf numFmtId="175" fontId="61" fillId="16" borderId="18" xfId="7" applyNumberFormat="1" applyFont="1" applyFill="1" applyBorder="1" applyAlignment="1">
      <alignment horizontal="right" vertical="center"/>
    </xf>
    <xf numFmtId="175" fontId="61" fillId="16" borderId="0" xfId="7" applyNumberFormat="1" applyFont="1" applyFill="1" applyAlignment="1">
      <alignment horizontal="right" vertical="center"/>
    </xf>
    <xf numFmtId="175" fontId="61" fillId="0" borderId="0" xfId="7" applyNumberFormat="1" applyFont="1" applyAlignment="1">
      <alignment horizontal="right" vertical="center"/>
    </xf>
    <xf numFmtId="8" fontId="59" fillId="8" borderId="17" xfId="7" applyNumberFormat="1" applyFont="1" applyFill="1" applyBorder="1" applyAlignment="1">
      <alignment horizontal="right" vertical="center"/>
    </xf>
    <xf numFmtId="8" fontId="42" fillId="11" borderId="29" xfId="0" applyNumberFormat="1" applyFont="1" applyFill="1" applyBorder="1"/>
    <xf numFmtId="0" fontId="79" fillId="0" borderId="0" xfId="10" applyFont="1"/>
    <xf numFmtId="0" fontId="79" fillId="0" borderId="0" xfId="10" applyFont="1" applyAlignment="1">
      <alignment horizontal="right"/>
    </xf>
    <xf numFmtId="0" fontId="83" fillId="4" borderId="0" xfId="10" applyFont="1" applyFill="1" applyAlignment="1">
      <alignment vertical="center"/>
    </xf>
    <xf numFmtId="0" fontId="0" fillId="4" borderId="0" xfId="0" applyFill="1"/>
    <xf numFmtId="0" fontId="78" fillId="0" borderId="0" xfId="10" applyFont="1"/>
    <xf numFmtId="0" fontId="73" fillId="16" borderId="0" xfId="10" applyFont="1" applyFill="1" applyAlignment="1">
      <alignment horizontal="center"/>
    </xf>
    <xf numFmtId="0" fontId="0" fillId="16" borderId="0" xfId="0" applyFill="1"/>
    <xf numFmtId="0" fontId="79" fillId="16" borderId="0" xfId="10" applyFont="1" applyFill="1"/>
    <xf numFmtId="183" fontId="79" fillId="16" borderId="0" xfId="10" applyNumberFormat="1" applyFont="1" applyFill="1" applyAlignment="1">
      <alignment horizontal="center"/>
    </xf>
    <xf numFmtId="183" fontId="82" fillId="8" borderId="0" xfId="10" applyNumberFormat="1" applyFont="1" applyFill="1" applyAlignment="1">
      <alignment horizontal="center" vertical="center"/>
    </xf>
    <xf numFmtId="183" fontId="79" fillId="8" borderId="0" xfId="10" applyNumberFormat="1" applyFont="1" applyFill="1" applyAlignment="1">
      <alignment horizontal="center"/>
    </xf>
    <xf numFmtId="0" fontId="79" fillId="11" borderId="0" xfId="10" applyFont="1" applyFill="1"/>
    <xf numFmtId="0" fontId="0" fillId="11" borderId="0" xfId="0" applyFill="1"/>
    <xf numFmtId="0" fontId="84" fillId="19" borderId="0" xfId="10" applyFont="1" applyFill="1" applyAlignment="1">
      <alignment horizontal="left"/>
    </xf>
    <xf numFmtId="0" fontId="54" fillId="19" borderId="0" xfId="10" applyFont="1" applyFill="1"/>
    <xf numFmtId="0" fontId="43" fillId="19" borderId="0" xfId="0" applyFont="1" applyFill="1"/>
    <xf numFmtId="0" fontId="73" fillId="0" borderId="0" xfId="10" applyFont="1" applyAlignment="1">
      <alignment horizontal="left"/>
    </xf>
    <xf numFmtId="184" fontId="79" fillId="0" borderId="31" xfId="10" applyNumberFormat="1" applyFont="1" applyBorder="1" applyAlignment="1">
      <alignment horizontal="center" vertical="center"/>
    </xf>
    <xf numFmtId="0" fontId="73" fillId="0" borderId="0" xfId="10" applyFont="1"/>
    <xf numFmtId="184" fontId="72" fillId="0" borderId="30" xfId="10" applyNumberFormat="1" applyFont="1" applyBorder="1" applyAlignment="1">
      <alignment horizontal="center" vertical="center"/>
    </xf>
    <xf numFmtId="0" fontId="73" fillId="0" borderId="0" xfId="10" applyFont="1" applyAlignment="1">
      <alignment horizontal="center"/>
    </xf>
    <xf numFmtId="183" fontId="79" fillId="0" borderId="0" xfId="10" applyNumberFormat="1" applyFont="1" applyAlignment="1">
      <alignment horizontal="center"/>
    </xf>
    <xf numFmtId="184" fontId="72" fillId="0" borderId="32" xfId="10" applyNumberFormat="1" applyFont="1" applyBorder="1" applyAlignment="1">
      <alignment horizontal="center" vertical="center"/>
    </xf>
    <xf numFmtId="183" fontId="79" fillId="0" borderId="32" xfId="9" applyNumberFormat="1" applyFont="1" applyFill="1" applyBorder="1" applyAlignment="1">
      <alignment horizontal="center"/>
    </xf>
    <xf numFmtId="0" fontId="0" fillId="16" borderId="37" xfId="0" applyFill="1" applyBorder="1"/>
    <xf numFmtId="183" fontId="82" fillId="7" borderId="37" xfId="10" applyNumberFormat="1" applyFont="1" applyFill="1" applyBorder="1" applyAlignment="1">
      <alignment horizontal="center" vertical="center"/>
    </xf>
    <xf numFmtId="0" fontId="0" fillId="16" borderId="37" xfId="0" applyFill="1" applyBorder="1" applyAlignment="1">
      <alignment vertical="center"/>
    </xf>
    <xf numFmtId="0" fontId="0" fillId="16" borderId="38" xfId="0" applyFill="1" applyBorder="1"/>
    <xf numFmtId="183" fontId="82" fillId="7" borderId="38" xfId="10" applyNumberFormat="1" applyFont="1" applyFill="1" applyBorder="1" applyAlignment="1">
      <alignment horizontal="center" vertical="center"/>
    </xf>
    <xf numFmtId="0" fontId="0" fillId="16" borderId="38" xfId="0" applyFill="1" applyBorder="1" applyAlignment="1">
      <alignment vertical="center"/>
    </xf>
    <xf numFmtId="0" fontId="0" fillId="16" borderId="39" xfId="0" applyFill="1" applyBorder="1"/>
    <xf numFmtId="183" fontId="82" fillId="7" borderId="39" xfId="10" applyNumberFormat="1" applyFont="1" applyFill="1" applyBorder="1" applyAlignment="1">
      <alignment horizontal="center" vertical="center"/>
    </xf>
    <xf numFmtId="0" fontId="0" fillId="16" borderId="39" xfId="0" applyFill="1" applyBorder="1" applyAlignment="1">
      <alignment vertical="center"/>
    </xf>
    <xf numFmtId="184" fontId="72" fillId="16" borderId="37" xfId="10" applyNumberFormat="1" applyFont="1" applyFill="1" applyBorder="1" applyAlignment="1">
      <alignment horizontal="center" vertical="center"/>
    </xf>
    <xf numFmtId="184" fontId="0" fillId="16" borderId="37" xfId="0" applyNumberFormat="1" applyFill="1" applyBorder="1"/>
    <xf numFmtId="184" fontId="72" fillId="16" borderId="38" xfId="10" applyNumberFormat="1" applyFont="1" applyFill="1" applyBorder="1" applyAlignment="1">
      <alignment horizontal="center" vertical="center"/>
    </xf>
    <xf numFmtId="184" fontId="0" fillId="16" borderId="38" xfId="0" applyNumberFormat="1" applyFill="1" applyBorder="1"/>
    <xf numFmtId="0" fontId="78" fillId="11" borderId="39" xfId="10" applyFont="1" applyFill="1" applyBorder="1" applyAlignment="1">
      <alignment horizontal="center" vertical="center"/>
    </xf>
    <xf numFmtId="184" fontId="78" fillId="11" borderId="39" xfId="10" applyNumberFormat="1" applyFont="1" applyFill="1" applyBorder="1" applyAlignment="1">
      <alignment horizontal="center" vertical="center"/>
    </xf>
    <xf numFmtId="184" fontId="0" fillId="16" borderId="39" xfId="0" applyNumberFormat="1" applyFill="1" applyBorder="1"/>
    <xf numFmtId="184" fontId="72" fillId="16" borderId="40" xfId="10" applyNumberFormat="1" applyFont="1" applyFill="1" applyBorder="1" applyAlignment="1">
      <alignment horizontal="center" vertical="center"/>
    </xf>
    <xf numFmtId="184" fontId="72" fillId="16" borderId="41" xfId="10" applyNumberFormat="1" applyFont="1" applyFill="1" applyBorder="1" applyAlignment="1">
      <alignment horizontal="center" vertical="center"/>
    </xf>
    <xf numFmtId="184" fontId="72" fillId="16" borderId="42" xfId="10" applyNumberFormat="1" applyFont="1" applyFill="1" applyBorder="1" applyAlignment="1">
      <alignment horizontal="center" vertical="center"/>
    </xf>
    <xf numFmtId="184" fontId="72" fillId="16" borderId="43" xfId="10" applyNumberFormat="1" applyFont="1" applyFill="1" applyBorder="1" applyAlignment="1">
      <alignment horizontal="center" vertical="center"/>
    </xf>
    <xf numFmtId="184" fontId="78" fillId="11" borderId="44" xfId="10" applyNumberFormat="1" applyFont="1" applyFill="1" applyBorder="1" applyAlignment="1">
      <alignment horizontal="center" vertical="center"/>
    </xf>
    <xf numFmtId="184" fontId="78" fillId="11" borderId="45" xfId="10" applyNumberFormat="1" applyFont="1" applyFill="1" applyBorder="1" applyAlignment="1">
      <alignment horizontal="center" vertical="center"/>
    </xf>
    <xf numFmtId="184" fontId="0" fillId="16" borderId="46" xfId="0" applyNumberFormat="1" applyFill="1" applyBorder="1"/>
    <xf numFmtId="0" fontId="0" fillId="25" borderId="36" xfId="0" applyFill="1" applyBorder="1"/>
    <xf numFmtId="0" fontId="78" fillId="25" borderId="36" xfId="10" applyFont="1" applyFill="1" applyBorder="1" applyAlignment="1">
      <alignment horizontal="center"/>
    </xf>
    <xf numFmtId="0" fontId="0" fillId="16" borderId="36" xfId="0" applyFill="1" applyBorder="1"/>
    <xf numFmtId="0" fontId="0" fillId="16" borderId="36" xfId="0" applyFill="1" applyBorder="1" applyAlignment="1">
      <alignment vertical="center"/>
    </xf>
    <xf numFmtId="0" fontId="61" fillId="3" borderId="36" xfId="0" applyFont="1" applyFill="1" applyBorder="1" applyAlignment="1">
      <alignment vertical="center"/>
    </xf>
    <xf numFmtId="0" fontId="72" fillId="3" borderId="36" xfId="10" applyFont="1" applyFill="1" applyBorder="1" applyAlignment="1">
      <alignment vertical="center"/>
    </xf>
    <xf numFmtId="0" fontId="78" fillId="11" borderId="0" xfId="10" applyFont="1" applyFill="1" applyAlignment="1">
      <alignment horizontal="left"/>
    </xf>
    <xf numFmtId="183" fontId="78" fillId="11" borderId="28" xfId="9" applyNumberFormat="1" applyFont="1" applyFill="1" applyBorder="1" applyAlignment="1">
      <alignment horizontal="center"/>
    </xf>
    <xf numFmtId="0" fontId="42" fillId="0" borderId="47" xfId="0" applyFont="1" applyBorder="1"/>
    <xf numFmtId="0" fontId="0" fillId="0" borderId="47" xfId="0" applyBorder="1"/>
    <xf numFmtId="0" fontId="0" fillId="0" borderId="4" xfId="0" applyBorder="1"/>
    <xf numFmtId="0" fontId="57" fillId="0" borderId="0" xfId="0" applyFont="1" applyAlignment="1">
      <alignment horizontal="left" indent="1"/>
    </xf>
    <xf numFmtId="0" fontId="57" fillId="0" borderId="4" xfId="0" applyFont="1" applyBorder="1" applyAlignment="1">
      <alignment horizontal="left" indent="1"/>
    </xf>
    <xf numFmtId="174" fontId="68" fillId="12" borderId="0" xfId="7" applyNumberFormat="1" applyFont="1" applyFill="1" applyAlignment="1">
      <alignment horizontal="right" vertical="center"/>
    </xf>
    <xf numFmtId="174" fontId="57" fillId="8" borderId="0" xfId="7" applyNumberFormat="1" applyFont="1" applyFill="1" applyAlignment="1">
      <alignment horizontal="right" vertical="center"/>
    </xf>
    <xf numFmtId="0" fontId="60" fillId="8" borderId="0" xfId="7" applyFont="1" applyFill="1" applyAlignment="1">
      <alignment horizontal="right"/>
    </xf>
    <xf numFmtId="0" fontId="65" fillId="16" borderId="16" xfId="7" applyFont="1" applyFill="1" applyBorder="1" applyAlignment="1">
      <alignment horizontal="left" vertical="center"/>
    </xf>
    <xf numFmtId="0" fontId="35" fillId="16" borderId="0" xfId="2" applyFont="1" applyFill="1" applyAlignment="1">
      <alignment horizontal="left" vertical="center"/>
    </xf>
    <xf numFmtId="0" fontId="59" fillId="16" borderId="0" xfId="7" applyFont="1" applyFill="1" applyAlignment="1">
      <alignment vertical="center"/>
    </xf>
    <xf numFmtId="0" fontId="61" fillId="16" borderId="0" xfId="7" applyFont="1" applyFill="1" applyAlignment="1">
      <alignment horizontal="left" vertical="center" indent="1"/>
    </xf>
    <xf numFmtId="179" fontId="61" fillId="16" borderId="0" xfId="7" applyNumberFormat="1" applyFont="1" applyFill="1" applyAlignment="1">
      <alignment horizontal="right" vertical="center"/>
    </xf>
    <xf numFmtId="0" fontId="61" fillId="27" borderId="33" xfId="7" applyFont="1" applyFill="1" applyBorder="1" applyAlignment="1">
      <alignment vertical="center"/>
    </xf>
    <xf numFmtId="44" fontId="61" fillId="27" borderId="33" xfId="7" applyNumberFormat="1" applyFont="1" applyFill="1" applyBorder="1" applyAlignment="1">
      <alignment vertical="center"/>
    </xf>
    <xf numFmtId="0" fontId="61" fillId="27" borderId="34" xfId="7" applyFont="1" applyFill="1" applyBorder="1"/>
    <xf numFmtId="168" fontId="61" fillId="27" borderId="34" xfId="7" applyNumberFormat="1" applyFont="1" applyFill="1" applyBorder="1"/>
    <xf numFmtId="0" fontId="61" fillId="27" borderId="35" xfId="7" applyFont="1" applyFill="1" applyBorder="1"/>
    <xf numFmtId="168" fontId="61" fillId="27" borderId="35" xfId="7" applyNumberFormat="1" applyFont="1" applyFill="1" applyBorder="1"/>
    <xf numFmtId="0" fontId="10" fillId="8" borderId="0" xfId="7" applyFont="1" applyFill="1"/>
    <xf numFmtId="169" fontId="0" fillId="0" borderId="0" xfId="0" applyNumberFormat="1"/>
    <xf numFmtId="0" fontId="43" fillId="2" borderId="51" xfId="0" applyFont="1" applyFill="1" applyBorder="1" applyAlignment="1">
      <alignment horizontal="center" vertical="center"/>
    </xf>
    <xf numFmtId="0" fontId="43" fillId="2" borderId="52" xfId="0" applyFont="1" applyFill="1" applyBorder="1" applyAlignment="1">
      <alignment horizontal="center" vertical="center"/>
    </xf>
    <xf numFmtId="0" fontId="43" fillId="2" borderId="53" xfId="0" applyFont="1" applyFill="1" applyBorder="1" applyAlignment="1">
      <alignment horizontal="center" vertical="center"/>
    </xf>
    <xf numFmtId="0" fontId="0" fillId="0" borderId="0" xfId="0" applyAlignment="1">
      <alignment horizontal="center" vertical="center"/>
    </xf>
    <xf numFmtId="44" fontId="0" fillId="0" borderId="0" xfId="9" applyFont="1"/>
    <xf numFmtId="172" fontId="0" fillId="0" borderId="0" xfId="8" applyNumberFormat="1" applyFont="1"/>
    <xf numFmtId="179" fontId="0" fillId="0" borderId="0" xfId="0" applyNumberFormat="1"/>
    <xf numFmtId="168" fontId="0" fillId="0" borderId="0" xfId="0" applyNumberFormat="1"/>
    <xf numFmtId="0" fontId="55" fillId="0" borderId="0" xfId="0" applyFont="1"/>
    <xf numFmtId="0" fontId="55" fillId="0" borderId="0" xfId="0" applyFont="1" applyAlignment="1">
      <alignment horizontal="right"/>
    </xf>
    <xf numFmtId="0" fontId="67" fillId="0" borderId="0" xfId="0" applyFont="1"/>
    <xf numFmtId="2" fontId="55" fillId="0" borderId="0" xfId="0" applyNumberFormat="1" applyFont="1" applyAlignment="1">
      <alignment horizontal="left"/>
    </xf>
    <xf numFmtId="170" fontId="23" fillId="16" borderId="0" xfId="2" applyNumberFormat="1" applyFont="1" applyFill="1"/>
    <xf numFmtId="43" fontId="23" fillId="16" borderId="2" xfId="2" applyNumberFormat="1" applyFont="1" applyFill="1" applyBorder="1"/>
    <xf numFmtId="164" fontId="55" fillId="0" borderId="0" xfId="0" applyNumberFormat="1" applyFont="1" applyAlignment="1">
      <alignment horizontal="left"/>
    </xf>
    <xf numFmtId="0" fontId="72" fillId="0" borderId="0" xfId="2" applyFont="1"/>
    <xf numFmtId="171" fontId="23" fillId="16" borderId="0" xfId="4" applyNumberFormat="1" applyFont="1" applyFill="1"/>
    <xf numFmtId="0" fontId="23" fillId="0" borderId="0" xfId="2" applyFont="1"/>
    <xf numFmtId="0" fontId="11" fillId="0" borderId="0" xfId="2"/>
    <xf numFmtId="43" fontId="11" fillId="0" borderId="0" xfId="2" applyNumberFormat="1"/>
    <xf numFmtId="0" fontId="27" fillId="0" borderId="0" xfId="2" applyFont="1"/>
    <xf numFmtId="0" fontId="20" fillId="0" borderId="0" xfId="3" applyFill="1"/>
    <xf numFmtId="0" fontId="20" fillId="0" borderId="0" xfId="3" applyFill="1" applyAlignment="1">
      <alignment horizontal="left"/>
    </xf>
    <xf numFmtId="0" fontId="20" fillId="0" borderId="0" xfId="3" applyFill="1" applyAlignment="1">
      <alignment horizontal="left" vertical="center"/>
    </xf>
    <xf numFmtId="172" fontId="11" fillId="0" borderId="0" xfId="8" applyNumberFormat="1" applyFont="1" applyFill="1"/>
    <xf numFmtId="172" fontId="11" fillId="0" borderId="0" xfId="2" applyNumberFormat="1"/>
    <xf numFmtId="0" fontId="11" fillId="0" borderId="54" xfId="2" applyBorder="1" applyAlignment="1">
      <alignment horizontal="centerContinuous" vertical="center"/>
    </xf>
    <xf numFmtId="0" fontId="11" fillId="0" borderId="55" xfId="2" applyBorder="1" applyAlignment="1">
      <alignment horizontal="centerContinuous" vertical="center"/>
    </xf>
    <xf numFmtId="0" fontId="11" fillId="0" borderId="56" xfId="2" applyBorder="1" applyAlignment="1">
      <alignment horizontal="centerContinuous" vertical="center"/>
    </xf>
    <xf numFmtId="0" fontId="86" fillId="0" borderId="0" xfId="2" applyFont="1" applyAlignment="1">
      <alignment horizontal="left" vertical="center" indent="1"/>
    </xf>
    <xf numFmtId="0" fontId="39" fillId="0" borderId="0" xfId="2" applyFont="1" applyAlignment="1">
      <alignment horizontal="right"/>
    </xf>
    <xf numFmtId="174" fontId="29" fillId="16" borderId="0" xfId="8" applyNumberFormat="1" applyFont="1" applyFill="1"/>
    <xf numFmtId="166" fontId="23" fillId="16" borderId="0" xfId="4" applyNumberFormat="1" applyFont="1" applyFill="1"/>
    <xf numFmtId="170" fontId="23" fillId="18" borderId="0" xfId="4" applyNumberFormat="1" applyFont="1" applyFill="1" applyBorder="1" applyAlignment="1">
      <alignment horizontal="right" vertical="center"/>
    </xf>
    <xf numFmtId="170" fontId="11" fillId="0" borderId="0" xfId="1" applyNumberFormat="1" applyFont="1" applyFill="1" applyAlignment="1">
      <alignment horizontal="center" vertical="center"/>
    </xf>
    <xf numFmtId="170" fontId="39" fillId="0" borderId="0" xfId="1" applyNumberFormat="1" applyFont="1" applyFill="1" applyAlignment="1">
      <alignment horizontal="center" vertical="center"/>
    </xf>
    <xf numFmtId="2" fontId="11" fillId="0" borderId="57" xfId="9" applyNumberFormat="1" applyFont="1" applyFill="1" applyBorder="1" applyAlignment="1">
      <alignment horizontal="center" vertical="center"/>
    </xf>
    <xf numFmtId="2" fontId="11" fillId="0" borderId="10" xfId="9" applyNumberFormat="1" applyFont="1" applyFill="1" applyBorder="1" applyAlignment="1">
      <alignment horizontal="center" vertical="center"/>
    </xf>
    <xf numFmtId="2" fontId="11" fillId="29" borderId="10" xfId="9" applyNumberFormat="1" applyFont="1" applyFill="1" applyBorder="1" applyAlignment="1">
      <alignment horizontal="center" vertical="center"/>
    </xf>
    <xf numFmtId="2" fontId="11" fillId="0" borderId="58" xfId="9" applyNumberFormat="1" applyFont="1" applyFill="1" applyBorder="1" applyAlignment="1">
      <alignment horizontal="center" vertical="center"/>
    </xf>
    <xf numFmtId="2" fontId="11" fillId="0" borderId="5" xfId="9" applyNumberFormat="1" applyFont="1" applyFill="1" applyBorder="1" applyAlignment="1">
      <alignment horizontal="center" vertical="center"/>
    </xf>
    <xf numFmtId="2" fontId="11" fillId="0" borderId="0" xfId="9" applyNumberFormat="1" applyFont="1" applyFill="1" applyBorder="1" applyAlignment="1">
      <alignment horizontal="center" vertical="center"/>
    </xf>
    <xf numFmtId="2" fontId="11" fillId="29" borderId="0" xfId="9" applyNumberFormat="1" applyFont="1" applyFill="1" applyBorder="1" applyAlignment="1">
      <alignment horizontal="center" vertical="center"/>
    </xf>
    <xf numFmtId="2" fontId="11" fillId="0" borderId="6" xfId="9" applyNumberFormat="1" applyFont="1" applyFill="1" applyBorder="1" applyAlignment="1">
      <alignment horizontal="center" vertical="center"/>
    </xf>
    <xf numFmtId="2" fontId="11" fillId="0" borderId="61" xfId="9" applyNumberFormat="1" applyFont="1" applyFill="1" applyBorder="1" applyAlignment="1">
      <alignment horizontal="center" vertical="center"/>
    </xf>
    <xf numFmtId="2" fontId="11" fillId="29" borderId="21" xfId="9" applyNumberFormat="1" applyFont="1" applyFill="1" applyBorder="1" applyAlignment="1">
      <alignment horizontal="center" vertical="center"/>
    </xf>
    <xf numFmtId="2" fontId="11" fillId="0" borderId="62" xfId="9" applyNumberFormat="1" applyFont="1" applyFill="1" applyBorder="1" applyAlignment="1">
      <alignment horizontal="center" vertical="center"/>
    </xf>
    <xf numFmtId="2" fontId="11" fillId="29" borderId="5" xfId="9" applyNumberFormat="1" applyFont="1" applyFill="1" applyBorder="1" applyAlignment="1">
      <alignment horizontal="center" vertical="center"/>
    </xf>
    <xf numFmtId="2" fontId="11" fillId="29" borderId="63" xfId="9" applyNumberFormat="1" applyFont="1" applyFill="1" applyBorder="1" applyAlignment="1">
      <alignment horizontal="center" vertical="center"/>
    </xf>
    <xf numFmtId="2" fontId="11" fillId="29" borderId="64" xfId="9" applyNumberFormat="1" applyFont="1" applyFill="1" applyBorder="1" applyAlignment="1">
      <alignment horizontal="center" vertical="center"/>
    </xf>
    <xf numFmtId="2" fontId="11" fillId="29" borderId="6" xfId="9" applyNumberFormat="1" applyFont="1" applyFill="1" applyBorder="1" applyAlignment="1">
      <alignment horizontal="center" vertical="center"/>
    </xf>
    <xf numFmtId="2" fontId="11" fillId="0" borderId="65" xfId="9" applyNumberFormat="1" applyFont="1" applyFill="1" applyBorder="1" applyAlignment="1">
      <alignment horizontal="center" vertical="center"/>
    </xf>
    <xf numFmtId="2" fontId="11" fillId="29" borderId="67" xfId="9" applyNumberFormat="1" applyFont="1" applyFill="1" applyBorder="1" applyAlignment="1">
      <alignment horizontal="center" vertical="center"/>
    </xf>
    <xf numFmtId="2" fontId="11" fillId="0" borderId="66" xfId="9" applyNumberFormat="1" applyFont="1" applyFill="1" applyBorder="1" applyAlignment="1">
      <alignment horizontal="center" vertical="center"/>
    </xf>
    <xf numFmtId="2" fontId="11" fillId="0" borderId="59" xfId="9" applyNumberFormat="1" applyFont="1" applyFill="1" applyBorder="1" applyAlignment="1">
      <alignment horizontal="center" vertical="center"/>
    </xf>
    <xf numFmtId="2" fontId="11" fillId="0" borderId="11" xfId="9" applyNumberFormat="1" applyFont="1" applyFill="1" applyBorder="1" applyAlignment="1">
      <alignment horizontal="center" vertical="center"/>
    </xf>
    <xf numFmtId="2" fontId="11" fillId="29" borderId="11" xfId="9" applyNumberFormat="1" applyFont="1" applyFill="1" applyBorder="1" applyAlignment="1">
      <alignment horizontal="center" vertical="center"/>
    </xf>
    <xf numFmtId="2" fontId="11" fillId="0" borderId="60" xfId="9" applyNumberFormat="1" applyFont="1" applyFill="1" applyBorder="1" applyAlignment="1">
      <alignment horizontal="center" vertical="center"/>
    </xf>
    <xf numFmtId="9" fontId="11" fillId="0" borderId="0" xfId="1" applyFont="1" applyFill="1" applyAlignment="1">
      <alignment vertical="center"/>
    </xf>
    <xf numFmtId="9" fontId="39" fillId="0" borderId="0" xfId="1" applyFont="1" applyFill="1" applyAlignment="1">
      <alignment vertical="center"/>
    </xf>
    <xf numFmtId="2" fontId="30" fillId="0" borderId="0" xfId="2" applyNumberFormat="1" applyFont="1" applyAlignment="1">
      <alignment vertical="center"/>
    </xf>
    <xf numFmtId="0" fontId="86" fillId="0" borderId="0" xfId="2" applyFont="1" applyAlignment="1">
      <alignment horizontal="right" vertical="center"/>
    </xf>
    <xf numFmtId="10" fontId="40" fillId="7" borderId="68" xfId="2" applyNumberFormat="1" applyFont="1" applyFill="1" applyBorder="1"/>
    <xf numFmtId="44" fontId="64" fillId="20" borderId="0" xfId="9" applyFont="1" applyFill="1"/>
    <xf numFmtId="0" fontId="29" fillId="20" borderId="0" xfId="2" applyFont="1" applyFill="1" applyAlignment="1">
      <alignment horizontal="right" vertical="center" indent="1"/>
    </xf>
    <xf numFmtId="44" fontId="29" fillId="20" borderId="0" xfId="9" applyFont="1" applyFill="1" applyAlignment="1">
      <alignment vertical="center"/>
    </xf>
    <xf numFmtId="2" fontId="39" fillId="30" borderId="69" xfId="9" applyNumberFormat="1" applyFont="1" applyFill="1" applyBorder="1" applyAlignment="1">
      <alignment horizontal="center" vertical="center"/>
    </xf>
    <xf numFmtId="0" fontId="67" fillId="6" borderId="27" xfId="0" applyFont="1" applyFill="1" applyBorder="1" applyAlignment="1">
      <alignment horizontal="left"/>
    </xf>
    <xf numFmtId="0" fontId="55" fillId="6" borderId="27" xfId="0" applyFont="1" applyFill="1" applyBorder="1" applyAlignment="1">
      <alignment horizontal="left"/>
    </xf>
    <xf numFmtId="7" fontId="67" fillId="18" borderId="27" xfId="0" applyNumberFormat="1" applyFont="1" applyFill="1" applyBorder="1" applyAlignment="1">
      <alignment horizontal="right"/>
    </xf>
    <xf numFmtId="0" fontId="87" fillId="7" borderId="27" xfId="0" applyFont="1" applyFill="1" applyBorder="1" applyAlignment="1">
      <alignment horizontal="right"/>
    </xf>
    <xf numFmtId="0" fontId="87" fillId="7" borderId="27" xfId="0" quotePrefix="1" applyFont="1" applyFill="1" applyBorder="1" applyAlignment="1">
      <alignment horizontal="right"/>
    </xf>
    <xf numFmtId="164" fontId="87" fillId="7" borderId="27" xfId="0" applyNumberFormat="1" applyFont="1" applyFill="1" applyBorder="1" applyAlignment="1">
      <alignment horizontal="right"/>
    </xf>
    <xf numFmtId="0" fontId="66" fillId="28" borderId="0" xfId="0" applyFont="1" applyFill="1" applyAlignment="1">
      <alignment vertical="center"/>
    </xf>
    <xf numFmtId="0" fontId="54" fillId="28" borderId="0" xfId="0" applyFont="1" applyFill="1" applyAlignment="1">
      <alignment vertical="center"/>
    </xf>
    <xf numFmtId="0" fontId="72" fillId="0" borderId="34" xfId="2" applyFont="1" applyBorder="1" applyAlignment="1">
      <alignment vertical="center"/>
    </xf>
    <xf numFmtId="171" fontId="87" fillId="7" borderId="34" xfId="4" applyNumberFormat="1" applyFont="1" applyFill="1" applyBorder="1" applyAlignment="1">
      <alignment vertical="center"/>
    </xf>
    <xf numFmtId="0" fontId="55" fillId="0" borderId="34" xfId="0" applyFont="1" applyBorder="1" applyAlignment="1">
      <alignment vertical="center"/>
    </xf>
    <xf numFmtId="0" fontId="90" fillId="0" borderId="34" xfId="3" applyFont="1" applyFill="1" applyBorder="1" applyAlignment="1">
      <alignment vertical="center"/>
    </xf>
    <xf numFmtId="0" fontId="55" fillId="0" borderId="34" xfId="2" applyFont="1" applyBorder="1" applyAlignment="1">
      <alignment vertical="center"/>
    </xf>
    <xf numFmtId="0" fontId="89" fillId="0" borderId="34" xfId="3" applyFont="1" applyFill="1" applyBorder="1" applyAlignment="1">
      <alignment vertical="center"/>
    </xf>
    <xf numFmtId="0" fontId="89" fillId="0" borderId="34" xfId="3" applyFont="1" applyFill="1" applyBorder="1" applyAlignment="1">
      <alignment horizontal="left" vertical="center"/>
    </xf>
    <xf numFmtId="43" fontId="87" fillId="0" borderId="34" xfId="2" applyNumberFormat="1" applyFont="1" applyBorder="1" applyAlignment="1">
      <alignment vertical="center"/>
    </xf>
    <xf numFmtId="0" fontId="66" fillId="28" borderId="70" xfId="2" applyFont="1" applyFill="1" applyBorder="1" applyAlignment="1">
      <alignment horizontal="left" vertical="center"/>
    </xf>
    <xf numFmtId="0" fontId="54" fillId="28" borderId="70" xfId="0" applyFont="1" applyFill="1" applyBorder="1" applyAlignment="1">
      <alignment horizontal="centerContinuous"/>
    </xf>
    <xf numFmtId="0" fontId="72" fillId="0" borderId="34" xfId="2" applyFont="1" applyBorder="1" applyAlignment="1">
      <alignment horizontal="left" vertical="center"/>
    </xf>
    <xf numFmtId="43" fontId="87" fillId="7" borderId="34" xfId="2" applyNumberFormat="1" applyFont="1" applyFill="1" applyBorder="1" applyAlignment="1">
      <alignment vertical="center"/>
    </xf>
    <xf numFmtId="170" fontId="87" fillId="7" borderId="34" xfId="2" applyNumberFormat="1" applyFont="1" applyFill="1" applyBorder="1" applyAlignment="1">
      <alignment vertical="center"/>
    </xf>
    <xf numFmtId="0" fontId="73" fillId="8" borderId="71" xfId="2" applyFont="1" applyFill="1" applyBorder="1" applyAlignment="1">
      <alignment horizontal="left" vertical="center"/>
    </xf>
    <xf numFmtId="170" fontId="67" fillId="8" borderId="71" xfId="2" applyNumberFormat="1" applyFont="1" applyFill="1" applyBorder="1" applyAlignment="1">
      <alignment vertical="center"/>
    </xf>
    <xf numFmtId="0" fontId="55" fillId="8" borderId="71" xfId="0" applyFont="1" applyFill="1" applyBorder="1" applyAlignment="1">
      <alignment vertical="center"/>
    </xf>
    <xf numFmtId="0" fontId="66" fillId="28" borderId="72" xfId="2" applyFont="1" applyFill="1" applyBorder="1" applyAlignment="1">
      <alignment horizontal="left" vertical="center"/>
    </xf>
    <xf numFmtId="0" fontId="54" fillId="28" borderId="72" xfId="0" applyFont="1" applyFill="1" applyBorder="1" applyAlignment="1">
      <alignment horizontal="centerContinuous"/>
    </xf>
    <xf numFmtId="0" fontId="54" fillId="28" borderId="72" xfId="0" applyFont="1" applyFill="1" applyBorder="1"/>
    <xf numFmtId="0" fontId="55" fillId="0" borderId="27" xfId="0" applyFont="1" applyBorder="1"/>
    <xf numFmtId="185" fontId="55" fillId="0" borderId="27" xfId="0" applyNumberFormat="1" applyFont="1" applyBorder="1"/>
    <xf numFmtId="0" fontId="88" fillId="0" borderId="27" xfId="0" applyFont="1" applyBorder="1"/>
    <xf numFmtId="0" fontId="67" fillId="8" borderId="71" xfId="2" applyFont="1" applyFill="1" applyBorder="1" applyAlignment="1">
      <alignment vertical="center"/>
    </xf>
    <xf numFmtId="0" fontId="67" fillId="8" borderId="71" xfId="0" applyFont="1" applyFill="1" applyBorder="1" applyAlignment="1">
      <alignment vertical="center"/>
    </xf>
    <xf numFmtId="0" fontId="73" fillId="0" borderId="34" xfId="2" applyFont="1" applyBorder="1" applyAlignment="1">
      <alignment horizontal="left"/>
    </xf>
    <xf numFmtId="174" fontId="85" fillId="7" borderId="34" xfId="8" applyNumberFormat="1" applyFont="1" applyFill="1" applyBorder="1"/>
    <xf numFmtId="0" fontId="55" fillId="0" borderId="34" xfId="0" applyFont="1" applyBorder="1"/>
    <xf numFmtId="0" fontId="73" fillId="0" borderId="34" xfId="2" applyFont="1" applyBorder="1" applyAlignment="1">
      <alignment horizontal="left" vertical="top"/>
    </xf>
    <xf numFmtId="4" fontId="55" fillId="0" borderId="34" xfId="0" applyNumberFormat="1" applyFont="1" applyBorder="1" applyAlignment="1">
      <alignment horizontal="left"/>
    </xf>
    <xf numFmtId="0" fontId="72" fillId="0" borderId="34" xfId="2" applyFont="1" applyBorder="1" applyAlignment="1">
      <alignment horizontal="left" indent="1"/>
    </xf>
    <xf numFmtId="181" fontId="72" fillId="0" borderId="34" xfId="4" applyNumberFormat="1" applyFont="1" applyFill="1" applyBorder="1"/>
    <xf numFmtId="170" fontId="73" fillId="0" borderId="34" xfId="4" applyNumberFormat="1" applyFont="1" applyFill="1" applyBorder="1"/>
    <xf numFmtId="166" fontId="87" fillId="7" borderId="34" xfId="4" applyNumberFormat="1" applyFont="1" applyFill="1" applyBorder="1"/>
    <xf numFmtId="6" fontId="73" fillId="16" borderId="34" xfId="4" applyNumberFormat="1" applyFont="1" applyFill="1" applyBorder="1"/>
    <xf numFmtId="9" fontId="73" fillId="0" borderId="34" xfId="4" applyFont="1" applyFill="1" applyBorder="1"/>
    <xf numFmtId="0" fontId="67" fillId="11" borderId="71" xfId="2" applyFont="1" applyFill="1" applyBorder="1"/>
    <xf numFmtId="170" fontId="67" fillId="11" borderId="71" xfId="2" applyNumberFormat="1" applyFont="1" applyFill="1" applyBorder="1"/>
    <xf numFmtId="0" fontId="55" fillId="0" borderId="71" xfId="0" applyFont="1" applyBorder="1"/>
    <xf numFmtId="0" fontId="66" fillId="28" borderId="72" xfId="0" applyFont="1" applyFill="1" applyBorder="1" applyAlignment="1">
      <alignment horizontal="left"/>
    </xf>
    <xf numFmtId="0" fontId="66" fillId="28" borderId="72" xfId="0" applyFont="1" applyFill="1" applyBorder="1" applyAlignment="1">
      <alignment horizontal="center"/>
    </xf>
    <xf numFmtId="0" fontId="67" fillId="0" borderId="34" xfId="0" applyFont="1" applyBorder="1"/>
    <xf numFmtId="10" fontId="87" fillId="7" borderId="34" xfId="1" applyNumberFormat="1" applyFont="1" applyFill="1" applyBorder="1" applyAlignment="1">
      <alignment horizontal="center"/>
    </xf>
    <xf numFmtId="10" fontId="55" fillId="0" borderId="34" xfId="1" applyNumberFormat="1" applyFont="1" applyBorder="1" applyAlignment="1">
      <alignment horizontal="center"/>
    </xf>
    <xf numFmtId="0" fontId="92" fillId="0" borderId="34" xfId="0" applyFont="1" applyBorder="1" applyAlignment="1">
      <alignment horizontal="left" indent="1"/>
    </xf>
    <xf numFmtId="10" fontId="9" fillId="0" borderId="34" xfId="1" applyNumberFormat="1" applyFont="1" applyBorder="1" applyAlignment="1">
      <alignment horizontal="center"/>
    </xf>
    <xf numFmtId="10" fontId="37" fillId="7" borderId="34" xfId="1" applyNumberFormat="1" applyFont="1" applyFill="1" applyBorder="1" applyAlignment="1" applyProtection="1">
      <alignment horizontal="center" vertical="center"/>
      <protection locked="0"/>
    </xf>
    <xf numFmtId="10" fontId="9" fillId="0" borderId="71" xfId="1" applyNumberFormat="1" applyFont="1" applyBorder="1" applyAlignment="1">
      <alignment horizontal="center"/>
    </xf>
    <xf numFmtId="10" fontId="37" fillId="7" borderId="71" xfId="1" applyNumberFormat="1" applyFont="1" applyFill="1" applyBorder="1" applyAlignment="1">
      <alignment horizontal="center"/>
    </xf>
    <xf numFmtId="0" fontId="9" fillId="0" borderId="71" xfId="0" applyFont="1" applyBorder="1" applyAlignment="1">
      <alignment horizontal="left" indent="1"/>
    </xf>
    <xf numFmtId="0" fontId="55" fillId="7" borderId="27" xfId="0" applyFont="1" applyFill="1" applyBorder="1" applyAlignment="1">
      <alignment horizontal="right" vertical="center"/>
    </xf>
    <xf numFmtId="0" fontId="87" fillId="7" borderId="27" xfId="0" applyFont="1" applyFill="1" applyBorder="1" applyAlignment="1">
      <alignment horizontal="right" vertical="center"/>
    </xf>
    <xf numFmtId="0" fontId="67" fillId="0" borderId="27" xfId="0" applyFont="1" applyBorder="1" applyAlignment="1">
      <alignment horizontal="left" vertical="center"/>
    </xf>
    <xf numFmtId="172" fontId="88" fillId="8" borderId="27" xfId="8" applyNumberFormat="1" applyFont="1" applyFill="1" applyBorder="1" applyAlignment="1">
      <alignment horizontal="center" vertical="center"/>
    </xf>
    <xf numFmtId="14" fontId="11" fillId="0" borderId="0" xfId="2" applyNumberFormat="1"/>
    <xf numFmtId="0" fontId="4" fillId="22" borderId="0" xfId="0" applyFont="1" applyFill="1"/>
    <xf numFmtId="167" fontId="3" fillId="22" borderId="1" xfId="0" applyNumberFormat="1" applyFont="1" applyFill="1" applyBorder="1"/>
    <xf numFmtId="167" fontId="4" fillId="22" borderId="0" xfId="0" applyNumberFormat="1" applyFont="1" applyFill="1"/>
    <xf numFmtId="166" fontId="4" fillId="22" borderId="0" xfId="0" applyNumberFormat="1" applyFont="1" applyFill="1"/>
    <xf numFmtId="167" fontId="4" fillId="22" borderId="12" xfId="0" applyNumberFormat="1" applyFont="1" applyFill="1" applyBorder="1"/>
    <xf numFmtId="167" fontId="9" fillId="22" borderId="0" xfId="0" applyNumberFormat="1" applyFont="1" applyFill="1"/>
    <xf numFmtId="43" fontId="51" fillId="16" borderId="0" xfId="6" applyFont="1" applyFill="1" applyAlignment="1">
      <alignment vertical="center"/>
    </xf>
    <xf numFmtId="174" fontId="51" fillId="16" borderId="0" xfId="6" applyNumberFormat="1" applyFont="1" applyFill="1" applyAlignment="1">
      <alignment vertical="center"/>
    </xf>
    <xf numFmtId="0" fontId="93" fillId="0" borderId="0" xfId="0" applyFont="1" applyAlignment="1">
      <alignment horizontal="centerContinuous" vertical="center"/>
    </xf>
    <xf numFmtId="0" fontId="4" fillId="0" borderId="0" xfId="0" applyFont="1" applyAlignment="1">
      <alignment horizontal="centerContinuous"/>
    </xf>
    <xf numFmtId="0" fontId="94" fillId="0" borderId="0" xfId="0" applyFont="1"/>
    <xf numFmtId="0" fontId="0" fillId="7" borderId="0" xfId="0" applyFill="1"/>
    <xf numFmtId="0" fontId="41" fillId="14" borderId="0" xfId="0" applyFont="1" applyFill="1" applyAlignment="1">
      <alignment vertical="center"/>
    </xf>
    <xf numFmtId="0" fontId="58" fillId="14" borderId="0" xfId="0" applyFont="1" applyFill="1" applyAlignment="1">
      <alignment vertical="center"/>
    </xf>
    <xf numFmtId="0" fontId="43" fillId="14" borderId="0" xfId="0" applyFont="1" applyFill="1"/>
    <xf numFmtId="1" fontId="98" fillId="20" borderId="0" xfId="0" applyNumberFormat="1" applyFont="1" applyFill="1" applyAlignment="1">
      <alignment horizontal="right"/>
    </xf>
    <xf numFmtId="0" fontId="97" fillId="0" borderId="10" xfId="0" applyFont="1" applyBorder="1" applyAlignment="1">
      <alignment vertical="center"/>
    </xf>
    <xf numFmtId="0" fontId="0" fillId="0" borderId="10" xfId="0" applyBorder="1"/>
    <xf numFmtId="0" fontId="98" fillId="0" borderId="0" xfId="0" applyFont="1" applyAlignment="1">
      <alignment vertical="center"/>
    </xf>
    <xf numFmtId="0" fontId="97" fillId="0" borderId="11" xfId="0" applyFont="1" applyBorder="1" applyAlignment="1">
      <alignment vertical="center"/>
    </xf>
    <xf numFmtId="0" fontId="0" fillId="0" borderId="11" xfId="0" applyBorder="1"/>
    <xf numFmtId="166" fontId="10" fillId="0" borderId="1" xfId="0" applyNumberFormat="1" applyFont="1" applyBorder="1" applyAlignment="1" applyProtection="1">
      <alignment horizontal="right" vertical="center"/>
      <protection locked="0"/>
    </xf>
    <xf numFmtId="166" fontId="4" fillId="9" borderId="0" xfId="0" applyNumberFormat="1" applyFont="1" applyFill="1"/>
    <xf numFmtId="0" fontId="95" fillId="0" borderId="0" xfId="0" applyFont="1" applyAlignment="1">
      <alignment horizontal="left" vertical="center" indent="1"/>
    </xf>
    <xf numFmtId="0" fontId="96" fillId="0" borderId="0" xfId="0" applyFont="1" applyAlignment="1">
      <alignment horizontal="left" vertical="center" indent="1"/>
    </xf>
    <xf numFmtId="0" fontId="0" fillId="0" borderId="0" xfId="0" applyAlignment="1">
      <alignment horizontal="left" vertical="center" indent="1"/>
    </xf>
    <xf numFmtId="0" fontId="70" fillId="0" borderId="0" xfId="0" applyFont="1" applyAlignment="1">
      <alignment horizontal="left" vertical="center" indent="1"/>
    </xf>
    <xf numFmtId="0" fontId="0" fillId="7" borderId="0" xfId="0" applyFill="1" applyAlignment="1">
      <alignment horizontal="left" vertical="center" indent="1"/>
    </xf>
    <xf numFmtId="0" fontId="42" fillId="0" borderId="0" xfId="0" applyFont="1" applyAlignment="1">
      <alignment vertical="center"/>
    </xf>
    <xf numFmtId="0" fontId="99" fillId="4" borderId="0" xfId="0" applyFont="1" applyFill="1"/>
    <xf numFmtId="0" fontId="16" fillId="4" borderId="0" xfId="0" applyFont="1" applyFill="1" applyAlignment="1">
      <alignment horizontal="center" vertical="center" wrapText="1"/>
    </xf>
    <xf numFmtId="182" fontId="7" fillId="20" borderId="1" xfId="0" applyNumberFormat="1" applyFont="1" applyFill="1" applyBorder="1" applyAlignment="1" applyProtection="1">
      <alignment horizontal="right" vertical="center"/>
      <protection locked="0"/>
    </xf>
    <xf numFmtId="182" fontId="10" fillId="0" borderId="1" xfId="0" applyNumberFormat="1" applyFont="1" applyBorder="1" applyAlignment="1" applyProtection="1">
      <alignment horizontal="right" vertical="center"/>
      <protection locked="0"/>
    </xf>
    <xf numFmtId="0" fontId="16" fillId="31" borderId="1" xfId="0" applyFont="1" applyFill="1" applyBorder="1" applyAlignment="1">
      <alignment horizontal="left" vertical="center" indent="1"/>
    </xf>
    <xf numFmtId="166" fontId="16" fillId="31" borderId="1" xfId="0" applyNumberFormat="1" applyFont="1" applyFill="1" applyBorder="1" applyAlignment="1" applyProtection="1">
      <alignment horizontal="right" vertical="center"/>
      <protection locked="0"/>
    </xf>
    <xf numFmtId="182" fontId="16" fillId="31" borderId="1" xfId="0" applyNumberFormat="1" applyFont="1" applyFill="1" applyBorder="1" applyAlignment="1" applyProtection="1">
      <alignment horizontal="right" vertical="center"/>
      <protection locked="0"/>
    </xf>
    <xf numFmtId="0" fontId="3" fillId="20" borderId="1" xfId="0" applyFont="1" applyFill="1" applyBorder="1" applyAlignment="1">
      <alignment horizontal="right" vertical="center" indent="1"/>
    </xf>
    <xf numFmtId="166" fontId="7" fillId="20" borderId="1" xfId="0" applyNumberFormat="1" applyFont="1" applyFill="1" applyBorder="1" applyAlignment="1">
      <alignment horizontal="right" vertical="center"/>
    </xf>
    <xf numFmtId="182" fontId="7" fillId="20" borderId="1" xfId="0" applyNumberFormat="1" applyFont="1" applyFill="1" applyBorder="1" applyAlignment="1">
      <alignment horizontal="right" vertical="center"/>
    </xf>
    <xf numFmtId="170" fontId="13" fillId="0" borderId="1" xfId="0" applyNumberFormat="1" applyFont="1" applyBorder="1" applyAlignment="1">
      <alignment vertical="center"/>
    </xf>
    <xf numFmtId="166" fontId="10" fillId="0" borderId="1" xfId="0" applyNumberFormat="1" applyFont="1" applyBorder="1" applyAlignment="1">
      <alignment horizontal="right" vertical="center"/>
    </xf>
    <xf numFmtId="182" fontId="10" fillId="0" borderId="1" xfId="0" applyNumberFormat="1" applyFont="1" applyBorder="1" applyAlignment="1">
      <alignment horizontal="right" vertical="center"/>
    </xf>
    <xf numFmtId="170" fontId="10" fillId="0" borderId="1" xfId="0" applyNumberFormat="1" applyFont="1" applyBorder="1" applyAlignment="1">
      <alignment vertical="center"/>
    </xf>
    <xf numFmtId="0" fontId="16" fillId="4" borderId="0" xfId="0" applyFont="1" applyFill="1" applyAlignment="1">
      <alignment vertical="center" wrapText="1"/>
    </xf>
    <xf numFmtId="169" fontId="3" fillId="3" borderId="0" xfId="0" applyNumberFormat="1" applyFont="1" applyFill="1" applyAlignment="1">
      <alignment horizontal="center" vertical="center"/>
    </xf>
    <xf numFmtId="169" fontId="17" fillId="13" borderId="0" xfId="0" applyNumberFormat="1" applyFont="1" applyFill="1" applyAlignment="1">
      <alignment horizontal="center" vertical="center"/>
    </xf>
    <xf numFmtId="169" fontId="3" fillId="2" borderId="0" xfId="0" applyNumberFormat="1" applyFont="1" applyFill="1" applyAlignment="1">
      <alignment horizontal="center" vertical="center"/>
    </xf>
    <xf numFmtId="169" fontId="16" fillId="14" borderId="0" xfId="0" applyNumberFormat="1" applyFont="1" applyFill="1" applyAlignment="1">
      <alignment horizontal="center" vertical="center"/>
    </xf>
    <xf numFmtId="169" fontId="29" fillId="8" borderId="4" xfId="2" applyNumberFormat="1" applyFont="1" applyFill="1" applyBorder="1" applyAlignment="1">
      <alignment horizontal="right" vertical="center"/>
    </xf>
    <xf numFmtId="186" fontId="73" fillId="16" borderId="37" xfId="10" applyNumberFormat="1" applyFont="1" applyFill="1" applyBorder="1" applyAlignment="1">
      <alignment horizontal="center" vertical="center"/>
    </xf>
    <xf numFmtId="186" fontId="73" fillId="16" borderId="38" xfId="10" applyNumberFormat="1" applyFont="1" applyFill="1" applyBorder="1" applyAlignment="1">
      <alignment horizontal="center" vertical="center"/>
    </xf>
    <xf numFmtId="186" fontId="73" fillId="16" borderId="39" xfId="10" applyNumberFormat="1" applyFont="1" applyFill="1" applyBorder="1" applyAlignment="1">
      <alignment horizontal="center" vertical="center"/>
    </xf>
    <xf numFmtId="186" fontId="73" fillId="16" borderId="0" xfId="10" applyNumberFormat="1" applyFont="1" applyFill="1" applyAlignment="1">
      <alignment horizontal="center"/>
    </xf>
    <xf numFmtId="186" fontId="29" fillId="8" borderId="4" xfId="2" applyNumberFormat="1" applyFont="1" applyFill="1" applyBorder="1" applyAlignment="1">
      <alignment horizontal="right" vertical="center"/>
    </xf>
    <xf numFmtId="186" fontId="29" fillId="8" borderId="4" xfId="2" applyNumberFormat="1" applyFont="1" applyFill="1" applyBorder="1" applyAlignment="1">
      <alignment horizontal="center" vertical="center"/>
    </xf>
    <xf numFmtId="186" fontId="41" fillId="22" borderId="0" xfId="7" applyNumberFormat="1" applyFont="1" applyFill="1" applyAlignment="1">
      <alignment horizontal="center" vertical="center"/>
    </xf>
    <xf numFmtId="166" fontId="4" fillId="0" borderId="0" xfId="0" applyNumberFormat="1" applyFont="1"/>
    <xf numFmtId="0" fontId="116" fillId="0" borderId="0" xfId="0" applyFont="1"/>
    <xf numFmtId="9" fontId="4" fillId="0" borderId="0" xfId="0" applyNumberFormat="1" applyFont="1"/>
    <xf numFmtId="172" fontId="13" fillId="7" borderId="0" xfId="8" applyNumberFormat="1" applyFont="1" applyFill="1" applyAlignment="1">
      <alignment horizontal="right"/>
    </xf>
    <xf numFmtId="166" fontId="6" fillId="0" borderId="0" xfId="0" applyNumberFormat="1" applyFont="1" applyAlignment="1" applyProtection="1">
      <alignment horizontal="right" vertical="center"/>
      <protection locked="0"/>
    </xf>
    <xf numFmtId="0" fontId="44" fillId="10" borderId="0" xfId="0" applyFont="1" applyFill="1" applyAlignment="1">
      <alignment horizontal="center" vertical="center" wrapText="1"/>
    </xf>
    <xf numFmtId="0" fontId="73" fillId="20" borderId="36" xfId="10" applyFont="1" applyFill="1" applyBorder="1" applyAlignment="1">
      <alignment horizontal="center" vertical="center"/>
    </xf>
    <xf numFmtId="183" fontId="82" fillId="8" borderId="0" xfId="10" applyNumberFormat="1" applyFont="1" applyFill="1" applyAlignment="1">
      <alignment horizontal="center" vertical="center"/>
    </xf>
    <xf numFmtId="0" fontId="66" fillId="26" borderId="37" xfId="10" applyFont="1" applyFill="1" applyBorder="1" applyAlignment="1">
      <alignment horizontal="center" vertical="center"/>
    </xf>
    <xf numFmtId="0" fontId="66" fillId="26" borderId="38" xfId="10" applyFont="1" applyFill="1" applyBorder="1" applyAlignment="1">
      <alignment horizontal="center" vertical="center"/>
    </xf>
    <xf numFmtId="0" fontId="66" fillId="26" borderId="39" xfId="10" applyFont="1" applyFill="1" applyBorder="1" applyAlignment="1">
      <alignment horizontal="center" vertical="center"/>
    </xf>
    <xf numFmtId="0" fontId="78" fillId="15" borderId="37" xfId="10" applyFont="1" applyFill="1" applyBorder="1" applyAlignment="1">
      <alignment horizontal="center" vertical="center"/>
    </xf>
    <xf numFmtId="0" fontId="78" fillId="15" borderId="38" xfId="10" applyFont="1" applyFill="1" applyBorder="1" applyAlignment="1">
      <alignment horizontal="center" vertical="center"/>
    </xf>
    <xf numFmtId="0" fontId="78" fillId="15" borderId="39" xfId="10" applyFont="1" applyFill="1" applyBorder="1" applyAlignment="1">
      <alignment horizontal="center" vertical="center"/>
    </xf>
    <xf numFmtId="0" fontId="78" fillId="24" borderId="37" xfId="10" applyFont="1" applyFill="1" applyBorder="1" applyAlignment="1">
      <alignment horizontal="center" vertical="center"/>
    </xf>
    <xf numFmtId="0" fontId="78" fillId="24" borderId="38" xfId="10" applyFont="1" applyFill="1" applyBorder="1" applyAlignment="1">
      <alignment horizontal="center" vertical="center"/>
    </xf>
    <xf numFmtId="0" fontId="78" fillId="24" borderId="39" xfId="10" applyFont="1" applyFill="1" applyBorder="1" applyAlignment="1">
      <alignment horizontal="center" vertical="center"/>
    </xf>
    <xf numFmtId="0" fontId="73" fillId="3" borderId="36" xfId="10" applyFont="1" applyFill="1" applyBorder="1" applyAlignment="1">
      <alignment horizontal="center" vertical="center"/>
    </xf>
    <xf numFmtId="0" fontId="85" fillId="12" borderId="36" xfId="10" applyFont="1" applyFill="1" applyBorder="1" applyAlignment="1">
      <alignment horizontal="center" vertical="center"/>
    </xf>
    <xf numFmtId="183" fontId="82" fillId="7" borderId="38" xfId="10" applyNumberFormat="1" applyFont="1" applyFill="1" applyBorder="1" applyAlignment="1">
      <alignment horizontal="center" vertical="center"/>
    </xf>
    <xf numFmtId="183" fontId="82" fillId="7" borderId="37" xfId="10" applyNumberFormat="1" applyFont="1" applyFill="1" applyBorder="1" applyAlignment="1">
      <alignment horizontal="center" vertical="center"/>
    </xf>
    <xf numFmtId="183" fontId="82" fillId="7" borderId="39" xfId="10" applyNumberFormat="1" applyFont="1" applyFill="1" applyBorder="1" applyAlignment="1">
      <alignment horizontal="center" vertical="center"/>
    </xf>
    <xf numFmtId="0" fontId="73" fillId="0" borderId="10" xfId="0" applyFont="1" applyBorder="1" applyAlignment="1">
      <alignment horizontal="left"/>
    </xf>
    <xf numFmtId="0" fontId="41" fillId="2" borderId="48" xfId="0" applyFont="1" applyFill="1" applyBorder="1" applyAlignment="1">
      <alignment horizontal="center"/>
    </xf>
    <xf numFmtId="0" fontId="41" fillId="2" borderId="50" xfId="0" applyFont="1" applyFill="1" applyBorder="1" applyAlignment="1">
      <alignment horizontal="center"/>
    </xf>
    <xf numFmtId="0" fontId="41" fillId="2" borderId="48" xfId="0" applyFont="1" applyFill="1" applyBorder="1" applyAlignment="1">
      <alignment horizontal="center" vertical="center"/>
    </xf>
    <xf numFmtId="0" fontId="41" fillId="2" borderId="49" xfId="0" applyFont="1" applyFill="1" applyBorder="1" applyAlignment="1">
      <alignment horizontal="center" vertical="center"/>
    </xf>
    <xf numFmtId="0" fontId="41" fillId="2" borderId="50" xfId="0" applyFont="1" applyFill="1" applyBorder="1" applyAlignment="1">
      <alignment horizontal="center" vertical="center"/>
    </xf>
  </cellXfs>
  <cellStyles count="54">
    <cellStyle name="20% - Accent1" xfId="27" builtinId="30" customBuiltin="1"/>
    <cellStyle name="20% - Accent2" xfId="30" builtinId="34" customBuiltin="1"/>
    <cellStyle name="20% - Accent3" xfId="33" builtinId="38" customBuiltin="1"/>
    <cellStyle name="20% - Accent4" xfId="36" builtinId="42" customBuiltin="1"/>
    <cellStyle name="20% - Accent5" xfId="39" builtinId="46" customBuiltin="1"/>
    <cellStyle name="20% - Accent6" xfId="42" builtinId="50" customBuiltin="1"/>
    <cellStyle name="40% - Accent1" xfId="28" builtinId="31" customBuiltin="1"/>
    <cellStyle name="40% - Accent2" xfId="31" builtinId="35" customBuiltin="1"/>
    <cellStyle name="40% - Accent3" xfId="34" builtinId="39" customBuiltin="1"/>
    <cellStyle name="40% - Accent4" xfId="37" builtinId="43" customBuiltin="1"/>
    <cellStyle name="40% - Accent5" xfId="40" builtinId="47" customBuiltin="1"/>
    <cellStyle name="40% - Accent6" xfId="43" builtinId="51" customBuiltin="1"/>
    <cellStyle name="60% - Accent1 2" xfId="44" xr:uid="{68579128-2ED7-4FAD-AC81-CD1CDC70253A}"/>
    <cellStyle name="60% - Accent2 2" xfId="45" xr:uid="{5971BD29-B0B7-4157-835E-BFC1C248D474}"/>
    <cellStyle name="60% - Accent3 2" xfId="46" xr:uid="{47E3E0AE-A129-475A-B041-0065720E01EF}"/>
    <cellStyle name="60% - Accent4 2" xfId="47" xr:uid="{02683CAF-DD1B-4533-BB26-D7DF2C193036}"/>
    <cellStyle name="60% - Accent5 2" xfId="48" xr:uid="{9FBAF8D1-FAB6-4BCA-9BF5-C2969328567F}"/>
    <cellStyle name="60% - Accent6 2" xfId="49" xr:uid="{10E780E4-8BC2-40C3-A57C-5C0E484C9442}"/>
    <cellStyle name="Accent1" xfId="26" builtinId="29" customBuiltin="1"/>
    <cellStyle name="Accent2" xfId="29" builtinId="33" customBuiltin="1"/>
    <cellStyle name="Accent3" xfId="32" builtinId="37" customBuiltin="1"/>
    <cellStyle name="Accent4" xfId="35" builtinId="41" customBuiltin="1"/>
    <cellStyle name="Accent5" xfId="38" builtinId="45" customBuiltin="1"/>
    <cellStyle name="Accent6" xfId="41" builtinId="49" customBuiltin="1"/>
    <cellStyle name="Bad" xfId="16" builtinId="27" customBuiltin="1"/>
    <cellStyle name="blp_title_header_row_left" xfId="52" xr:uid="{64D3EDA8-5D0F-4A5F-B554-910A9868D668}"/>
    <cellStyle name="Calculation" xfId="19" builtinId="22" customBuiltin="1"/>
    <cellStyle name="Check Cell" xfId="21" builtinId="23" customBuiltin="1"/>
    <cellStyle name="Comma" xfId="8" builtinId="3"/>
    <cellStyle name="Comma 2" xfId="6" xr:uid="{4E657791-111D-457B-8409-0648870BCF1D}"/>
    <cellStyle name="Currency" xfId="9" builtinId="4"/>
    <cellStyle name="Explanatory Text" xfId="24" builtinId="53" customBuiltin="1"/>
    <cellStyle name="fa_column_header_bottom_left" xfId="53" xr:uid="{64055690-72C4-4667-A90A-39E6157947D5}"/>
    <cellStyle name="Good" xfId="15" builtinId="26" customBuiltin="1"/>
    <cellStyle name="Heading 1" xfId="11" builtinId="16" customBuiltin="1"/>
    <cellStyle name="Heading 2" xfId="12" builtinId="17" customBuiltin="1"/>
    <cellStyle name="Heading 3" xfId="13" builtinId="18" customBuiltin="1"/>
    <cellStyle name="Heading 4" xfId="14" builtinId="19" customBuiltin="1"/>
    <cellStyle name="Hyperlink" xfId="3" builtinId="8"/>
    <cellStyle name="Input" xfId="17" builtinId="20" customBuiltin="1"/>
    <cellStyle name="Linked Cell" xfId="20" builtinId="24" customBuiltin="1"/>
    <cellStyle name="Neutral 2" xfId="50" xr:uid="{BD45D225-8967-4437-8A4C-85B87AEAA8D0}"/>
    <cellStyle name="Normal" xfId="0" builtinId="0"/>
    <cellStyle name="Normal 2" xfId="2" xr:uid="{12DB5E10-DABD-4FD8-BF23-7A3AD885868A}"/>
    <cellStyle name="Normal 3" xfId="5" xr:uid="{0CE71C3D-0CAA-429E-A74C-9302B516E8AD}"/>
    <cellStyle name="Normal 8 3" xfId="7" xr:uid="{1C014C0F-6B2E-43E9-8BA8-490A81B19838}"/>
    <cellStyle name="Normal_HistPE Model Template" xfId="10" xr:uid="{11DB60CB-8175-47A1-99C9-BCC1B743239A}"/>
    <cellStyle name="Note" xfId="23" builtinId="10" customBuiltin="1"/>
    <cellStyle name="Output" xfId="18" builtinId="21" customBuiltin="1"/>
    <cellStyle name="Percent" xfId="1" builtinId="5"/>
    <cellStyle name="Percent 2" xfId="4" xr:uid="{3429D2B7-CC73-4046-8135-6F6EF29F9C0D}"/>
    <cellStyle name="Title 2" xfId="51" xr:uid="{2FB6A1BC-3B9A-4501-8429-51DCDF5A66AC}"/>
    <cellStyle name="Total" xfId="25" builtinId="25" customBuiltin="1"/>
    <cellStyle name="Warning Text" xfId="22" builtinId="11" customBuiltin="1"/>
  </cellStyles>
  <dxfs count="0"/>
  <tableStyles count="0" defaultTableStyle="TableStyleMedium2" defaultPivotStyle="PivotStyleLight16"/>
  <colors>
    <mruColors>
      <color rgb="FF0000FF"/>
      <color rgb="FFFFFFCC"/>
      <color rgb="FF0066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26" Type="http://schemas.openxmlformats.org/officeDocument/2006/relationships/customXml" Target="../customXml/item2.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10/relationships/person" Target="persons/perso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RichValueTypes" Target="richData/rdRichValueTypes.xml"/><Relationship Id="rId27"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Summary!$D$32</c:f>
              <c:strCache>
                <c:ptCount val="1"/>
                <c:pt idx="0">
                  <c:v>Low</c:v>
                </c:pt>
              </c:strCache>
            </c:strRef>
          </c:tx>
          <c:spPr>
            <a:noFill/>
            <a:ln>
              <a:noFill/>
            </a:ln>
            <a:effectLst/>
          </c:spPr>
          <c:invertIfNegative val="0"/>
          <c:cat>
            <c:strRef>
              <c:f>Summary!$B$33:$B$35</c:f>
              <c:strCache>
                <c:ptCount val="3"/>
                <c:pt idx="0">
                  <c:v>Discounted Cash Flow (40%)</c:v>
                </c:pt>
                <c:pt idx="1">
                  <c:v>Market Multiples: Price to Earnings (50%)</c:v>
                </c:pt>
                <c:pt idx="2">
                  <c:v>Dividend Discount Model (10%)</c:v>
                </c:pt>
              </c:strCache>
            </c:strRef>
          </c:cat>
          <c:val>
            <c:numRef>
              <c:f>Summary!$D$33:$D$35</c:f>
              <c:numCache>
                <c:formatCode>_(* #,##0.0_);_(* \(#,##0.0\);_(* "-"??_);_(@_)</c:formatCode>
                <c:ptCount val="3"/>
                <c:pt idx="0">
                  <c:v>149.24250197783184</c:v>
                </c:pt>
                <c:pt idx="1">
                  <c:v>174.12889142131482</c:v>
                </c:pt>
                <c:pt idx="2">
                  <c:v>79.476690319701277</c:v>
                </c:pt>
              </c:numCache>
            </c:numRef>
          </c:val>
          <c:extLst>
            <c:ext xmlns:c16="http://schemas.microsoft.com/office/drawing/2014/chart" uri="{C3380CC4-5D6E-409C-BE32-E72D297353CC}">
              <c16:uniqueId val="{00000000-DC34-4AAF-BC29-57E83CD4BB73}"/>
            </c:ext>
          </c:extLst>
        </c:ser>
        <c:ser>
          <c:idx val="1"/>
          <c:order val="1"/>
          <c:tx>
            <c:strRef>
              <c:f>Summary!$E$32</c:f>
              <c:strCache>
                <c:ptCount val="1"/>
                <c:pt idx="0">
                  <c:v>Median</c:v>
                </c:pt>
              </c:strCache>
            </c:strRef>
          </c:tx>
          <c:spPr>
            <a:solidFill>
              <a:schemeClr val="accent1"/>
            </a:solidFill>
            <a:ln>
              <a:noFill/>
            </a:ln>
            <a:effectLst/>
          </c:spPr>
          <c:invertIfNegative val="0"/>
          <c:cat>
            <c:strRef>
              <c:f>Summary!$B$33:$B$35</c:f>
              <c:strCache>
                <c:ptCount val="3"/>
                <c:pt idx="0">
                  <c:v>Discounted Cash Flow (40%)</c:v>
                </c:pt>
                <c:pt idx="1">
                  <c:v>Market Multiples: Price to Earnings (50%)</c:v>
                </c:pt>
                <c:pt idx="2">
                  <c:v>Dividend Discount Model (10%)</c:v>
                </c:pt>
              </c:strCache>
            </c:strRef>
          </c:cat>
          <c:val>
            <c:numRef>
              <c:f>Summary!$E$33:$E$35</c:f>
              <c:numCache>
                <c:formatCode>_(* #,##0.0_);_(* \(#,##0.0\);_(* "-"??_);_(@_)</c:formatCode>
                <c:ptCount val="3"/>
                <c:pt idx="0">
                  <c:v>16.582500219759083</c:v>
                </c:pt>
                <c:pt idx="1">
                  <c:v>19.347654602368294</c:v>
                </c:pt>
                <c:pt idx="2">
                  <c:v>8.8307433688556927</c:v>
                </c:pt>
              </c:numCache>
            </c:numRef>
          </c:val>
          <c:extLst>
            <c:ext xmlns:c16="http://schemas.microsoft.com/office/drawing/2014/chart" uri="{C3380CC4-5D6E-409C-BE32-E72D297353CC}">
              <c16:uniqueId val="{00000001-DC34-4AAF-BC29-57E83CD4BB73}"/>
            </c:ext>
          </c:extLst>
        </c:ser>
        <c:ser>
          <c:idx val="2"/>
          <c:order val="2"/>
          <c:tx>
            <c:strRef>
              <c:f>Summary!$F$32</c:f>
              <c:strCache>
                <c:ptCount val="1"/>
                <c:pt idx="0">
                  <c:v>Extra</c:v>
                </c:pt>
              </c:strCache>
            </c:strRef>
          </c:tx>
          <c:spPr>
            <a:solidFill>
              <a:schemeClr val="bg1"/>
            </a:solidFill>
            <a:ln>
              <a:noFill/>
            </a:ln>
            <a:effectLst/>
          </c:spPr>
          <c:invertIfNegative val="0"/>
          <c:cat>
            <c:strRef>
              <c:f>Summary!$B$33:$B$35</c:f>
              <c:strCache>
                <c:ptCount val="3"/>
                <c:pt idx="0">
                  <c:v>Discounted Cash Flow (40%)</c:v>
                </c:pt>
                <c:pt idx="1">
                  <c:v>Market Multiples: Price to Earnings (50%)</c:v>
                </c:pt>
                <c:pt idx="2">
                  <c:v>Dividend Discount Model (10%)</c:v>
                </c:pt>
              </c:strCache>
            </c:strRef>
          </c:cat>
          <c:val>
            <c:numRef>
              <c:f>Summary!$F$33:$F$35</c:f>
              <c:numCache>
                <c:formatCode>_(* #,##0.0_);_(* \(#,##0.0\);_(* "-"??_);_(@_)</c:formatCode>
                <c:ptCount val="3"/>
                <c:pt idx="0">
                  <c:v>4.2974754314933419</c:v>
                </c:pt>
                <c:pt idx="1">
                  <c:v>4.2974754314933419</c:v>
                </c:pt>
                <c:pt idx="2">
                  <c:v>4.2974754314933419</c:v>
                </c:pt>
              </c:numCache>
            </c:numRef>
          </c:val>
          <c:extLst>
            <c:ext xmlns:c16="http://schemas.microsoft.com/office/drawing/2014/chart" uri="{C3380CC4-5D6E-409C-BE32-E72D297353CC}">
              <c16:uniqueId val="{00000002-DC34-4AAF-BC29-57E83CD4BB73}"/>
            </c:ext>
          </c:extLst>
        </c:ser>
        <c:ser>
          <c:idx val="3"/>
          <c:order val="3"/>
          <c:tx>
            <c:strRef>
              <c:f>Summary!$G$32</c:f>
              <c:strCache>
                <c:ptCount val="1"/>
                <c:pt idx="0">
                  <c:v>High</c:v>
                </c:pt>
              </c:strCache>
            </c:strRef>
          </c:tx>
          <c:spPr>
            <a:solidFill>
              <a:schemeClr val="accent1"/>
            </a:solidFill>
            <a:ln>
              <a:noFill/>
            </a:ln>
            <a:effectLst/>
          </c:spPr>
          <c:invertIfNegative val="0"/>
          <c:cat>
            <c:strRef>
              <c:f>Summary!$B$33:$B$35</c:f>
              <c:strCache>
                <c:ptCount val="3"/>
                <c:pt idx="0">
                  <c:v>Discounted Cash Flow (40%)</c:v>
                </c:pt>
                <c:pt idx="1">
                  <c:v>Market Multiples: Price to Earnings (50%)</c:v>
                </c:pt>
                <c:pt idx="2">
                  <c:v>Dividend Discount Model (10%)</c:v>
                </c:pt>
              </c:strCache>
            </c:strRef>
          </c:cat>
          <c:val>
            <c:numRef>
              <c:f>Summary!$G$33:$G$35</c:f>
              <c:numCache>
                <c:formatCode>_(* #,##0.0_);_(* \(#,##0.0\);_(* "-"??_);_(@_)</c:formatCode>
                <c:ptCount val="3"/>
                <c:pt idx="0">
                  <c:v>12.285024788265769</c:v>
                </c:pt>
                <c:pt idx="1">
                  <c:v>15.05017917087498</c:v>
                </c:pt>
                <c:pt idx="2">
                  <c:v>4.533267937362365</c:v>
                </c:pt>
              </c:numCache>
            </c:numRef>
          </c:val>
          <c:extLst>
            <c:ext xmlns:c16="http://schemas.microsoft.com/office/drawing/2014/chart" uri="{C3380CC4-5D6E-409C-BE32-E72D297353CC}">
              <c16:uniqueId val="{00000003-DC34-4AAF-BC29-57E83CD4BB73}"/>
            </c:ext>
          </c:extLst>
        </c:ser>
        <c:dLbls>
          <c:showLegendKey val="0"/>
          <c:showVal val="0"/>
          <c:showCatName val="0"/>
          <c:showSerName val="0"/>
          <c:showPercent val="0"/>
          <c:showBubbleSize val="0"/>
        </c:dLbls>
        <c:gapWidth val="150"/>
        <c:overlap val="100"/>
        <c:axId val="942916527"/>
        <c:axId val="942916943"/>
      </c:barChart>
      <c:lineChart>
        <c:grouping val="standard"/>
        <c:varyColors val="0"/>
        <c:ser>
          <c:idx val="4"/>
          <c:order val="4"/>
          <c:tx>
            <c:strRef>
              <c:f>Summary!$H$32</c:f>
              <c:strCache>
                <c:ptCount val="1"/>
                <c:pt idx="0">
                  <c:v>EV</c:v>
                </c:pt>
              </c:strCache>
            </c:strRef>
          </c:tx>
          <c:spPr>
            <a:ln w="28575" cap="rnd">
              <a:solidFill>
                <a:schemeClr val="tx2"/>
              </a:solidFill>
              <a:prstDash val="dash"/>
              <a:round/>
            </a:ln>
            <a:effectLst/>
          </c:spPr>
          <c:marker>
            <c:symbol val="none"/>
          </c:marker>
          <c:cat>
            <c:strRef>
              <c:f>Summary!$B$33:$B$35</c:f>
              <c:strCache>
                <c:ptCount val="3"/>
                <c:pt idx="0">
                  <c:v>Discounted Cash Flow (40%)</c:v>
                </c:pt>
                <c:pt idx="1">
                  <c:v>Market Multiples: Price to Earnings (50%)</c:v>
                </c:pt>
                <c:pt idx="2">
                  <c:v>Dividend Discount Model (10%)</c:v>
                </c:pt>
              </c:strCache>
            </c:strRef>
          </c:cat>
          <c:val>
            <c:numRef>
              <c:f>Summary!$H$33:$H$35</c:f>
              <c:numCache>
                <c:formatCode>_(* #,##0.0_);_(* \(#,##0.0\);_(* "-"??_);_(@_)</c:formatCode>
                <c:ptCount val="3"/>
                <c:pt idx="0">
                  <c:v>171.89901725973365</c:v>
                </c:pt>
                <c:pt idx="1">
                  <c:v>171.89901725973365</c:v>
                </c:pt>
                <c:pt idx="2">
                  <c:v>171.89901725973365</c:v>
                </c:pt>
              </c:numCache>
            </c:numRef>
          </c:val>
          <c:smooth val="0"/>
          <c:extLst>
            <c:ext xmlns:c16="http://schemas.microsoft.com/office/drawing/2014/chart" uri="{C3380CC4-5D6E-409C-BE32-E72D297353CC}">
              <c16:uniqueId val="{00000004-DC34-4AAF-BC29-57E83CD4BB73}"/>
            </c:ext>
          </c:extLst>
        </c:ser>
        <c:dLbls>
          <c:showLegendKey val="0"/>
          <c:showVal val="0"/>
          <c:showCatName val="0"/>
          <c:showSerName val="0"/>
          <c:showPercent val="0"/>
          <c:showBubbleSize val="0"/>
        </c:dLbls>
        <c:marker val="1"/>
        <c:smooth val="0"/>
        <c:axId val="942916527"/>
        <c:axId val="942916943"/>
      </c:lineChart>
      <c:catAx>
        <c:axId val="942916527"/>
        <c:scaling>
          <c:orientation val="minMax"/>
        </c:scaling>
        <c:delete val="0"/>
        <c:axPos val="b"/>
        <c:numFmt formatCode="General" sourceLinked="1"/>
        <c:majorTickMark val="none"/>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42916943"/>
        <c:crosses val="autoZero"/>
        <c:auto val="1"/>
        <c:lblAlgn val="ctr"/>
        <c:lblOffset val="100"/>
        <c:noMultiLvlLbl val="0"/>
      </c:catAx>
      <c:valAx>
        <c:axId val="942916943"/>
        <c:scaling>
          <c:orientation val="minMax"/>
        </c:scaling>
        <c:delete val="0"/>
        <c:axPos val="l"/>
        <c:majorGridlines>
          <c:spPr>
            <a:ln w="9525" cap="flat" cmpd="sng" algn="ctr">
              <a:noFill/>
              <a:round/>
            </a:ln>
            <a:effectLst/>
          </c:spPr>
        </c:majorGridlines>
        <c:numFmt formatCode="&quot;$&quot;#,##0.0_);[Red]\(&quot;$&quot;#,##0.0\)" sourceLinked="0"/>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42916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to Volume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1"/>
          <c:order val="0"/>
          <c:tx>
            <c:strRef>
              <c:f>Data_Input!$C$2</c:f>
              <c:strCache>
                <c:ptCount val="1"/>
                <c:pt idx="0">
                  <c:v>Volume (000s)</c:v>
                </c:pt>
              </c:strCache>
            </c:strRef>
          </c:tx>
          <c:spPr>
            <a:solidFill>
              <a:schemeClr val="accent5"/>
            </a:solidFill>
            <a:ln>
              <a:noFill/>
            </a:ln>
            <a:effectLst/>
          </c:spPr>
          <c:cat>
            <c:numRef>
              <c:f>Data_Input!$A$3:$A$63</c:f>
              <c:numCache>
                <c:formatCode>[$-409]mmm\-yy;@</c:formatCode>
                <c:ptCount val="61"/>
              </c:numCache>
            </c:numRef>
          </c:cat>
          <c:val>
            <c:numRef>
              <c:f>Data_Input!$C$3:$C$63</c:f>
              <c:numCache>
                <c:formatCode>_(* #,##0_);_(* \(#,##0\);_(* "-"??_);_(@_)</c:formatCode>
                <c:ptCount val="61"/>
              </c:numCache>
            </c:numRef>
          </c:val>
          <c:extLst>
            <c:ext xmlns:c16="http://schemas.microsoft.com/office/drawing/2014/chart" uri="{C3380CC4-5D6E-409C-BE32-E72D297353CC}">
              <c16:uniqueId val="{00000000-FB58-4641-92DF-3307A10420F0}"/>
            </c:ext>
          </c:extLst>
        </c:ser>
        <c:dLbls>
          <c:showLegendKey val="0"/>
          <c:showVal val="0"/>
          <c:showCatName val="0"/>
          <c:showSerName val="0"/>
          <c:showPercent val="0"/>
          <c:showBubbleSize val="0"/>
        </c:dLbls>
        <c:axId val="849821312"/>
        <c:axId val="849810496"/>
      </c:areaChart>
      <c:lineChart>
        <c:grouping val="standard"/>
        <c:varyColors val="0"/>
        <c:ser>
          <c:idx val="0"/>
          <c:order val="1"/>
          <c:tx>
            <c:strRef>
              <c:f>Data_Input!$B$2</c:f>
              <c:strCache>
                <c:ptCount val="1"/>
                <c:pt idx="0">
                  <c:v>Adj Close</c:v>
                </c:pt>
              </c:strCache>
            </c:strRef>
          </c:tx>
          <c:spPr>
            <a:ln w="28575" cap="rnd">
              <a:solidFill>
                <a:schemeClr val="accent6"/>
              </a:solidFill>
              <a:round/>
            </a:ln>
            <a:effectLst/>
          </c:spPr>
          <c:marker>
            <c:symbol val="none"/>
          </c:marker>
          <c:cat>
            <c:numRef>
              <c:f>Data_Input!$A$3:$A$63</c:f>
              <c:numCache>
                <c:formatCode>[$-409]mmm\-yy;@</c:formatCode>
                <c:ptCount val="61"/>
              </c:numCache>
            </c:numRef>
          </c:cat>
          <c:val>
            <c:numRef>
              <c:f>Data_Input!$B$3:$B$63</c:f>
              <c:numCache>
                <c:formatCode>_("$"* #,##0.00_);_("$"* \(#,##0.00\);_("$"* "-"??_);_(@_)</c:formatCode>
                <c:ptCount val="61"/>
              </c:numCache>
            </c:numRef>
          </c:val>
          <c:smooth val="0"/>
          <c:extLst>
            <c:ext xmlns:c16="http://schemas.microsoft.com/office/drawing/2014/chart" uri="{C3380CC4-5D6E-409C-BE32-E72D297353CC}">
              <c16:uniqueId val="{00000001-FB58-4641-92DF-3307A10420F0}"/>
            </c:ext>
          </c:extLst>
        </c:ser>
        <c:dLbls>
          <c:showLegendKey val="0"/>
          <c:showVal val="0"/>
          <c:showCatName val="0"/>
          <c:showSerName val="0"/>
          <c:showPercent val="0"/>
          <c:showBubbleSize val="0"/>
        </c:dLbls>
        <c:marker val="1"/>
        <c:smooth val="0"/>
        <c:axId val="837664832"/>
        <c:axId val="837665664"/>
      </c:lineChart>
      <c:catAx>
        <c:axId val="837664832"/>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665664"/>
        <c:crosses val="autoZero"/>
        <c:auto val="1"/>
        <c:lblAlgn val="ctr"/>
        <c:lblOffset val="100"/>
        <c:noMultiLvlLbl val="1"/>
      </c:catAx>
      <c:valAx>
        <c:axId val="837665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Price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664832"/>
        <c:crosses val="autoZero"/>
        <c:crossBetween val="between"/>
      </c:valAx>
      <c:valAx>
        <c:axId val="849810496"/>
        <c:scaling>
          <c:orientation val="minMax"/>
        </c:scaling>
        <c:delete val="0"/>
        <c:axPos val="r"/>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Volume (000s)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821312"/>
        <c:crosses val="max"/>
        <c:crossBetween val="between"/>
      </c:valAx>
      <c:catAx>
        <c:axId val="849821312"/>
        <c:scaling>
          <c:orientation val="minMax"/>
        </c:scaling>
        <c:delete val="1"/>
        <c:axPos val="b"/>
        <c:numFmt formatCode="[$-409]mmm\-yy;@" sourceLinked="1"/>
        <c:majorTickMark val="out"/>
        <c:minorTickMark val="none"/>
        <c:tickLblPos val="nextTo"/>
        <c:crossAx val="84981049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Data_Input!$F$2</c:f>
              <c:strCache>
                <c:ptCount val="1"/>
                <c:pt idx="0">
                  <c:v>Revenue Growth</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numRef>
              <c:f>Data_Input!$E$3:$E$18</c:f>
              <c:numCache>
                <c:formatCode>General</c:formatCode>
                <c:ptCount val="16"/>
              </c:numCache>
            </c:numRef>
          </c:cat>
          <c:val>
            <c:numRef>
              <c:f>Data_Input!$F$3:$F$18</c:f>
              <c:numCache>
                <c:formatCode>0.0%;[Red]\-0.0%;\-\-</c:formatCode>
                <c:ptCount val="16"/>
              </c:numCache>
            </c:numRef>
          </c:val>
          <c:smooth val="0"/>
          <c:extLst>
            <c:ext xmlns:c16="http://schemas.microsoft.com/office/drawing/2014/chart" uri="{C3380CC4-5D6E-409C-BE32-E72D297353CC}">
              <c16:uniqueId val="{00000000-8C76-40FD-8B81-2D8FB748C616}"/>
            </c:ext>
          </c:extLst>
        </c:ser>
        <c:dLbls>
          <c:showLegendKey val="0"/>
          <c:showVal val="1"/>
          <c:showCatName val="0"/>
          <c:showSerName val="0"/>
          <c:showPercent val="0"/>
          <c:showBubbleSize val="0"/>
        </c:dLbls>
        <c:marker val="1"/>
        <c:smooth val="0"/>
        <c:axId val="850345168"/>
        <c:axId val="850347664"/>
      </c:lineChart>
      <c:catAx>
        <c:axId val="85034516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347664"/>
        <c:crosses val="autoZero"/>
        <c:auto val="1"/>
        <c:lblAlgn val="ctr"/>
        <c:lblOffset val="100"/>
        <c:noMultiLvlLbl val="0"/>
      </c:catAx>
      <c:valAx>
        <c:axId val="850347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Revenue</a:t>
                </a:r>
                <a:r>
                  <a:rPr lang="en-US" b="1" baseline="0"/>
                  <a:t> Growth %</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Red]\-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345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Data_Input!$I$2</c:f>
              <c:strCache>
                <c:ptCount val="1"/>
                <c:pt idx="0">
                  <c:v>P/E Ratio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Data_Input!$H$3:$H$20</c:f>
              <c:numCache>
                <c:formatCode>General</c:formatCode>
                <c:ptCount val="18"/>
              </c:numCache>
            </c:numRef>
          </c:cat>
          <c:val>
            <c:numRef>
              <c:f>Data_Input!$I$3:$I$20</c:f>
              <c:numCache>
                <c:formatCode>0.0\x;[Red]\-0.0\x;\-\-</c:formatCode>
                <c:ptCount val="18"/>
              </c:numCache>
            </c:numRef>
          </c:val>
          <c:smooth val="0"/>
          <c:extLst>
            <c:ext xmlns:c16="http://schemas.microsoft.com/office/drawing/2014/chart" uri="{C3380CC4-5D6E-409C-BE32-E72D297353CC}">
              <c16:uniqueId val="{00000000-6633-478B-931B-AE2961FE51F0}"/>
            </c:ext>
          </c:extLst>
        </c:ser>
        <c:dLbls>
          <c:showLegendKey val="0"/>
          <c:showVal val="0"/>
          <c:showCatName val="0"/>
          <c:showSerName val="0"/>
          <c:showPercent val="0"/>
          <c:showBubbleSize val="0"/>
        </c:dLbls>
        <c:marker val="1"/>
        <c:smooth val="0"/>
        <c:axId val="154544000"/>
        <c:axId val="154545248"/>
      </c:lineChart>
      <c:catAx>
        <c:axId val="15454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45248"/>
        <c:crosses val="autoZero"/>
        <c:auto val="1"/>
        <c:lblAlgn val="ctr"/>
        <c:lblOffset val="100"/>
        <c:noMultiLvlLbl val="0"/>
      </c:catAx>
      <c:valAx>
        <c:axId val="15454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P/E</a:t>
                </a:r>
                <a:r>
                  <a:rPr lang="en-US" b="1" baseline="0"/>
                  <a:t> Ratio </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x;[Red]\-0.0\x;\-\-"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44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Data_Input!$L$2</c:f>
              <c:strCache>
                <c:ptCount val="1"/>
                <c:pt idx="0">
                  <c:v>EPS Ratio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Data_Input!$K$3:$K$18</c:f>
              <c:numCache>
                <c:formatCode>General</c:formatCode>
                <c:ptCount val="16"/>
              </c:numCache>
            </c:numRef>
          </c:xVal>
          <c:yVal>
            <c:numRef>
              <c:f>Data_Input!$L$3:$L$18</c:f>
              <c:numCache>
                <c:formatCode>General</c:formatCode>
                <c:ptCount val="16"/>
              </c:numCache>
            </c:numRef>
          </c:yVal>
          <c:smooth val="0"/>
          <c:extLst>
            <c:ext xmlns:c16="http://schemas.microsoft.com/office/drawing/2014/chart" uri="{C3380CC4-5D6E-409C-BE32-E72D297353CC}">
              <c16:uniqueId val="{00000000-5EF9-4F44-9618-1F7384BBB1FA}"/>
            </c:ext>
          </c:extLst>
        </c:ser>
        <c:dLbls>
          <c:showLegendKey val="0"/>
          <c:showVal val="0"/>
          <c:showCatName val="0"/>
          <c:showSerName val="0"/>
          <c:showPercent val="0"/>
          <c:showBubbleSize val="0"/>
        </c:dLbls>
        <c:axId val="828478000"/>
        <c:axId val="850346000"/>
      </c:scatterChart>
      <c:valAx>
        <c:axId val="828478000"/>
        <c:scaling>
          <c:orientation val="minMax"/>
        </c:scaling>
        <c:delete val="0"/>
        <c:axPos val="b"/>
        <c:majorGridlines>
          <c:spPr>
            <a:ln w="9525" cap="flat" cmpd="sng" algn="ctr">
              <a:noFill/>
              <a:round/>
            </a:ln>
            <a:effectLst/>
          </c:spPr>
        </c:majorGridlines>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346000"/>
        <c:crosses val="autoZero"/>
        <c:crossBetween val="midCat"/>
      </c:valAx>
      <c:valAx>
        <c:axId val="850346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EPS</a:t>
                </a:r>
                <a:r>
                  <a:rPr lang="en-US" b="1" baseline="0"/>
                  <a:t> Ratio</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x;[Red]\-0.0\x;\-\-"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780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Data_Input!$O$2</c:f>
              <c:strCache>
                <c:ptCount val="1"/>
                <c:pt idx="0">
                  <c:v>D/E Ratio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Data_Input!$N$3:$N$18</c:f>
              <c:numCache>
                <c:formatCode>General</c:formatCode>
                <c:ptCount val="16"/>
              </c:numCache>
            </c:numRef>
          </c:cat>
          <c:val>
            <c:numRef>
              <c:f>Data_Input!$O$3:$O$18</c:f>
              <c:numCache>
                <c:formatCode>0.0\x;[Red]\-0.0\x;\-\-</c:formatCode>
                <c:ptCount val="16"/>
              </c:numCache>
            </c:numRef>
          </c:val>
          <c:smooth val="0"/>
          <c:extLst>
            <c:ext xmlns:c16="http://schemas.microsoft.com/office/drawing/2014/chart" uri="{C3380CC4-5D6E-409C-BE32-E72D297353CC}">
              <c16:uniqueId val="{00000000-A409-4013-AAEE-C44C9F355B20}"/>
            </c:ext>
          </c:extLst>
        </c:ser>
        <c:dLbls>
          <c:showLegendKey val="0"/>
          <c:showVal val="0"/>
          <c:showCatName val="0"/>
          <c:showSerName val="0"/>
          <c:showPercent val="0"/>
          <c:showBubbleSize val="0"/>
        </c:dLbls>
        <c:marker val="1"/>
        <c:smooth val="0"/>
        <c:axId val="828478000"/>
        <c:axId val="828478416"/>
      </c:lineChart>
      <c:catAx>
        <c:axId val="828478000"/>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78416"/>
        <c:crosses val="autoZero"/>
        <c:auto val="1"/>
        <c:lblAlgn val="ctr"/>
        <c:lblOffset val="100"/>
        <c:noMultiLvlLbl val="0"/>
      </c:catAx>
      <c:valAx>
        <c:axId val="828478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D/E</a:t>
                </a:r>
                <a:r>
                  <a:rPr lang="en-US" b="1" baseline="0"/>
                  <a:t>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x;[Red]\-0.0\x;\-\-"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78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Data_Input!$U$2</c:f>
              <c:strCache>
                <c:ptCount val="1"/>
                <c:pt idx="0">
                  <c:v>Current Ratio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Data_Input!$T$3:$T$18</c:f>
              <c:numCache>
                <c:formatCode>General</c:formatCode>
                <c:ptCount val="16"/>
              </c:numCache>
            </c:numRef>
          </c:cat>
          <c:val>
            <c:numRef>
              <c:f>Data_Input!$U$3:$U$18</c:f>
              <c:numCache>
                <c:formatCode>0.0\x;[Red]\-0.0\x;\-\-</c:formatCode>
                <c:ptCount val="16"/>
              </c:numCache>
            </c:numRef>
          </c:val>
          <c:smooth val="0"/>
          <c:extLst>
            <c:ext xmlns:c16="http://schemas.microsoft.com/office/drawing/2014/chart" uri="{C3380CC4-5D6E-409C-BE32-E72D297353CC}">
              <c16:uniqueId val="{00000000-6E9D-4CB2-A2DD-42157389A47C}"/>
            </c:ext>
          </c:extLst>
        </c:ser>
        <c:dLbls>
          <c:showLegendKey val="0"/>
          <c:showVal val="0"/>
          <c:showCatName val="0"/>
          <c:showSerName val="0"/>
          <c:showPercent val="0"/>
          <c:showBubbleSize val="0"/>
        </c:dLbls>
        <c:marker val="1"/>
        <c:smooth val="0"/>
        <c:axId val="864013392"/>
        <c:axId val="864015472"/>
      </c:lineChart>
      <c:catAx>
        <c:axId val="864013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015472"/>
        <c:crosses val="autoZero"/>
        <c:auto val="1"/>
        <c:lblAlgn val="ctr"/>
        <c:lblOffset val="100"/>
        <c:noMultiLvlLbl val="0"/>
      </c:catAx>
      <c:valAx>
        <c:axId val="864015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Current</a:t>
                </a:r>
                <a:r>
                  <a:rPr lang="en-US" b="1" baseline="0"/>
                  <a:t> Ratio</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x;[Red]\-0.0\x;\-\-"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013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Forecast in Billion Us dollars</a:t>
            </a:r>
          </a:p>
          <a:p>
            <a:pPr>
              <a:defRPr/>
            </a:pPr>
            <a:r>
              <a:rPr lang="en-US"/>
              <a:t>(2017-2026)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Data_Input!$X$2</c:f>
              <c:strCache>
                <c:ptCount val="1"/>
                <c:pt idx="0">
                  <c:v>$(B)</c:v>
                </c:pt>
              </c:strCache>
            </c:strRef>
          </c:tx>
          <c:spPr>
            <a:solidFill>
              <a:schemeClr val="accent1"/>
            </a:solidFill>
            <a:ln>
              <a:noFill/>
            </a:ln>
            <a:effectLst/>
          </c:spPr>
          <c:invertIfNegative val="0"/>
          <c:cat>
            <c:numRef>
              <c:f>Data_Input!$W$3:$W$12</c:f>
              <c:numCache>
                <c:formatCode>General</c:formatCode>
                <c:ptCount val="10"/>
              </c:numCache>
            </c:numRef>
          </c:cat>
          <c:val>
            <c:numRef>
              <c:f>Data_Input!$X$3:$X$12</c:f>
              <c:numCache>
                <c:formatCode>General</c:formatCode>
                <c:ptCount val="10"/>
              </c:numCache>
            </c:numRef>
          </c:val>
          <c:extLst>
            <c:ext xmlns:c16="http://schemas.microsoft.com/office/drawing/2014/chart" uri="{C3380CC4-5D6E-409C-BE32-E72D297353CC}">
              <c16:uniqueId val="{00000000-1359-4C2A-8569-4460B486042C}"/>
            </c:ext>
          </c:extLst>
        </c:ser>
        <c:dLbls>
          <c:showLegendKey val="0"/>
          <c:showVal val="0"/>
          <c:showCatName val="0"/>
          <c:showSerName val="0"/>
          <c:showPercent val="0"/>
          <c:showBubbleSize val="0"/>
        </c:dLbls>
        <c:gapWidth val="219"/>
        <c:overlap val="-27"/>
        <c:axId val="1015022576"/>
        <c:axId val="1015019248"/>
      </c:barChart>
      <c:catAx>
        <c:axId val="101502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019248"/>
        <c:crosses val="autoZero"/>
        <c:auto val="1"/>
        <c:lblAlgn val="ctr"/>
        <c:lblOffset val="100"/>
        <c:noMultiLvlLbl val="0"/>
      </c:catAx>
      <c:valAx>
        <c:axId val="1015019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022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Data_Input!$R$2</c:f>
              <c:strCache>
                <c:ptCount val="1"/>
                <c:pt idx="0">
                  <c:v>ROE Ratio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Data_Input!$Q$3:$Q$18</c:f>
              <c:numCache>
                <c:formatCode>General</c:formatCode>
                <c:ptCount val="16"/>
              </c:numCache>
            </c:numRef>
          </c:cat>
          <c:val>
            <c:numRef>
              <c:f>Data_Input!$R$3:$R$18</c:f>
              <c:numCache>
                <c:formatCode>0.0%;[Red]\-0.0%;\-\-</c:formatCode>
                <c:ptCount val="16"/>
              </c:numCache>
            </c:numRef>
          </c:val>
          <c:smooth val="0"/>
          <c:extLst>
            <c:ext xmlns:c16="http://schemas.microsoft.com/office/drawing/2014/chart" uri="{C3380CC4-5D6E-409C-BE32-E72D297353CC}">
              <c16:uniqueId val="{00000000-3F04-45B0-8D72-F13A4AAB4548}"/>
            </c:ext>
          </c:extLst>
        </c:ser>
        <c:dLbls>
          <c:showLegendKey val="0"/>
          <c:showVal val="0"/>
          <c:showCatName val="0"/>
          <c:showSerName val="0"/>
          <c:showPercent val="0"/>
          <c:showBubbleSize val="0"/>
        </c:dLbls>
        <c:marker val="1"/>
        <c:smooth val="0"/>
        <c:axId val="1349010464"/>
        <c:axId val="1349015040"/>
      </c:lineChart>
      <c:catAx>
        <c:axId val="134901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015040"/>
        <c:crosses val="autoZero"/>
        <c:auto val="1"/>
        <c:lblAlgn val="ctr"/>
        <c:lblOffset val="100"/>
        <c:noMultiLvlLbl val="0"/>
      </c:catAx>
      <c:valAx>
        <c:axId val="1349015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ROE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Red]\-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010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53340</xdr:colOff>
      <xdr:row>6</xdr:row>
      <xdr:rowOff>27622</xdr:rowOff>
    </xdr:from>
    <xdr:to>
      <xdr:col>11</xdr:col>
      <xdr:colOff>552450</xdr:colOff>
      <xdr:row>17</xdr:row>
      <xdr:rowOff>278130</xdr:rowOff>
    </xdr:to>
    <xdr:graphicFrame macro="">
      <xdr:nvGraphicFramePr>
        <xdr:cNvPr id="2" name="Chart 1">
          <a:extLst>
            <a:ext uri="{FF2B5EF4-FFF2-40B4-BE49-F238E27FC236}">
              <a16:creationId xmlns:a16="http://schemas.microsoft.com/office/drawing/2014/main" id="{CED9D5AF-9478-E660-E050-26F01CB13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16</xdr:row>
      <xdr:rowOff>0</xdr:rowOff>
    </xdr:to>
    <xdr:graphicFrame macro="">
      <xdr:nvGraphicFramePr>
        <xdr:cNvPr id="2" name="Chart 1">
          <a:extLst>
            <a:ext uri="{FF2B5EF4-FFF2-40B4-BE49-F238E27FC236}">
              <a16:creationId xmlns:a16="http://schemas.microsoft.com/office/drawing/2014/main" id="{DA06BE5A-7FF3-4DFF-B110-226D3E20A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0</xdr:row>
      <xdr:rowOff>0</xdr:rowOff>
    </xdr:from>
    <xdr:to>
      <xdr:col>16</xdr:col>
      <xdr:colOff>0</xdr:colOff>
      <xdr:row>16</xdr:row>
      <xdr:rowOff>0</xdr:rowOff>
    </xdr:to>
    <xdr:graphicFrame macro="">
      <xdr:nvGraphicFramePr>
        <xdr:cNvPr id="3" name="Chart 2">
          <a:extLst>
            <a:ext uri="{FF2B5EF4-FFF2-40B4-BE49-F238E27FC236}">
              <a16:creationId xmlns:a16="http://schemas.microsoft.com/office/drawing/2014/main" id="{3BE64062-BE15-4AF1-AFB3-F79F781565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16</xdr:row>
      <xdr:rowOff>0</xdr:rowOff>
    </xdr:from>
    <xdr:to>
      <xdr:col>8</xdr:col>
      <xdr:colOff>0</xdr:colOff>
      <xdr:row>31</xdr:row>
      <xdr:rowOff>1</xdr:rowOff>
    </xdr:to>
    <xdr:graphicFrame macro="">
      <xdr:nvGraphicFramePr>
        <xdr:cNvPr id="4" name="Chart 3">
          <a:extLst>
            <a:ext uri="{FF2B5EF4-FFF2-40B4-BE49-F238E27FC236}">
              <a16:creationId xmlns:a16="http://schemas.microsoft.com/office/drawing/2014/main" id="{AD72A284-9728-43F0-B53B-173B88386F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16</xdr:row>
      <xdr:rowOff>0</xdr:rowOff>
    </xdr:from>
    <xdr:to>
      <xdr:col>16</xdr:col>
      <xdr:colOff>0</xdr:colOff>
      <xdr:row>31</xdr:row>
      <xdr:rowOff>0</xdr:rowOff>
    </xdr:to>
    <xdr:graphicFrame macro="">
      <xdr:nvGraphicFramePr>
        <xdr:cNvPr id="5" name="Chart 4">
          <a:extLst>
            <a:ext uri="{FF2B5EF4-FFF2-40B4-BE49-F238E27FC236}">
              <a16:creationId xmlns:a16="http://schemas.microsoft.com/office/drawing/2014/main" id="{9ADFBF18-8212-4A6A-BADC-670E2C16E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31</xdr:row>
      <xdr:rowOff>0</xdr:rowOff>
    </xdr:from>
    <xdr:to>
      <xdr:col>8</xdr:col>
      <xdr:colOff>0</xdr:colOff>
      <xdr:row>47</xdr:row>
      <xdr:rowOff>0</xdr:rowOff>
    </xdr:to>
    <xdr:graphicFrame macro="">
      <xdr:nvGraphicFramePr>
        <xdr:cNvPr id="6" name="Chart 5">
          <a:extLst>
            <a:ext uri="{FF2B5EF4-FFF2-40B4-BE49-F238E27FC236}">
              <a16:creationId xmlns:a16="http://schemas.microsoft.com/office/drawing/2014/main" id="{60AE385F-3EF3-4AEC-9877-2C60CE9E1A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47</xdr:row>
      <xdr:rowOff>0</xdr:rowOff>
    </xdr:from>
    <xdr:to>
      <xdr:col>16</xdr:col>
      <xdr:colOff>0</xdr:colOff>
      <xdr:row>62</xdr:row>
      <xdr:rowOff>0</xdr:rowOff>
    </xdr:to>
    <xdr:graphicFrame macro="">
      <xdr:nvGraphicFramePr>
        <xdr:cNvPr id="8" name="Chart 7">
          <a:extLst>
            <a:ext uri="{FF2B5EF4-FFF2-40B4-BE49-F238E27FC236}">
              <a16:creationId xmlns:a16="http://schemas.microsoft.com/office/drawing/2014/main" id="{4EC9EF98-87D2-4F5F-8251-16D51E694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47</xdr:row>
      <xdr:rowOff>0</xdr:rowOff>
    </xdr:from>
    <xdr:to>
      <xdr:col>8</xdr:col>
      <xdr:colOff>0</xdr:colOff>
      <xdr:row>62</xdr:row>
      <xdr:rowOff>7620</xdr:rowOff>
    </xdr:to>
    <xdr:graphicFrame macro="">
      <xdr:nvGraphicFramePr>
        <xdr:cNvPr id="9" name="Chart 8">
          <a:extLst>
            <a:ext uri="{FF2B5EF4-FFF2-40B4-BE49-F238E27FC236}">
              <a16:creationId xmlns:a16="http://schemas.microsoft.com/office/drawing/2014/main" id="{9A250AB7-B42E-49BA-9C93-0130BF6CF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0</xdr:colOff>
      <xdr:row>31</xdr:row>
      <xdr:rowOff>0</xdr:rowOff>
    </xdr:from>
    <xdr:to>
      <xdr:col>16</xdr:col>
      <xdr:colOff>0</xdr:colOff>
      <xdr:row>47</xdr:row>
      <xdr:rowOff>0</xdr:rowOff>
    </xdr:to>
    <xdr:graphicFrame macro="">
      <xdr:nvGraphicFramePr>
        <xdr:cNvPr id="10" name="Chart 9">
          <a:extLst>
            <a:ext uri="{FF2B5EF4-FFF2-40B4-BE49-F238E27FC236}">
              <a16:creationId xmlns:a16="http://schemas.microsoft.com/office/drawing/2014/main" id="{4E78FD4B-71D5-4528-8C17-91E3A31872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icholas Douglas" id="{C94DAA81-B367-4C05-B510-FCF9EA669F97}" userId="Nicholas Douglas" providerId="None"/>
  <person displayName="Weiqiang Wu" id="{FC66EC3D-78F2-4D18-8F50-200986E59D4E}" userId="c13ba885e7ad0045" providerId="Windows Live"/>
  <person displayName="Nicholas Douglas" id="{43D95365-498A-406B-8B15-B1CC91B93845}" userId="S::douglas.n@northeastern.edu::e3f71815-d6a8-4aa0-b68c-38586fea8883"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153.21</v>
    <v>115.545</v>
    <v>0.76490000000000002</v>
    <v>0.51</v>
    <v>1.1969999999999999E-3</v>
    <v>3.604E-3</v>
    <v>0.17</v>
    <v>USD</v>
    <v>International Business Machines Corporation (IBM) is a provider of hybrid cloud and artificial intelligence (AI), and business services. It provides integrated solutions and products that use data, information technology in industries and business processes. Its segments include Software, Consulting, Infrastructure and Financing.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311300</v>
    <v>New York Stock Exchange</v>
    <v>XNYS</v>
    <v>XNYS</v>
    <v>1 New Orchard Rd, ARMONK, NY, 10504 US</v>
    <v>142.94</v>
    <v>3</v>
    <v>Software &amp; IT Services</v>
    <v>Stock</v>
    <v>45205.955985693749</v>
    <v>4</v>
    <v>140.11000000000001</v>
    <v>129390210586</v>
    <v>INTERNATIONAL BUSINESS MACHINES CORPORATION</v>
    <v>INTERNATIONAL BUSINESS MACHINES CORPORATION</v>
    <v>141.4</v>
    <v>69.002799999999993</v>
    <v>141.52000000000001</v>
    <v>142.03</v>
    <v>142.19999999999999</v>
    <v>911006200</v>
    <v>IBM</v>
    <v>INTERNATIONAL BUSINESS MACHINES CORPORATION (XNYS:IBM)</v>
    <v>3511162</v>
    <v>3964560</v>
    <v>1911</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 formatCode="0.00"/>
    </x:dxf>
    <x:dxf>
      <x:numFmt numFmtId="27" formatCode="m/d/yyyy\ h:mm"/>
    </x:dxf>
    <x:dxf>
      <x:numFmt numFmtId="1" formatCode="0"/>
    </x:dxf>
  </dxfs>
  <richProperties>
    <rPr n="NumberFormat" t="s"/>
    <rPr n="IsTitleField" t="b"/>
    <rPr n="IsHeroField" t="b"/>
  </richProperties>
  <richStyles>
    <rSty dxfid="0">
      <rpv i="0">_([$$-en-US]* #,##0.00_);_([$$-en-US]* (#,##0.00);_([$$-en-US]* "-"??_);_(@_)</rpv>
    </rSty>
    <rSty dxfid="1">
      <rpv i="0">#,##0.00</rpv>
    </rSty>
    <rSty>
      <rpv i="1">1</rpv>
    </rSty>
    <rSty>
      <rpv i="2">1</rpv>
    </rSty>
    <rSty dxfid="2">
      <rpv i="0">#,##0</rpv>
    </rSty>
    <rSty dxfid="3"/>
    <rSty dxfid="0">
      <rpv i="0">_([$$-en-US]* #,##0_);_([$$-en-US]* (#,##0);_([$$-en-US]* "-"_);_(@_)</rpv>
    </rSty>
    <rSty dxfid="5"/>
    <rSty dxfid="6">
      <rpv i="0">0</rpv>
    </rSty>
    <rSty dxfid="4">
      <rpv i="0">0.00</rpv>
    </rSty>
  </richStyles>
</richStyleSheet>
</file>

<file path=xl/theme/theme1.xml><?xml version="1.0" encoding="utf-8"?>
<a:theme xmlns:a="http://schemas.openxmlformats.org/drawingml/2006/main" name="Office Theme">
  <a:themeElements>
    <a:clrScheme name="Northeastern">
      <a:dk1>
        <a:sysClr val="windowText" lastClr="000000"/>
      </a:dk1>
      <a:lt1>
        <a:sysClr val="window" lastClr="FFFFFF"/>
      </a:lt1>
      <a:dk2>
        <a:srgbClr val="D41B2C"/>
      </a:dk2>
      <a:lt2>
        <a:srgbClr val="E5D4AB"/>
      </a:lt2>
      <a:accent1>
        <a:srgbClr val="99A3B0"/>
      </a:accent1>
      <a:accent2>
        <a:srgbClr val="CFC7BF"/>
      </a:accent2>
      <a:accent3>
        <a:srgbClr val="A5A5A5"/>
      </a:accent3>
      <a:accent4>
        <a:srgbClr val="A19994"/>
      </a:accent4>
      <a:accent5>
        <a:srgbClr val="385775"/>
      </a:accent5>
      <a:accent6>
        <a:srgbClr val="006EB5"/>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3" dT="2023-02-24T15:08:25.71" personId="{43D95365-498A-406B-8B15-B1CC91B93845}" id="{7FAE66BA-6DB7-4ECD-8697-67FEA1C66A05}">
    <text>Use WACC function on Bloomberg. Expand details on cost of debt and use the "debt adjustment factor".</text>
  </threadedComment>
  <threadedComment ref="B14" dT="2023-02-24T15:08:39.19" personId="{43D95365-498A-406B-8B15-B1CC91B93845}" id="{15B8CD1C-1384-4DEC-BF82-9A81D31E3F1E}">
    <text>Based on assumption from company fillings &amp; historical average.
Bloomberg's WACC function can also give insight on the approximate value.</text>
  </threadedComment>
  <threadedComment ref="B19" dT="2023-02-01T21:56:23.59" personId="{C94DAA81-B367-4C05-B510-FCF9EA669F97}" id="{316ADEF6-917B-40F7-9D79-EA5550114E09}">
    <text>Note: This is an extra risk premium on top of the US Equity Risk Premium.
In most cases, this will be 0% (since we invest in US Equities). If a US company has significant international sales, we may consider adding in an additional risk premium here.</text>
  </threadedComment>
  <threadedComment ref="B20" dT="2023-02-01T21:56:57.89" personId="{C94DAA81-B367-4C05-B510-FCF9EA669F97}" id="{9C2A2920-93A4-4062-AF7C-FCCB88F09983}">
    <text>Additional risk premium for smaller companies.</text>
  </threadedComment>
  <threadedComment ref="B21" dT="2023-02-01T21:58:11.15" personId="{C94DAA81-B367-4C05-B510-FCF9EA669F97}" id="{D5373565-6335-450B-8BDA-6DD0C3779410}">
    <text>Regression (levered) beta vs. the Russell 3000 Index.
We use the Russell 3K as the base, since this is our portfolio's benchmark.</text>
  </threadedComment>
  <threadedComment ref="B25" dT="2023-02-24T15:08:04.33" personId="{43D95365-498A-406B-8B15-B1CC91B93845}" id="{EB1327CE-AD20-47FC-B9DB-2B74E2E4052B}">
    <text>Must be entered in the same units as the underlying financial data (i.e. all in Thousands, Millions, etc.)</text>
  </threadedComment>
</ThreadedComments>
</file>

<file path=xl/threadedComments/threadedComment2.xml><?xml version="1.0" encoding="utf-8"?>
<ThreadedComments xmlns="http://schemas.microsoft.com/office/spreadsheetml/2018/threadedcomments" xmlns:x="http://schemas.openxmlformats.org/spreadsheetml/2006/main">
  <threadedComment ref="D6" dT="2023-02-22T20:54:24.72" personId="{43D95365-498A-406B-8B15-B1CC91B93845}" id="{87B44FF1-835F-48CD-B211-BFDC197E6CB1}">
    <text>Analyst may need to add or delete rows to reflect company-specific financial statements. As along as summation rows are not adjusted, the template will work.</text>
  </threadedComment>
  <threadedComment ref="E6" dT="2023-02-24T15:10:39.16" personId="{43D95365-498A-406B-8B15-B1CC91B93845}" id="{11394B89-6184-493B-A994-925B563D6BE7}">
    <text>NEVER DELETE THIS COLUMN
(It is structural for workbook automation).</text>
  </threadedComment>
  <threadedComment ref="F6" dT="2023-02-23T20:41:17.59" personId="{43D95365-498A-406B-8B15-B1CC91B93845}" id="{5CFCEE4F-7429-41A3-83E2-0C18054E8187}">
    <text>First Historical Date</text>
  </threadedComment>
  <threadedComment ref="J6" dT="2023-02-23T20:41:04.97" personId="{43D95365-498A-406B-8B15-B1CC91B93845}" id="{73144D85-BE6C-4684-81DC-CA61DF1261D0}">
    <text>Should be first projection date.
Insert additional historical columns before this one.</text>
  </threadedComment>
  <threadedComment ref="O6" dT="2023-02-24T15:10:32.24" personId="{43D95365-498A-406B-8B15-B1CC91B93845}" id="{01147EA1-6C3A-476A-9986-B69F7B6D379B}">
    <text>NEVER DELETE THIS COLUMN
(It is structural for workbook automation).</text>
  </threadedComment>
  <threadedComment ref="H13" dT="2023-10-03T19:48:36.08" personId="{FC66EC3D-78F2-4D18-8F50-200986E59D4E}" id="{4A6553F2-5086-4DD7-B9E5-218F91B1F601}">
    <text xml:space="preserve">Separation of Kyndryl </text>
  </threadedComment>
  <threadedComment ref="I36" dT="2023-09-29T21:10:00.27" personId="{FC66EC3D-78F2-4D18-8F50-200986E59D4E}" id="{D47EC5C1-C4D1-4E61-BF67-7040F903E5AE}">
    <text>retirement-related costs 5,266 million</text>
  </threadedComment>
  <threadedComment ref="D49" dT="2023-02-24T00:44:52.20" personId="{43D95365-498A-406B-8B15-B1CC91B93845}" id="{778F1D4F-5238-4D63-B6FB-A65BB1B812C6}">
    <text>Historicals: Pull from Balance Sheet
Projections: Calculate and link back to Balance Sheet.</text>
  </threadedComment>
  <threadedComment ref="B51" dT="2022-11-10T20:40:11.04" personId="{C94DAA81-B367-4C05-B510-FCF9EA669F97}" id="{23539609-81A9-46E2-9142-AA485C480600}">
    <text>ST = Short Term
LT = Long Term
NO = "Non-Operating"
FC = "Financial Claims"</text>
  </threadedComment>
  <threadedComment ref="D51" dT="2023-02-22T20:36:41.53" personId="{43D95365-498A-406B-8B15-B1CC91B93845}" id="{A095366A-69C9-48CE-92F2-10E9A24067B5}">
    <text>Recommendation:
Enter historicals here, and link historical schedules (below) back to here. Then, use schedules to project future balances, and link projections back to the balance sheet.
Working Capital and other operating items should be projected line by line (via the "Supplementary Schedules" section below), and linked back to this balance sheet.
Non-operating items or items that cannot be reasonably predicted should be entered here directly. OK to hold at value, but any change in value must be reconciled in Owner's Equity or the Statement of Cash Flows!</text>
  </threadedComment>
  <threadedComment ref="D103" dT="2022-11-10T20:46:21.44" personId="{C94DAA81-B367-4C05-B510-FCF9EA669F97}" id="{FAE78D81-EF7C-4D3C-AA6A-80EAD8F622E8}">
    <text>Increase = Use of Cash</text>
  </threadedComment>
  <threadedComment ref="D105" dT="2023-02-22T20:40:17.19" personId="{43D95365-498A-406B-8B15-B1CC91B93845}" id="{AABFFF60-289F-4A8D-9FD0-5FE5967A174B}">
    <text>Does not need to be reproduced historically.</text>
  </threadedComment>
  <threadedComment ref="D133" dT="2023-02-23T20:43:52.90" personId="{43D95365-498A-406B-8B15-B1CC91B93845}" id="{2487323F-B302-42FB-8A9F-665EBA57D50C}">
    <text>Can add or remove new sections as needed, but remember to link to the Balance Sheet and Statement of Cash Flows.</text>
  </threadedComment>
  <threadedComment ref="D140" dT="2023-02-24T00:47:11.52" personId="{43D95365-498A-406B-8B15-B1CC91B93845}" id="{C6693425-A34B-45DF-BA50-F97E57E8C13A}">
    <text>= Average Balance / Sales * 365
Calculate based off of historical values, and then use this to project future periods (by inverting the formula).</text>
  </threadedComment>
  <threadedComment ref="D146" dT="2023-02-24T00:48:05.12" personId="{43D95365-498A-406B-8B15-B1CC91B93845}" id="{0FC46834-0EE0-4E6B-9AF8-BF553D880585}">
    <text>= Average Balance / ABS(COGS) * 365
Calculate based off of historical values, and then use this to project future periods (by inverting the formula).</text>
  </threadedComment>
  <threadedComment ref="D152" dT="2023-02-24T00:48:24.53" personId="{43D95365-498A-406B-8B15-B1CC91B93845}" id="{511F60FC-6802-4CB3-9AD6-216549A00F42}">
    <text>= Average Balance / Sales
Calculate based off of historical values, and then use this to project future periods (by inverting the formula).</text>
  </threadedComment>
  <threadedComment ref="D158" dT="2023-02-24T00:48:34.40" personId="{43D95365-498A-406B-8B15-B1CC91B93845}" id="{E5E1F79C-3076-46C1-A83E-029D69AA99A5}">
    <text>= Average Balance / Sales
Calculate based off of historical values, and then use this to project future periods (by inverting the formula).</text>
  </threadedComment>
  <threadedComment ref="D164" dT="2023-02-24T00:48:54.07" personId="{43D95365-498A-406B-8B15-B1CC91B93845}" id="{011630FE-28A9-4AC4-AE83-859471B1DCC9}">
    <text>= Average Balance / ABS(COGS) * 365
Calculate based off of historical values, and then use this to project future periods (by inverting the formula).</text>
  </threadedComment>
  <threadedComment ref="D170" dT="2023-02-24T00:49:27.24" personId="{43D95365-498A-406B-8B15-B1CC91B93845}" id="{59121CB9-C33E-4C62-909C-438DB382DF5E}">
    <text>= Average Balance / ABS(COGS) * 365
Calculate based off of historical values, and then use this to project future periods (by inverting the formula).</text>
  </threadedComment>
  <threadedComment ref="D176" dT="2023-02-24T00:49:34.76" personId="{43D95365-498A-406B-8B15-B1CC91B93845}" id="{515052DB-371D-45A2-AB28-41AA8739BE13}">
    <text>= Average Balance / ABS(COGS) * 365
Calculate based off of historical values, and then use this to project future periods (by inverting the formula).</text>
  </threadedComment>
  <threadedComment ref="D179" dT="2023-02-24T00:57:12.40" personId="{43D95365-498A-406B-8B15-B1CC91B93845}" id="{4E6C9C25-D677-4E89-A424-96BDC8DAE370}">
    <text>General Check: For mature businesses, Capex and depreciation should be reasonably close.
For Growth businesses, Capex likely to be higher.</text>
  </threadedComment>
  <threadedComment ref="D212" dT="2023-02-24T14:52:39.69" personId="{43D95365-498A-406B-8B15-B1CC91B93845}" id="{B7548520-791C-48B4-AB78-06BE34B545A1}">
    <text>Note: Inverse of Gross Margin. Sensitivity has to be set up this way in order to match the model.</text>
  </threadedComment>
</ThreadedComments>
</file>

<file path=xl/threadedComments/threadedComment3.xml><?xml version="1.0" encoding="utf-8"?>
<ThreadedComments xmlns="http://schemas.microsoft.com/office/spreadsheetml/2018/threadedcomments" xmlns:x="http://schemas.openxmlformats.org/spreadsheetml/2006/main">
  <threadedComment ref="L27" dT="2023-01-07T23:42:42.80" personId="{C94DAA81-B367-4C05-B510-FCF9EA669F97}" id="{ABFD7733-55D4-42D2-B0E0-55D0AEA37538}">
    <text>Use to test impact of different WACC rates.</text>
  </threadedComment>
</ThreadedComments>
</file>

<file path=xl/worksheets/_rels/sheet3.xml.rels><?xml version="1.0" encoding="UTF-8" standalone="yes"?>
<Relationships xmlns="http://schemas.openxmlformats.org/package/2006/relationships"><Relationship Id="rId3" Type="http://schemas.openxmlformats.org/officeDocument/2006/relationships/hyperlink" Target="https://www.forensiceconomics.com/wp-content/uploads/2013/09/Effect-of-Liquidity-on-Size-Premium.pdf" TargetMode="External"/><Relationship Id="rId7" Type="http://schemas.microsoft.com/office/2017/10/relationships/threadedComment" Target="../threadedComments/threadedComment1.xml"/><Relationship Id="rId2" Type="http://schemas.openxmlformats.org/officeDocument/2006/relationships/hyperlink" Target="http://pages.stern.nyu.edu/~adamodar/New_Home_Page/datafile/Betas.html" TargetMode="External"/><Relationship Id="rId1" Type="http://schemas.openxmlformats.org/officeDocument/2006/relationships/hyperlink" Target="http://pages.stern.nyu.edu/~adamodar/New_Home_Page/datafile/ctryprem.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pages.stern.nyu.edu/~adamodar/New_Home_Page/datafile/ctryprem.html"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507B1-1BCD-4CEE-A385-E9AB2812D1E0}">
  <sheetPr>
    <tabColor theme="1"/>
  </sheetPr>
  <dimension ref="A1:G20"/>
  <sheetViews>
    <sheetView showGridLines="0" workbookViewId="0">
      <selection activeCell="C12" sqref="C12"/>
    </sheetView>
  </sheetViews>
  <sheetFormatPr defaultRowHeight="15"/>
  <sheetData>
    <row r="1" spans="1:4" ht="18.75">
      <c r="A1" s="444" t="s">
        <v>268</v>
      </c>
    </row>
    <row r="2" spans="1:4" ht="6" customHeight="1"/>
    <row r="3" spans="1:4">
      <c r="A3" s="462" t="s">
        <v>269</v>
      </c>
      <c r="B3" s="462" t="s">
        <v>270</v>
      </c>
    </row>
    <row r="4" spans="1:4">
      <c r="A4" s="462" t="s">
        <v>271</v>
      </c>
      <c r="B4" s="462" t="s">
        <v>277</v>
      </c>
    </row>
    <row r="5" spans="1:4">
      <c r="B5" s="457" t="s">
        <v>272</v>
      </c>
    </row>
    <row r="6" spans="1:4">
      <c r="B6" s="458" t="s">
        <v>273</v>
      </c>
    </row>
    <row r="7" spans="1:4">
      <c r="B7" s="459" t="s">
        <v>275</v>
      </c>
    </row>
    <row r="8" spans="1:4">
      <c r="B8" s="460" t="s">
        <v>274</v>
      </c>
    </row>
    <row r="9" spans="1:4">
      <c r="B9" s="461" t="s">
        <v>276</v>
      </c>
      <c r="C9" s="445"/>
      <c r="D9" s="445"/>
    </row>
    <row r="18" spans="1:7">
      <c r="A18" s="450" t="s">
        <v>278</v>
      </c>
      <c r="B18" s="451"/>
      <c r="C18" s="451"/>
      <c r="D18" s="451"/>
      <c r="E18" s="451"/>
      <c r="F18" s="451"/>
      <c r="G18" s="451"/>
    </row>
    <row r="19" spans="1:7">
      <c r="A19" s="452" t="s">
        <v>279</v>
      </c>
    </row>
    <row r="20" spans="1:7">
      <c r="A20" s="453" t="s">
        <v>280</v>
      </c>
      <c r="B20" s="454"/>
      <c r="C20" s="454"/>
      <c r="D20" s="454"/>
      <c r="E20" s="454"/>
      <c r="F20" s="454"/>
      <c r="G20" s="45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149AF-41FF-470D-8E65-9BB5B7D9B6CE}">
  <dimension ref="A1"/>
  <sheetViews>
    <sheetView workbookViewId="0"/>
  </sheetViews>
  <sheetFormatPr defaultRowHeight="15"/>
  <sheetData>
    <row r="1" spans="1:1">
      <c r="A1"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7B5F-297A-4CE8-A6A5-86128020376A}">
  <sheetPr>
    <tabColor rgb="FFFFFFCC"/>
  </sheetPr>
  <dimension ref="A1:F39"/>
  <sheetViews>
    <sheetView showGridLines="0" zoomScale="145" zoomScaleNormal="145" workbookViewId="0">
      <selection activeCell="B14" sqref="B14"/>
    </sheetView>
  </sheetViews>
  <sheetFormatPr defaultColWidth="9.140625" defaultRowHeight="12.75"/>
  <cols>
    <col min="1" max="1" width="26.7109375" style="313" bestFit="1" customWidth="1"/>
    <col min="2" max="2" width="19.7109375" style="313" bestFit="1" customWidth="1"/>
    <col min="3" max="3" width="16" style="313" bestFit="1" customWidth="1"/>
    <col min="4" max="4" width="12" style="313" bestFit="1" customWidth="1"/>
    <col min="5" max="8" width="9.140625" style="313"/>
    <col min="9" max="9" width="9.5703125" style="313" bestFit="1" customWidth="1"/>
    <col min="10" max="16384" width="9.140625" style="313"/>
  </cols>
  <sheetData>
    <row r="1" spans="1:6">
      <c r="A1" s="372" t="s">
        <v>246</v>
      </c>
      <c r="B1" s="373"/>
      <c r="C1" s="373"/>
      <c r="D1" s="373"/>
      <c r="E1" s="373"/>
      <c r="F1" s="373"/>
    </row>
    <row r="2" spans="1:6">
      <c r="A2" s="431" t="s">
        <v>242</v>
      </c>
      <c r="B2" s="430" t="s">
        <v>294</v>
      </c>
      <c r="C2" s="399"/>
      <c r="D2" s="399"/>
      <c r="E2" s="399"/>
      <c r="F2" s="399"/>
    </row>
    <row r="3" spans="1:6">
      <c r="A3" s="431" t="s">
        <v>253</v>
      </c>
      <c r="B3" s="429" t="e" vm="1">
        <v>#VALUE!</v>
      </c>
      <c r="C3" s="400"/>
      <c r="D3" s="399"/>
      <c r="E3" s="399"/>
      <c r="F3" s="399"/>
    </row>
    <row r="4" spans="1:6">
      <c r="A4" s="431" t="s">
        <v>239</v>
      </c>
      <c r="B4" s="374" cm="1">
        <f t="array" ref="B4">_FV(B3,"Price")</f>
        <v>142.03</v>
      </c>
      <c r="C4" s="399"/>
      <c r="D4" s="399"/>
      <c r="E4" s="399"/>
      <c r="F4" s="399"/>
    </row>
    <row r="5" spans="1:6">
      <c r="A5" s="431" t="s">
        <v>233</v>
      </c>
      <c r="B5" s="375" t="s">
        <v>234</v>
      </c>
      <c r="C5" s="399"/>
      <c r="D5" s="399"/>
      <c r="E5" s="399"/>
      <c r="F5" s="399"/>
    </row>
    <row r="6" spans="1:6">
      <c r="A6" s="431" t="s">
        <v>240</v>
      </c>
      <c r="B6" s="376" t="s">
        <v>295</v>
      </c>
      <c r="C6" s="432">
        <f>IF(B6="",1,IF(B6="Thousands",(10^3),IF(B6="Millions",(10^6),IF(B6="Billions",(10^9)))))</f>
        <v>1000000</v>
      </c>
      <c r="D6" s="432" t="str">
        <f>IF(B6="","Actual",IF(B6="Thousands","K",IF(B6="Millions","M",IF(B6="Billions","B"))))</f>
        <v>M</v>
      </c>
      <c r="E6" s="401" t="s">
        <v>235</v>
      </c>
      <c r="F6" s="399"/>
    </row>
    <row r="7" spans="1:6">
      <c r="A7" s="431" t="s">
        <v>241</v>
      </c>
      <c r="B7" s="377">
        <v>43830</v>
      </c>
      <c r="C7" s="399"/>
      <c r="D7" s="399"/>
      <c r="E7" s="399"/>
      <c r="F7" s="399"/>
    </row>
    <row r="8" spans="1:6" ht="21.6" customHeight="1">
      <c r="A8" s="314"/>
      <c r="B8" s="319"/>
    </row>
    <row r="9" spans="1:6">
      <c r="A9" s="378" t="s">
        <v>247</v>
      </c>
      <c r="B9" s="379"/>
      <c r="C9" s="379"/>
      <c r="D9" s="379"/>
      <c r="E9" s="379"/>
      <c r="F9" s="379"/>
    </row>
    <row r="10" spans="1:6" ht="6" customHeight="1">
      <c r="A10" s="314"/>
      <c r="B10" s="319"/>
    </row>
    <row r="11" spans="1:6">
      <c r="A11" s="388" t="s">
        <v>124</v>
      </c>
      <c r="B11" s="389"/>
      <c r="C11" s="389"/>
      <c r="D11" s="389"/>
      <c r="E11" s="389"/>
      <c r="F11" s="389"/>
    </row>
    <row r="12" spans="1:6">
      <c r="A12" s="390" t="s">
        <v>243</v>
      </c>
      <c r="B12" s="381">
        <v>4.7E-2</v>
      </c>
      <c r="C12" s="382"/>
      <c r="D12" s="382"/>
      <c r="E12" s="382"/>
      <c r="F12" s="382"/>
    </row>
    <row r="13" spans="1:6">
      <c r="A13" s="390" t="s">
        <v>158</v>
      </c>
      <c r="B13" s="391">
        <v>1.33</v>
      </c>
      <c r="C13" s="382"/>
      <c r="D13" s="382"/>
      <c r="E13" s="382"/>
      <c r="F13" s="382"/>
    </row>
    <row r="14" spans="1:6">
      <c r="A14" s="390" t="s">
        <v>159</v>
      </c>
      <c r="B14" s="392">
        <v>0.21</v>
      </c>
      <c r="C14" s="382"/>
      <c r="D14" s="382"/>
      <c r="E14" s="382"/>
      <c r="F14" s="382"/>
    </row>
    <row r="15" spans="1:6">
      <c r="A15" s="393" t="s">
        <v>161</v>
      </c>
      <c r="B15" s="394">
        <f>(Risk_Free_Rate*Debt_Adj_Factor)*(1-Tax_Rate)</f>
        <v>4.9382900000000007E-2</v>
      </c>
      <c r="C15" s="395"/>
      <c r="D15" s="395"/>
      <c r="E15" s="395"/>
      <c r="F15" s="395"/>
    </row>
    <row r="16" spans="1:6">
      <c r="A16" s="320"/>
    </row>
    <row r="17" spans="1:6">
      <c r="A17" s="396" t="s">
        <v>244</v>
      </c>
      <c r="B17" s="397"/>
      <c r="C17" s="398"/>
      <c r="D17" s="398"/>
      <c r="E17" s="398"/>
      <c r="F17" s="398"/>
    </row>
    <row r="18" spans="1:6">
      <c r="A18" s="380" t="s">
        <v>118</v>
      </c>
      <c r="B18" s="381">
        <v>4.3700000000000003E-2</v>
      </c>
      <c r="C18" s="382"/>
      <c r="D18" s="383" t="s">
        <v>119</v>
      </c>
      <c r="E18" s="382"/>
      <c r="F18" s="382"/>
    </row>
    <row r="19" spans="1:6">
      <c r="A19" s="384" t="s">
        <v>120</v>
      </c>
      <c r="B19" s="381">
        <v>0.02</v>
      </c>
      <c r="C19" s="382"/>
      <c r="D19" s="385" t="s">
        <v>120</v>
      </c>
      <c r="E19" s="382"/>
      <c r="F19" s="382"/>
    </row>
    <row r="20" spans="1:6">
      <c r="A20" s="384" t="s">
        <v>121</v>
      </c>
      <c r="B20" s="381"/>
      <c r="C20" s="382"/>
      <c r="D20" s="386" t="s">
        <v>121</v>
      </c>
      <c r="E20" s="382"/>
      <c r="F20" s="382"/>
    </row>
    <row r="21" spans="1:6">
      <c r="A21" s="384" t="s">
        <v>157</v>
      </c>
      <c r="B21" s="387">
        <v>0.8</v>
      </c>
      <c r="C21" s="382"/>
      <c r="D21" s="386" t="s">
        <v>195</v>
      </c>
      <c r="E21" s="382"/>
      <c r="F21" s="382"/>
    </row>
    <row r="22" spans="1:6">
      <c r="A22" s="402" t="s">
        <v>160</v>
      </c>
      <c r="B22" s="394">
        <f>(Equity_Beta*(Equity_Risk_Premium+Country_RP))+Risk_Free_Rate+Size_RP</f>
        <v>9.7960000000000005E-2</v>
      </c>
      <c r="C22" s="403"/>
      <c r="D22" s="403"/>
      <c r="E22" s="403"/>
      <c r="F22" s="403"/>
    </row>
    <row r="23" spans="1:6">
      <c r="A23" s="320"/>
    </row>
    <row r="24" spans="1:6">
      <c r="A24" s="396" t="s">
        <v>245</v>
      </c>
      <c r="B24" s="397"/>
      <c r="C24" s="397"/>
      <c r="D24" s="397"/>
      <c r="E24" s="397"/>
      <c r="F24" s="397"/>
    </row>
    <row r="25" spans="1:6">
      <c r="A25" s="404" t="str">
        <f>"Equity Shares Outstanding ("&amp;Scale_Symbol&amp;")"</f>
        <v>Equity Shares Outstanding (M)</v>
      </c>
      <c r="B25" s="405">
        <v>911.01</v>
      </c>
      <c r="C25" s="406"/>
      <c r="D25" s="406"/>
      <c r="E25" s="406"/>
      <c r="F25" s="406"/>
    </row>
    <row r="26" spans="1:6">
      <c r="A26" s="407" t="str">
        <f>"Company Capitalization ($"&amp;Scale_Symbol&amp;")"</f>
        <v>Company Capitalization ($M)</v>
      </c>
      <c r="B26" s="408"/>
      <c r="C26" s="406"/>
      <c r="D26" s="406"/>
      <c r="E26" s="406"/>
      <c r="F26" s="406"/>
    </row>
    <row r="27" spans="1:6">
      <c r="A27" s="409" t="s">
        <v>162</v>
      </c>
      <c r="B27" s="410">
        <f>Current_Price*Shares_Out</f>
        <v>129390.7503</v>
      </c>
      <c r="C27" s="411">
        <f>Equity_MV/Total_Capitalization</f>
        <v>0.68209979504108598</v>
      </c>
      <c r="D27" s="406"/>
      <c r="E27" s="406"/>
      <c r="F27" s="406"/>
    </row>
    <row r="28" spans="1:6">
      <c r="A28" s="409" t="s">
        <v>163</v>
      </c>
      <c r="B28" s="412">
        <v>60304</v>
      </c>
      <c r="C28" s="411">
        <f>Debt_MV/Total_Capitalization</f>
        <v>0.31790020495891391</v>
      </c>
      <c r="D28" s="406"/>
      <c r="E28" s="406"/>
      <c r="F28" s="406"/>
    </row>
    <row r="29" spans="1:6">
      <c r="A29" s="404" t="s">
        <v>123</v>
      </c>
      <c r="B29" s="413">
        <f>B27+B28</f>
        <v>189694.75030000001</v>
      </c>
      <c r="C29" s="414">
        <f>C27+C28</f>
        <v>0.99999999999999989</v>
      </c>
      <c r="D29" s="406"/>
      <c r="E29" s="406"/>
      <c r="F29" s="406"/>
    </row>
    <row r="30" spans="1:6">
      <c r="A30" s="415" t="s">
        <v>125</v>
      </c>
      <c r="B30" s="416"/>
      <c r="C30" s="416">
        <f>(C27*Cost_of_Equity)+(C28*Cost_of_Debt)</f>
        <v>8.2517329953690335E-2</v>
      </c>
      <c r="D30" s="416"/>
      <c r="E30" s="416"/>
      <c r="F30" s="416"/>
    </row>
    <row r="31" spans="1:6" ht="21.6" customHeight="1">
      <c r="A31" s="314"/>
      <c r="B31" s="319"/>
    </row>
    <row r="32" spans="1:6">
      <c r="A32" s="418" t="s">
        <v>236</v>
      </c>
      <c r="B32" s="419" t="s">
        <v>237</v>
      </c>
      <c r="C32" s="419" t="s">
        <v>238</v>
      </c>
      <c r="D32" s="419" t="s">
        <v>249</v>
      </c>
      <c r="E32" s="419"/>
      <c r="F32" s="419"/>
    </row>
    <row r="33" spans="1:6">
      <c r="A33" s="420" t="s">
        <v>140</v>
      </c>
      <c r="B33" s="421">
        <v>0.02</v>
      </c>
      <c r="C33" s="422">
        <f>$B$33+C34</f>
        <v>1.4999999999999999E-2</v>
      </c>
      <c r="D33" s="422">
        <f>$B$33+D34</f>
        <v>2.5000000000000001E-2</v>
      </c>
      <c r="E33" s="406"/>
      <c r="F33" s="406"/>
    </row>
    <row r="34" spans="1:6">
      <c r="A34" s="423" t="s">
        <v>251</v>
      </c>
      <c r="B34" s="424"/>
      <c r="C34" s="425">
        <v>-5.0000000000000001E-3</v>
      </c>
      <c r="D34" s="425">
        <v>5.0000000000000001E-3</v>
      </c>
      <c r="E34" s="406"/>
      <c r="F34" s="406"/>
    </row>
    <row r="35" spans="1:6">
      <c r="A35" s="420" t="s">
        <v>250</v>
      </c>
      <c r="B35" s="422">
        <f>WACC</f>
        <v>8.2517329953690335E-2</v>
      </c>
      <c r="C35" s="422">
        <f>$B$35+C36</f>
        <v>7.251732995369034E-2</v>
      </c>
      <c r="D35" s="422">
        <f>$B$35+D36</f>
        <v>9.251732995369033E-2</v>
      </c>
      <c r="E35" s="406"/>
      <c r="F35" s="406"/>
    </row>
    <row r="36" spans="1:6">
      <c r="A36" s="428" t="s">
        <v>252</v>
      </c>
      <c r="B36" s="426"/>
      <c r="C36" s="427">
        <v>-0.01</v>
      </c>
      <c r="D36" s="427">
        <v>0.01</v>
      </c>
      <c r="E36" s="417"/>
      <c r="F36" s="417"/>
    </row>
    <row r="38" spans="1:6">
      <c r="A38" s="315"/>
    </row>
    <row r="39" spans="1:6">
      <c r="A39" s="314"/>
      <c r="B39" s="316"/>
    </row>
  </sheetData>
  <dataValidations count="1">
    <dataValidation type="list" allowBlank="1" showInputMessage="1" showErrorMessage="1" sqref="B6" xr:uid="{36535B2F-A853-4038-921A-D651B95DA36B}">
      <formula1>"Thousands, Millions, Billions"</formula1>
    </dataValidation>
  </dataValidations>
  <hyperlinks>
    <hyperlink ref="D18" r:id="rId1" display="Risk Premium" xr:uid="{FA8FBDDA-6AA4-4A56-8516-3AD3FD19FD66}"/>
    <hyperlink ref="D21" r:id="rId2" display="LINK" xr:uid="{65C9ED4B-1E8F-409C-8AA1-F07AD9940464}"/>
    <hyperlink ref="D20" r:id="rId3" xr:uid="{B5A68D1A-93A6-48A6-A1C7-4A77D3D4279B}"/>
    <hyperlink ref="D19" r:id="rId4" display="Risk Premium" xr:uid="{CABB5AB5-5122-4AE1-8593-43DA37668C79}"/>
  </hyperlinks>
  <pageMargins left="0.7" right="0.7" top="0.75" bottom="0.75" header="0.3" footer="0.3"/>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AC572-790F-4500-98C1-066FB5539A77}">
  <sheetPr>
    <tabColor rgb="FFFFFFCC"/>
  </sheetPr>
  <dimension ref="A1:AG219"/>
  <sheetViews>
    <sheetView showGridLines="0" zoomScaleNormal="100" workbookViewId="0">
      <pane xSplit="4" ySplit="7" topLeftCell="E181" activePane="bottomRight" state="frozen"/>
      <selection pane="topRight" activeCell="C1" sqref="C1"/>
      <selection pane="bottomLeft" activeCell="A4" sqref="A4"/>
      <selection pane="bottomRight" activeCell="Q181" sqref="Q181"/>
    </sheetView>
  </sheetViews>
  <sheetFormatPr defaultColWidth="8.85546875" defaultRowHeight="12" outlineLevelCol="1"/>
  <cols>
    <col min="1" max="1" width="2.85546875" style="2" customWidth="1"/>
    <col min="2" max="2" width="7.5703125" style="2" hidden="1" customWidth="1" outlineLevel="1"/>
    <col min="3" max="3" width="1" style="2" hidden="1" customWidth="1" outlineLevel="1"/>
    <col min="4" max="4" width="33.7109375" style="2" bestFit="1" customWidth="1" collapsed="1"/>
    <col min="5" max="5" width="1" style="2" customWidth="1"/>
    <col min="6" max="6" width="10.42578125" style="2" customWidth="1"/>
    <col min="7" max="14" width="10.85546875" style="2" customWidth="1"/>
    <col min="15" max="15" width="1.42578125" style="2" customWidth="1"/>
    <col min="16" max="24" width="6.7109375" style="2" customWidth="1"/>
    <col min="25" max="25" width="1.42578125" style="2" customWidth="1"/>
    <col min="26" max="30" width="6.7109375" style="2" customWidth="1"/>
    <col min="31" max="16384" width="8.85546875" style="2"/>
  </cols>
  <sheetData>
    <row r="1" spans="1:30" ht="6" customHeight="1"/>
    <row r="2" spans="1:30" ht="6" customHeight="1">
      <c r="D2" s="4"/>
      <c r="F2" s="4"/>
      <c r="G2" s="4"/>
      <c r="H2" s="4"/>
      <c r="I2" s="4"/>
      <c r="J2" s="4"/>
      <c r="K2" s="4"/>
      <c r="L2" s="4"/>
      <c r="M2" s="4"/>
      <c r="N2" s="4"/>
      <c r="P2" s="4"/>
      <c r="Q2" s="4"/>
      <c r="R2" s="4"/>
      <c r="S2" s="4"/>
      <c r="T2" s="4"/>
      <c r="U2" s="4"/>
      <c r="V2" s="4"/>
      <c r="W2" s="4"/>
      <c r="X2" s="4"/>
      <c r="Z2" s="4"/>
      <c r="AA2" s="4"/>
      <c r="AB2" s="4"/>
      <c r="AC2" s="4"/>
      <c r="AD2" s="4"/>
    </row>
    <row r="3" spans="1:30" ht="42" customHeight="1">
      <c r="D3" s="39" t="s">
        <v>0</v>
      </c>
      <c r="F3" s="442" t="s">
        <v>260</v>
      </c>
      <c r="G3" s="443"/>
      <c r="H3" s="443"/>
      <c r="I3" s="443"/>
      <c r="J3" s="442" t="s">
        <v>128</v>
      </c>
      <c r="K3" s="443"/>
      <c r="L3" s="443"/>
      <c r="M3" s="443"/>
      <c r="N3" s="443"/>
      <c r="P3" s="33" t="s">
        <v>258</v>
      </c>
      <c r="Z3" s="33" t="s">
        <v>1</v>
      </c>
    </row>
    <row r="4" spans="1:30" ht="6" customHeight="1">
      <c r="D4" s="5"/>
      <c r="F4" s="5"/>
      <c r="G4" s="5"/>
      <c r="H4" s="5"/>
      <c r="I4" s="5"/>
      <c r="J4" s="5"/>
      <c r="K4" s="5"/>
      <c r="L4" s="5"/>
      <c r="M4" s="5"/>
      <c r="N4" s="5"/>
      <c r="P4" s="5"/>
      <c r="Q4" s="5"/>
      <c r="R4" s="5"/>
      <c r="S4" s="5"/>
      <c r="T4" s="5"/>
      <c r="U4" s="5"/>
      <c r="V4" s="5"/>
      <c r="W4" s="5"/>
      <c r="X4" s="5"/>
      <c r="Z4" s="5"/>
      <c r="AA4" s="5"/>
      <c r="AB4" s="5"/>
      <c r="AC4" s="5"/>
      <c r="AD4" s="5"/>
    </row>
    <row r="5" spans="1:30" ht="6" customHeight="1"/>
    <row r="6" spans="1:30" ht="18" customHeight="1">
      <c r="A6" s="98"/>
      <c r="D6" s="1" t="s">
        <v>259</v>
      </c>
      <c r="F6" s="478">
        <f>Assumptions!$B$7</f>
        <v>43830</v>
      </c>
      <c r="G6" s="478">
        <f ca="1">EOMONTH(OFFSET(G$6,0,-1),12)</f>
        <v>44196</v>
      </c>
      <c r="H6" s="478">
        <f t="shared" ref="H6:N6" ca="1" si="0">EOMONTH(OFFSET(H$6,0,-1),12)</f>
        <v>44561</v>
      </c>
      <c r="I6" s="478">
        <f t="shared" ca="1" si="0"/>
        <v>44926</v>
      </c>
      <c r="J6" s="479">
        <f t="shared" ca="1" si="0"/>
        <v>45291</v>
      </c>
      <c r="K6" s="479">
        <f t="shared" ca="1" si="0"/>
        <v>45657</v>
      </c>
      <c r="L6" s="479">
        <f t="shared" ca="1" si="0"/>
        <v>46022</v>
      </c>
      <c r="M6" s="479">
        <f t="shared" ca="1" si="0"/>
        <v>46387</v>
      </c>
      <c r="N6" s="479">
        <f t="shared" ca="1" si="0"/>
        <v>46752</v>
      </c>
      <c r="P6" s="480" cm="1">
        <f t="array" aca="1" ref="P6:X6" ca="1">Annual_Periods</f>
        <v>43830</v>
      </c>
      <c r="Q6" s="480">
        <f ca="1"/>
        <v>44196</v>
      </c>
      <c r="R6" s="480">
        <f ca="1"/>
        <v>44561</v>
      </c>
      <c r="S6" s="480">
        <f ca="1"/>
        <v>44926</v>
      </c>
      <c r="T6" s="480">
        <f ca="1"/>
        <v>45291</v>
      </c>
      <c r="U6" s="480">
        <f ca="1"/>
        <v>45657</v>
      </c>
      <c r="V6" s="480">
        <f ca="1"/>
        <v>46022</v>
      </c>
      <c r="W6" s="480">
        <f ca="1"/>
        <v>46387</v>
      </c>
      <c r="X6" s="480">
        <f ca="1"/>
        <v>46752</v>
      </c>
      <c r="Z6" s="481" cm="1">
        <f t="array" aca="1" ref="Z6" ca="1">INDEX(Annual_Periods,MATCH("Projected",$F$3:$N$3,))</f>
        <v>45291</v>
      </c>
      <c r="AA6" s="481">
        <f ca="1">EOMONTH(OFFSET(AA$6,0,-1),12)</f>
        <v>45657</v>
      </c>
      <c r="AB6" s="481">
        <f ca="1">EOMONTH(OFFSET(AB$6,0,-1),12)</f>
        <v>46022</v>
      </c>
      <c r="AC6" s="481">
        <f ca="1">EOMONTH(OFFSET(AC$6,0,-1),12)</f>
        <v>46387</v>
      </c>
      <c r="AD6" s="481">
        <f ca="1">EOMONTH(OFFSET(AD$6,0,-1),12)</f>
        <v>46752</v>
      </c>
    </row>
    <row r="7" spans="1:30" ht="6" customHeight="1"/>
    <row r="8" spans="1:30">
      <c r="A8" s="98" t="s">
        <v>2</v>
      </c>
      <c r="D8" s="12" t="s">
        <v>254</v>
      </c>
      <c r="F8" s="13"/>
      <c r="G8" s="13"/>
      <c r="H8" s="13"/>
      <c r="I8" s="13"/>
      <c r="J8" s="13"/>
      <c r="K8" s="13"/>
      <c r="L8" s="13"/>
      <c r="M8" s="13"/>
      <c r="N8" s="13"/>
      <c r="P8" s="13"/>
      <c r="Q8" s="13"/>
      <c r="R8" s="13"/>
      <c r="S8" s="13"/>
      <c r="T8" s="13"/>
      <c r="U8" s="13"/>
      <c r="V8" s="13"/>
      <c r="W8" s="13"/>
      <c r="X8" s="13"/>
      <c r="Z8" s="13"/>
      <c r="AA8" s="13"/>
      <c r="AB8" s="13"/>
      <c r="AC8" s="13"/>
      <c r="AD8" s="13"/>
    </row>
    <row r="9" spans="1:30">
      <c r="D9" s="21" t="s">
        <v>3</v>
      </c>
      <c r="F9" s="22"/>
      <c r="G9" s="22"/>
      <c r="H9" s="22"/>
      <c r="I9" s="22"/>
      <c r="J9" s="22"/>
      <c r="K9" s="22"/>
      <c r="L9" s="22"/>
      <c r="M9" s="22"/>
      <c r="N9" s="22"/>
      <c r="P9" s="22"/>
      <c r="Q9" s="22"/>
      <c r="R9" s="22"/>
      <c r="S9" s="22"/>
      <c r="T9" s="22"/>
      <c r="U9" s="22"/>
      <c r="V9" s="22"/>
      <c r="W9" s="22"/>
      <c r="X9" s="22"/>
      <c r="Z9" s="22"/>
      <c r="AA9" s="22"/>
      <c r="AB9" s="22"/>
      <c r="AC9" s="22"/>
      <c r="AD9" s="22"/>
    </row>
    <row r="10" spans="1:30">
      <c r="D10" s="8" t="s">
        <v>261</v>
      </c>
      <c r="F10" s="35">
        <v>77147</v>
      </c>
      <c r="G10" s="35">
        <v>73620</v>
      </c>
      <c r="H10" s="35">
        <v>57350</v>
      </c>
      <c r="I10" s="35">
        <v>60530</v>
      </c>
      <c r="J10" s="36">
        <f>I10*(1+Z10)</f>
        <v>62345.9</v>
      </c>
      <c r="K10" s="36">
        <f>J10*(1+AA10)</f>
        <v>64216.277000000002</v>
      </c>
      <c r="L10" s="36">
        <f>K10*(1+AB10)</f>
        <v>66142.765310000003</v>
      </c>
      <c r="M10" s="36">
        <f>L10*(1+AC10)</f>
        <v>68127.048269300009</v>
      </c>
      <c r="N10" s="36">
        <f>M10*(1+AD10)</f>
        <v>70170.859717379004</v>
      </c>
      <c r="Z10" s="108">
        <v>0.03</v>
      </c>
      <c r="AA10" s="108">
        <v>0.03</v>
      </c>
      <c r="AB10" s="108">
        <v>0.03</v>
      </c>
      <c r="AC10" s="108">
        <v>0.03</v>
      </c>
      <c r="AD10" s="108">
        <v>0.03</v>
      </c>
    </row>
    <row r="11" spans="1:30">
      <c r="D11" s="8" t="s">
        <v>262</v>
      </c>
      <c r="F11" s="35"/>
      <c r="G11" s="35"/>
      <c r="H11" s="35"/>
      <c r="I11" s="35"/>
      <c r="J11" s="36"/>
      <c r="K11" s="36"/>
      <c r="L11" s="36"/>
      <c r="M11" s="36"/>
      <c r="N11" s="36"/>
      <c r="Z11" s="108"/>
      <c r="AA11" s="108"/>
      <c r="AB11" s="108"/>
      <c r="AC11" s="108"/>
      <c r="AD11" s="108"/>
    </row>
    <row r="12" spans="1:30">
      <c r="C12" s="3"/>
      <c r="D12" s="7" t="s">
        <v>4</v>
      </c>
      <c r="E12" s="3"/>
      <c r="F12" s="6">
        <f ca="1">SUBTOTAL(9,OFFSET(F9,1,0):OFFSET(F12,-1,0))</f>
        <v>77147</v>
      </c>
      <c r="G12" s="6">
        <f ca="1">SUBTOTAL(9,OFFSET(G9,1,0):OFFSET(G12,-1,0))</f>
        <v>73620</v>
      </c>
      <c r="H12" s="6">
        <f ca="1">SUBTOTAL(9,OFFSET(H9,1,0):OFFSET(H12,-1,0))</f>
        <v>57350</v>
      </c>
      <c r="I12" s="6">
        <f ca="1">SUBTOTAL(9,OFFSET(I9,1,0):OFFSET(I12,-1,0))</f>
        <v>60530</v>
      </c>
      <c r="J12" s="6">
        <f ca="1">SUBTOTAL(9,OFFSET(J9,1,0):OFFSET(J12,-1,0))</f>
        <v>62345.9</v>
      </c>
      <c r="K12" s="6">
        <f ca="1">SUBTOTAL(9,OFFSET(K9,1,0):OFFSET(K12,-1,0))</f>
        <v>64216.277000000002</v>
      </c>
      <c r="L12" s="6">
        <f ca="1">SUBTOTAL(9,OFFSET(L9,1,0):OFFSET(L12,-1,0))</f>
        <v>66142.765310000003</v>
      </c>
      <c r="M12" s="6">
        <f ca="1">SUBTOTAL(9,OFFSET(M9,1,0):OFFSET(M12,-1,0))</f>
        <v>68127.048269300009</v>
      </c>
      <c r="N12" s="6">
        <f ca="1">SUBTOTAL(9,OFFSET(N9,1,0):OFFSET(N12,-1,0))</f>
        <v>70170.859717379004</v>
      </c>
      <c r="P12" s="34" cm="1">
        <f t="array" aca="1" ref="P12" ca="1">IFERROR(ABS(OFFSET($E$6,ROW()-ROW(Annual_Periods),MATCH(P$6,Annual_Periods,0)) /
OFFSET($E$12,0,MATCH(P$6,Annual_Periods,0))),"NA")</f>
        <v>1</v>
      </c>
      <c r="Q12" s="34" cm="1">
        <f t="array" aca="1" ref="Q12" ca="1">IFERROR(ABS(OFFSET($E$6,ROW()-ROW(Annual_Periods),MATCH(Q$6,Annual_Periods,0)) /
OFFSET($E$12,0,MATCH(Q$6,Annual_Periods,0))),"NA")</f>
        <v>1</v>
      </c>
      <c r="R12" s="34" cm="1">
        <f t="array" aca="1" ref="R12" ca="1">IFERROR(ABS(OFFSET($E$6,ROW()-ROW(Annual_Periods),MATCH(R$6,Annual_Periods,0)) /
OFFSET($E$12,0,MATCH(R$6,Annual_Periods,0))),"NA")</f>
        <v>1</v>
      </c>
      <c r="S12" s="34" cm="1">
        <f t="array" aca="1" ref="S12" ca="1">IFERROR(ABS(OFFSET($E$6,ROW()-ROW(Annual_Periods),MATCH(S$6,Annual_Periods,0)) /
OFFSET($E$12,0,MATCH(S$6,Annual_Periods,0))),"NA")</f>
        <v>1</v>
      </c>
      <c r="T12" s="34" cm="1">
        <f t="array" aca="1" ref="T12" ca="1">IFERROR(ABS(OFFSET($E$6,ROW()-ROW(Annual_Periods),MATCH(T$6,Annual_Periods,0)) /
OFFSET($E$12,0,MATCH(T$6,Annual_Periods,0))),"NA")</f>
        <v>1</v>
      </c>
      <c r="U12" s="34" cm="1">
        <f t="array" aca="1" ref="U12" ca="1">IFERROR(ABS(OFFSET($E$6,ROW()-ROW(Annual_Periods),MATCH(U$6,Annual_Periods,0)) /
OFFSET($E$12,0,MATCH(U$6,Annual_Periods,0))),"NA")</f>
        <v>1</v>
      </c>
      <c r="V12" s="34" cm="1">
        <f t="array" aca="1" ref="V12" ca="1">IFERROR(ABS(OFFSET($E$6,ROW()-ROW(Annual_Periods),MATCH(V$6,Annual_Periods,0)) /
OFFSET($E$12,0,MATCH(V$6,Annual_Periods,0))),"NA")</f>
        <v>1</v>
      </c>
      <c r="W12" s="34" cm="1">
        <f t="array" aca="1" ref="W12" ca="1">IFERROR(ABS(OFFSET($E$6,ROW()-ROW(Annual_Periods),MATCH(W$6,Annual_Periods,0)) /
OFFSET($E$12,0,MATCH(W$6,Annual_Periods,0))),"NA")</f>
        <v>1</v>
      </c>
      <c r="X12" s="34" cm="1">
        <f t="array" aca="1" ref="X12" ca="1">IFERROR(ABS(OFFSET($E$6,ROW()-ROW(Annual_Periods),MATCH(X$6,Annual_Periods,0)) /
OFFSET($E$12,0,MATCH(X$6,Annual_Periods,0))),"NA")</f>
        <v>1</v>
      </c>
    </row>
    <row r="13" spans="1:30">
      <c r="D13" s="9" t="s">
        <v>5</v>
      </c>
      <c r="F13" s="14" t="str">
        <f t="shared" ref="F13:N13" ca="1" si="1">IFERROR(F12/OFFSET(F12,0,-1)-1,"NA")</f>
        <v>NA</v>
      </c>
      <c r="G13" s="14">
        <f t="shared" ca="1" si="1"/>
        <v>-4.5717915149001254E-2</v>
      </c>
      <c r="H13" s="14">
        <f t="shared" ca="1" si="1"/>
        <v>-0.22099972833469161</v>
      </c>
      <c r="I13" s="14">
        <f t="shared" ca="1" si="1"/>
        <v>5.5448997384481169E-2</v>
      </c>
      <c r="J13" s="14">
        <f t="shared" ca="1" si="1"/>
        <v>3.0000000000000027E-2</v>
      </c>
      <c r="K13" s="14">
        <f t="shared" ca="1" si="1"/>
        <v>3.0000000000000027E-2</v>
      </c>
      <c r="L13" s="14">
        <f t="shared" ca="1" si="1"/>
        <v>3.0000000000000027E-2</v>
      </c>
      <c r="M13" s="14">
        <f t="shared" ca="1" si="1"/>
        <v>3.0000000000000027E-2</v>
      </c>
      <c r="N13" s="14">
        <f t="shared" ca="1" si="1"/>
        <v>3.0000000000000027E-2</v>
      </c>
    </row>
    <row r="14" spans="1:30" ht="6" customHeight="1"/>
    <row r="15" spans="1:30">
      <c r="D15" s="23" t="s">
        <v>6</v>
      </c>
      <c r="F15" s="22"/>
      <c r="G15" s="22"/>
      <c r="H15" s="22"/>
      <c r="I15" s="22"/>
      <c r="J15" s="22"/>
      <c r="K15" s="22"/>
      <c r="L15" s="22"/>
      <c r="M15" s="22"/>
      <c r="N15" s="22"/>
      <c r="P15" s="22"/>
      <c r="Q15" s="22"/>
      <c r="R15" s="22"/>
      <c r="S15" s="22"/>
      <c r="T15" s="22"/>
      <c r="U15" s="22"/>
      <c r="V15" s="22"/>
      <c r="W15" s="22"/>
      <c r="X15" s="22"/>
      <c r="Z15" s="22"/>
      <c r="AA15" s="22"/>
      <c r="AB15" s="22"/>
      <c r="AC15" s="22"/>
      <c r="AD15" s="22"/>
    </row>
    <row r="16" spans="1:30">
      <c r="D16" s="8" t="s">
        <v>263</v>
      </c>
      <c r="F16" s="37">
        <v>-26181</v>
      </c>
      <c r="G16" s="37">
        <v>-24314</v>
      </c>
      <c r="H16" s="37">
        <v>-25865</v>
      </c>
      <c r="I16" s="37">
        <v>-27843</v>
      </c>
      <c r="J16" s="38">
        <f ca="1">-J12*Z16</f>
        <v>-28055.655000000002</v>
      </c>
      <c r="K16" s="38">
        <f ca="1">-K12*AA16</f>
        <v>-28897.324650000002</v>
      </c>
      <c r="L16" s="38">
        <f ca="1">-L12*AB16</f>
        <v>-29764.244389500003</v>
      </c>
      <c r="M16" s="38">
        <f ca="1">-M12*AC16</f>
        <v>-30657.171721185005</v>
      </c>
      <c r="N16" s="38">
        <f ca="1">-N12*AD16</f>
        <v>-31576.886872820553</v>
      </c>
      <c r="P16" s="31" cm="1">
        <f t="array" aca="1" ref="P16" ca="1">IFERROR(ABS(OFFSET($E$6,ROW()-ROW(Annual_Periods),MATCH(P$6,Annual_Periods,0)) /
OFFSET($E$12,0,MATCH(P$6,Annual_Periods,0))),"NA")</f>
        <v>0.33936510817011678</v>
      </c>
      <c r="Q16" s="31" cm="1">
        <f t="array" aca="1" ref="Q16" ca="1">IFERROR(ABS(OFFSET($E$6,ROW()-ROW(Annual_Periods),MATCH(Q$6,Annual_Periods,0)) /
OFFSET($E$12,0,MATCH(Q$6,Annual_Periods,0))),"NA")</f>
        <v>0.33026351534908993</v>
      </c>
      <c r="R16" s="31" cm="1">
        <f t="array" aca="1" ref="R16" ca="1">IFERROR(ABS(OFFSET($E$6,ROW()-ROW(Annual_Periods),MATCH(R$6,Annual_Periods,0)) /
OFFSET($E$12,0,MATCH(R$6,Annual_Periods,0))),"NA")</f>
        <v>0.45100261551874454</v>
      </c>
      <c r="S16" s="31" cm="1">
        <f t="array" aca="1" ref="S16" ca="1">IFERROR(ABS(OFFSET($E$6,ROW()-ROW(Annual_Periods),MATCH(S$6,Annual_Periods,0)) /
OFFSET($E$12,0,MATCH(S$6,Annual_Periods,0))),"NA")</f>
        <v>0.45998678341318355</v>
      </c>
      <c r="T16" s="31" cm="1">
        <f t="array" aca="1" ref="T16" ca="1">IFERROR(ABS(OFFSET($E$6,ROW()-ROW(Annual_Periods),MATCH(T$6,Annual_Periods,0)) /
OFFSET($E$12,0,MATCH(T$6,Annual_Periods,0))),"NA")</f>
        <v>0.45</v>
      </c>
      <c r="U16" s="31" cm="1">
        <f t="array" aca="1" ref="U16" ca="1">IFERROR(ABS(OFFSET($E$6,ROW()-ROW(Annual_Periods),MATCH(U$6,Annual_Periods,0)) /
OFFSET($E$12,0,MATCH(U$6,Annual_Periods,0))),"NA")</f>
        <v>0.45</v>
      </c>
      <c r="V16" s="31" cm="1">
        <f t="array" aca="1" ref="V16" ca="1">IFERROR(ABS(OFFSET($E$6,ROW()-ROW(Annual_Periods),MATCH(V$6,Annual_Periods,0)) /
OFFSET($E$12,0,MATCH(V$6,Annual_Periods,0))),"NA")</f>
        <v>0.45</v>
      </c>
      <c r="W16" s="31" cm="1">
        <f t="array" aca="1" ref="W16" ca="1">IFERROR(ABS(OFFSET($E$6,ROW()-ROW(Annual_Periods),MATCH(W$6,Annual_Periods,0)) /
OFFSET($E$12,0,MATCH(W$6,Annual_Periods,0))),"NA")</f>
        <v>0.45</v>
      </c>
      <c r="X16" s="31" cm="1">
        <f t="array" aca="1" ref="X16" ca="1">IFERROR(ABS(OFFSET($E$6,ROW()-ROW(Annual_Periods),MATCH(X$6,Annual_Periods,0)) /
OFFSET($E$12,0,MATCH(X$6,Annual_Periods,0))),"NA")</f>
        <v>0.45</v>
      </c>
      <c r="Z16" s="108">
        <v>0.45</v>
      </c>
      <c r="AA16" s="108">
        <v>0.45</v>
      </c>
      <c r="AB16" s="108">
        <v>0.45</v>
      </c>
      <c r="AC16" s="108">
        <v>0.45</v>
      </c>
      <c r="AD16" s="108">
        <v>0.45</v>
      </c>
    </row>
    <row r="17" spans="3:30">
      <c r="D17" s="8" t="s">
        <v>264</v>
      </c>
      <c r="F17" s="37">
        <v>-13931</v>
      </c>
      <c r="G17" s="37">
        <v>-17715</v>
      </c>
      <c r="H17" s="37">
        <v>1885</v>
      </c>
      <c r="I17" s="37">
        <v>683</v>
      </c>
      <c r="J17" s="38"/>
      <c r="K17" s="38"/>
      <c r="L17" s="38"/>
      <c r="M17" s="38"/>
      <c r="N17" s="38"/>
      <c r="P17" s="31" cm="1">
        <f t="array" aca="1" ref="P17" ca="1">IFERROR(ABS(OFFSET($E$6,ROW()-ROW(Annual_Periods),MATCH(P$6,Annual_Periods,0)) /
OFFSET($E$12,0,MATCH(P$6,Annual_Periods,0))),"NA")</f>
        <v>0.18057733936510817</v>
      </c>
      <c r="Q17" s="31" cm="1">
        <f t="array" aca="1" ref="Q17" ca="1">IFERROR(ABS(OFFSET($E$6,ROW()-ROW(Annual_Periods),MATCH(Q$6,Annual_Periods,0)) /
OFFSET($E$12,0,MATCH(Q$6,Annual_Periods,0))),"NA")</f>
        <v>0.2406275468622657</v>
      </c>
      <c r="R17" s="31" cm="1">
        <f t="array" aca="1" ref="R17" ca="1">IFERROR(ABS(OFFSET($E$6,ROW()-ROW(Annual_Periods),MATCH(R$6,Annual_Periods,0)) /
OFFSET($E$12,0,MATCH(R$6,Annual_Periods,0))),"NA")</f>
        <v>3.2868352223190934E-2</v>
      </c>
      <c r="S17" s="31" cm="1">
        <f t="array" aca="1" ref="S17" ca="1">IFERROR(ABS(OFFSET($E$6,ROW()-ROW(Annual_Periods),MATCH(S$6,Annual_Periods,0)) /
OFFSET($E$12,0,MATCH(S$6,Annual_Periods,0))),"NA")</f>
        <v>1.1283660994548158E-2</v>
      </c>
      <c r="T17" s="31" cm="1">
        <f t="array" aca="1" ref="T17" ca="1">IFERROR(ABS(OFFSET($E$6,ROW()-ROW(Annual_Periods),MATCH(T$6,Annual_Periods,0)) /
OFFSET($E$12,0,MATCH(T$6,Annual_Periods,0))),"NA")</f>
        <v>0</v>
      </c>
      <c r="U17" s="31" cm="1">
        <f t="array" aca="1" ref="U17" ca="1">IFERROR(ABS(OFFSET($E$6,ROW()-ROW(Annual_Periods),MATCH(U$6,Annual_Periods,0)) /
OFFSET($E$12,0,MATCH(U$6,Annual_Periods,0))),"NA")</f>
        <v>0</v>
      </c>
      <c r="V17" s="31" cm="1">
        <f t="array" aca="1" ref="V17" ca="1">IFERROR(ABS(OFFSET($E$6,ROW()-ROW(Annual_Periods),MATCH(V$6,Annual_Periods,0)) /
OFFSET($E$12,0,MATCH(V$6,Annual_Periods,0))),"NA")</f>
        <v>0</v>
      </c>
      <c r="W17" s="31" cm="1">
        <f t="array" aca="1" ref="W17" ca="1">IFERROR(ABS(OFFSET($E$6,ROW()-ROW(Annual_Periods),MATCH(W$6,Annual_Periods,0)) /
OFFSET($E$12,0,MATCH(W$6,Annual_Periods,0))),"NA")</f>
        <v>0</v>
      </c>
      <c r="X17" s="31" cm="1">
        <f t="array" aca="1" ref="X17" ca="1">IFERROR(ABS(OFFSET($E$6,ROW()-ROW(Annual_Periods),MATCH(X$6,Annual_Periods,0)) /
OFFSET($E$12,0,MATCH(X$6,Annual_Periods,0))),"NA")</f>
        <v>0</v>
      </c>
      <c r="Z17" s="108"/>
      <c r="AA17" s="108"/>
      <c r="AB17" s="108"/>
      <c r="AC17" s="108"/>
      <c r="AD17" s="108"/>
    </row>
    <row r="18" spans="3:30">
      <c r="D18" s="3" t="s">
        <v>7</v>
      </c>
      <c r="F18" s="10">
        <f ca="1">SUBTOTAL(9,OFFSET(F15,1,0):OFFSET(F18,-1,0))</f>
        <v>-40112</v>
      </c>
      <c r="G18" s="10">
        <f ca="1">SUBTOTAL(9,OFFSET(G15,1,0):OFFSET(G18,-1,0))</f>
        <v>-42029</v>
      </c>
      <c r="H18" s="10">
        <f ca="1">SUBTOTAL(9,OFFSET(H15,1,0):OFFSET(H18,-1,0))</f>
        <v>-23980</v>
      </c>
      <c r="I18" s="10">
        <f ca="1">SUBTOTAL(9,OFFSET(I15,1,0):OFFSET(I18,-1,0))</f>
        <v>-27160</v>
      </c>
      <c r="J18" s="10">
        <f ca="1">SUBTOTAL(9,OFFSET(J15,1,0):OFFSET(J18,-1,0))</f>
        <v>-28055.655000000002</v>
      </c>
      <c r="K18" s="10">
        <f ca="1">SUBTOTAL(9,OFFSET(K15,1,0):OFFSET(K18,-1,0))</f>
        <v>-28897.324650000002</v>
      </c>
      <c r="L18" s="10">
        <f ca="1">SUBTOTAL(9,OFFSET(L15,1,0):OFFSET(L18,-1,0))</f>
        <v>-29764.244389500003</v>
      </c>
      <c r="M18" s="10">
        <f ca="1">SUBTOTAL(9,OFFSET(M15,1,0):OFFSET(M18,-1,0))</f>
        <v>-30657.171721185005</v>
      </c>
      <c r="N18" s="10">
        <f ca="1">SUBTOTAL(9,OFFSET(N15,1,0):OFFSET(N18,-1,0))</f>
        <v>-31576.886872820553</v>
      </c>
      <c r="P18" s="32" cm="1">
        <f t="array" aca="1" ref="P18" ca="1">IFERROR(ABS(OFFSET($E$6,ROW()-ROW(Annual_Periods),MATCH(P$6,Annual_Periods,0)) /
OFFSET($E$12,0,MATCH(P$6,Annual_Periods,0))),"NA")</f>
        <v>0.51994244753522501</v>
      </c>
      <c r="Q18" s="32" cm="1">
        <f t="array" aca="1" ref="Q18" ca="1">IFERROR(ABS(OFFSET($E$6,ROW()-ROW(Annual_Periods),MATCH(Q$6,Annual_Periods,0)) /
OFFSET($E$12,0,MATCH(Q$6,Annual_Periods,0))),"NA")</f>
        <v>0.57089106221135566</v>
      </c>
      <c r="R18" s="32" cm="1">
        <f t="array" aca="1" ref="R18" ca="1">IFERROR(ABS(OFFSET($E$6,ROW()-ROW(Annual_Periods),MATCH(R$6,Annual_Periods,0)) /
OFFSET($E$12,0,MATCH(R$6,Annual_Periods,0))),"NA")</f>
        <v>0.41813426329555364</v>
      </c>
      <c r="S18" s="32" cm="1">
        <f t="array" aca="1" ref="S18" ca="1">IFERROR(ABS(OFFSET($E$6,ROW()-ROW(Annual_Periods),MATCH(S$6,Annual_Periods,0)) /
OFFSET($E$12,0,MATCH(S$6,Annual_Periods,0))),"NA")</f>
        <v>0.44870312241863541</v>
      </c>
      <c r="T18" s="32" cm="1">
        <f t="array" aca="1" ref="T18" ca="1">IFERROR(ABS(OFFSET($E$6,ROW()-ROW(Annual_Periods),MATCH(T$6,Annual_Periods,0)) /
OFFSET($E$12,0,MATCH(T$6,Annual_Periods,0))),"NA")</f>
        <v>0.45</v>
      </c>
      <c r="U18" s="32" cm="1">
        <f t="array" aca="1" ref="U18" ca="1">IFERROR(ABS(OFFSET($E$6,ROW()-ROW(Annual_Periods),MATCH(U$6,Annual_Periods,0)) /
OFFSET($E$12,0,MATCH(U$6,Annual_Periods,0))),"NA")</f>
        <v>0.45</v>
      </c>
      <c r="V18" s="32" cm="1">
        <f t="array" aca="1" ref="V18" ca="1">IFERROR(ABS(OFFSET($E$6,ROW()-ROW(Annual_Periods),MATCH(V$6,Annual_Periods,0)) /
OFFSET($E$12,0,MATCH(V$6,Annual_Periods,0))),"NA")</f>
        <v>0.45</v>
      </c>
      <c r="W18" s="32" cm="1">
        <f t="array" aca="1" ref="W18" ca="1">IFERROR(ABS(OFFSET($E$6,ROW()-ROW(Annual_Periods),MATCH(W$6,Annual_Periods,0)) /
OFFSET($E$12,0,MATCH(W$6,Annual_Periods,0))),"NA")</f>
        <v>0.45</v>
      </c>
      <c r="X18" s="32" cm="1">
        <f t="array" aca="1" ref="X18" ca="1">IFERROR(ABS(OFFSET($E$6,ROW()-ROW(Annual_Periods),MATCH(X$6,Annual_Periods,0)) /
OFFSET($E$12,0,MATCH(X$6,Annual_Periods,0))),"NA")</f>
        <v>0.45</v>
      </c>
    </row>
    <row r="19" spans="3:30">
      <c r="C19" s="3"/>
      <c r="D19" s="7" t="s">
        <v>8</v>
      </c>
      <c r="E19" s="3"/>
      <c r="F19" s="11">
        <f ca="1">F12+F18</f>
        <v>37035</v>
      </c>
      <c r="G19" s="11">
        <f ca="1">G12+G18</f>
        <v>31591</v>
      </c>
      <c r="H19" s="11">
        <f ca="1">H12+H18</f>
        <v>33370</v>
      </c>
      <c r="I19" s="11">
        <f t="shared" ref="I19" ca="1" si="2">I12+I18</f>
        <v>33370</v>
      </c>
      <c r="J19" s="11">
        <f t="shared" ref="J19:M19" ca="1" si="3">J12+J18</f>
        <v>34290.244999999995</v>
      </c>
      <c r="K19" s="11">
        <f t="shared" ca="1" si="3"/>
        <v>35318.95235</v>
      </c>
      <c r="L19" s="11">
        <f t="shared" ca="1" si="3"/>
        <v>36378.520920499999</v>
      </c>
      <c r="M19" s="11">
        <f t="shared" ca="1" si="3"/>
        <v>37469.876548115004</v>
      </c>
      <c r="N19" s="11">
        <f ca="1">N12+N18</f>
        <v>38593.972844558448</v>
      </c>
      <c r="P19" s="34" cm="1">
        <f t="array" aca="1" ref="P19" ca="1">IFERROR(OFFSET($E$6,ROW()-ROW(Annual_Periods),MATCH(P$6,Annual_Periods,0)) /
OFFSET($E$12,0,MATCH(P$6,Annual_Periods,0)),"NA")</f>
        <v>0.48005755246477505</v>
      </c>
      <c r="Q19" s="34" cm="1">
        <f t="array" aca="1" ref="Q19" ca="1">IFERROR(OFFSET($E$6,ROW()-ROW(Annual_Periods),MATCH(Q$6,Annual_Periods,0)) /
OFFSET($E$12,0,MATCH(Q$6,Annual_Periods,0)),"NA")</f>
        <v>0.4291089377886444</v>
      </c>
      <c r="R19" s="34" cm="1">
        <f t="array" aca="1" ref="R19" ca="1">IFERROR(OFFSET($E$6,ROW()-ROW(Annual_Periods),MATCH(R$6,Annual_Periods,0)) /
OFFSET($E$12,0,MATCH(R$6,Annual_Periods,0)),"NA")</f>
        <v>0.58186573670444641</v>
      </c>
      <c r="S19" s="34" cm="1">
        <f t="array" aca="1" ref="S19" ca="1">IFERROR(OFFSET($E$6,ROW()-ROW(Annual_Periods),MATCH(S$6,Annual_Periods,0)) /
OFFSET($E$12,0,MATCH(S$6,Annual_Periods,0)),"NA")</f>
        <v>0.55129687758136459</v>
      </c>
      <c r="T19" s="34" cm="1">
        <f t="array" aca="1" ref="T19" ca="1">IFERROR(OFFSET($E$6,ROW()-ROW(Annual_Periods),MATCH(T$6,Annual_Periods,0)) /
OFFSET($E$12,0,MATCH(T$6,Annual_Periods,0)),"NA")</f>
        <v>0.54999999999999993</v>
      </c>
      <c r="U19" s="34" cm="1">
        <f t="array" aca="1" ref="U19" ca="1">IFERROR(OFFSET($E$6,ROW()-ROW(Annual_Periods),MATCH(U$6,Annual_Periods,0)) /
OFFSET($E$12,0,MATCH(U$6,Annual_Periods,0)),"NA")</f>
        <v>0.54999999999999993</v>
      </c>
      <c r="V19" s="34" cm="1">
        <f t="array" aca="1" ref="V19" ca="1">IFERROR(OFFSET($E$6,ROW()-ROW(Annual_Periods),MATCH(V$6,Annual_Periods,0)) /
OFFSET($E$12,0,MATCH(V$6,Annual_Periods,0)),"NA")</f>
        <v>0.54999999999999993</v>
      </c>
      <c r="W19" s="34" cm="1">
        <f t="array" aca="1" ref="W19" ca="1">IFERROR(OFFSET($E$6,ROW()-ROW(Annual_Periods),MATCH(W$6,Annual_Periods,0)) /
OFFSET($E$12,0,MATCH(W$6,Annual_Periods,0)),"NA")</f>
        <v>0.55000000000000004</v>
      </c>
      <c r="X19" s="34" cm="1">
        <f t="array" aca="1" ref="X19" ca="1">IFERROR(OFFSET($E$6,ROW()-ROW(Annual_Periods),MATCH(X$6,Annual_Periods,0)) /
OFFSET($E$12,0,MATCH(X$6,Annual_Periods,0)),"NA")</f>
        <v>0.54999999999999993</v>
      </c>
    </row>
    <row r="20" spans="3:30">
      <c r="D20" s="9" t="s">
        <v>9</v>
      </c>
      <c r="F20" s="14">
        <f t="shared" ref="F20:M20" ca="1" si="4">IFERROR(F19/F$12,"NA")</f>
        <v>0.48005755246477505</v>
      </c>
      <c r="G20" s="14">
        <f t="shared" ca="1" si="4"/>
        <v>0.4291089377886444</v>
      </c>
      <c r="H20" s="14">
        <f t="shared" ca="1" si="4"/>
        <v>0.58186573670444641</v>
      </c>
      <c r="I20" s="14">
        <f t="shared" ca="1" si="4"/>
        <v>0.55129687758136459</v>
      </c>
      <c r="J20" s="14">
        <f t="shared" ca="1" si="4"/>
        <v>0.54999999999999993</v>
      </c>
      <c r="K20" s="14">
        <f t="shared" ca="1" si="4"/>
        <v>0.54999999999999993</v>
      </c>
      <c r="L20" s="14">
        <f t="shared" ca="1" si="4"/>
        <v>0.54999999999999993</v>
      </c>
      <c r="M20" s="14">
        <f t="shared" ca="1" si="4"/>
        <v>0.55000000000000004</v>
      </c>
      <c r="N20" s="14">
        <f ca="1">IFERROR(N19/N$12,"NA")</f>
        <v>0.54999999999999993</v>
      </c>
    </row>
    <row r="21" spans="3:30" ht="6" customHeight="1"/>
    <row r="22" spans="3:30">
      <c r="D22" s="23" t="s">
        <v>10</v>
      </c>
      <c r="F22" s="22"/>
      <c r="G22" s="22"/>
      <c r="H22" s="22"/>
      <c r="I22" s="22"/>
      <c r="J22" s="22"/>
      <c r="K22" s="22"/>
      <c r="L22" s="22"/>
      <c r="M22" s="22"/>
      <c r="N22" s="22"/>
      <c r="P22" s="22"/>
      <c r="Q22" s="22"/>
      <c r="R22" s="22"/>
      <c r="S22" s="22"/>
      <c r="T22" s="22"/>
      <c r="U22" s="22"/>
      <c r="V22" s="22"/>
      <c r="W22" s="22"/>
      <c r="X22" s="22"/>
      <c r="Z22" s="22"/>
      <c r="AA22" s="22"/>
      <c r="AB22" s="22"/>
      <c r="AC22" s="22"/>
      <c r="AD22" s="22"/>
    </row>
    <row r="23" spans="3:30">
      <c r="D23" s="8" t="s">
        <v>296</v>
      </c>
      <c r="F23" s="37">
        <v>13492</v>
      </c>
      <c r="G23" s="37">
        <v>10931</v>
      </c>
      <c r="H23" s="37">
        <v>12326</v>
      </c>
      <c r="I23" s="37">
        <v>3921</v>
      </c>
      <c r="J23" s="38">
        <f ca="1">J12*Z23</f>
        <v>10598.803000000002</v>
      </c>
      <c r="K23" s="38">
        <f ca="1">K12*AA23</f>
        <v>10916.767090000001</v>
      </c>
      <c r="L23" s="38">
        <f ca="1">L12*AB23</f>
        <v>11244.270102700002</v>
      </c>
      <c r="M23" s="38">
        <f ca="1">M12*AC23</f>
        <v>11581.598205781002</v>
      </c>
      <c r="N23" s="38">
        <f ca="1">N12*AD23</f>
        <v>11929.046151954431</v>
      </c>
      <c r="P23" s="31" cm="1">
        <f t="array" aca="1" ref="P23" ca="1">IFERROR(ABS(OFFSET($E$6,ROW()-ROW(Annual_Periods),MATCH(P$6,Annual_Periods,0)) /
OFFSET($E$12,0,MATCH(P$6,Annual_Periods,0))),"NA")</f>
        <v>0.1748869042218103</v>
      </c>
      <c r="Q23" s="31" cm="1">
        <f t="array" aca="1" ref="Q23" ca="1">IFERROR(ABS(OFFSET($E$6,ROW()-ROW(Annual_Periods),MATCH(Q$6,Annual_Periods,0)) /
OFFSET($E$12,0,MATCH(Q$6,Annual_Periods,0))),"NA")</f>
        <v>0.14847867427329531</v>
      </c>
      <c r="R23" s="31" cm="1">
        <f t="array" aca="1" ref="R23" ca="1">IFERROR(ABS(OFFSET($E$6,ROW()-ROW(Annual_Periods),MATCH(R$6,Annual_Periods,0)) /
OFFSET($E$12,0,MATCH(R$6,Annual_Periods,0))),"NA")</f>
        <v>0.21492589363557105</v>
      </c>
      <c r="S23" s="31" cm="1">
        <f t="array" aca="1" ref="S23" ca="1">IFERROR(ABS(OFFSET($E$6,ROW()-ROW(Annual_Periods),MATCH(S$6,Annual_Periods,0)) /
OFFSET($E$12,0,MATCH(S$6,Annual_Periods,0))),"NA")</f>
        <v>6.4777796134148358E-2</v>
      </c>
      <c r="T23" s="31" cm="1">
        <f t="array" aca="1" ref="T23" ca="1">IFERROR(ABS(OFFSET($E$6,ROW()-ROW(Annual_Periods),MATCH(T$6,Annual_Periods,0)) /
OFFSET($E$12,0,MATCH(T$6,Annual_Periods,0))),"NA")</f>
        <v>0.17</v>
      </c>
      <c r="U23" s="31" cm="1">
        <f t="array" aca="1" ref="U23" ca="1">IFERROR(ABS(OFFSET($E$6,ROW()-ROW(Annual_Periods),MATCH(U$6,Annual_Periods,0)) /
OFFSET($E$12,0,MATCH(U$6,Annual_Periods,0))),"NA")</f>
        <v>0.17</v>
      </c>
      <c r="V23" s="31" cm="1">
        <f t="array" aca="1" ref="V23" ca="1">IFERROR(ABS(OFFSET($E$6,ROW()-ROW(Annual_Periods),MATCH(V$6,Annual_Periods,0)) /
OFFSET($E$12,0,MATCH(V$6,Annual_Periods,0))),"NA")</f>
        <v>0.17</v>
      </c>
      <c r="W23" s="31" cm="1">
        <f t="array" aca="1" ref="W23" ca="1">IFERROR(ABS(OFFSET($E$6,ROW()-ROW(Annual_Periods),MATCH(W$6,Annual_Periods,0)) /
OFFSET($E$12,0,MATCH(W$6,Annual_Periods,0))),"NA")</f>
        <v>0.17</v>
      </c>
      <c r="X23" s="31" cm="1">
        <f t="array" aca="1" ref="X23" ca="1">IFERROR(ABS(OFFSET($E$6,ROW()-ROW(Annual_Periods),MATCH(X$6,Annual_Periods,0)) /
OFFSET($E$12,0,MATCH(X$6,Annual_Periods,0))),"NA")</f>
        <v>0.17</v>
      </c>
      <c r="Z23" s="108">
        <v>0.17</v>
      </c>
      <c r="AA23" s="108">
        <v>0.17</v>
      </c>
      <c r="AB23" s="108">
        <v>0.17</v>
      </c>
      <c r="AC23" s="108">
        <v>0.17</v>
      </c>
      <c r="AD23" s="108">
        <v>0.17</v>
      </c>
    </row>
    <row r="24" spans="3:30">
      <c r="D24" s="8" t="s">
        <v>297</v>
      </c>
      <c r="F24" s="37">
        <v>5936</v>
      </c>
      <c r="G24" s="37">
        <v>6262</v>
      </c>
      <c r="H24" s="37">
        <v>6488</v>
      </c>
      <c r="I24" s="37">
        <v>6567</v>
      </c>
      <c r="J24" s="38">
        <f ca="1">J12*Z24</f>
        <v>6733.3572000000004</v>
      </c>
      <c r="K24" s="38">
        <f ca="1">K12*AA24</f>
        <v>6935.3579159999999</v>
      </c>
      <c r="L24" s="38">
        <f ca="1">L12*AB24</f>
        <v>7143.4186534800001</v>
      </c>
      <c r="M24" s="38">
        <f ca="1">M12*AC24</f>
        <v>7357.7212130844009</v>
      </c>
      <c r="N24" s="38">
        <f ca="1">N12*AD24</f>
        <v>7578.452849476932</v>
      </c>
      <c r="P24" s="31" cm="1">
        <f t="array" aca="1" ref="P24" ca="1">IFERROR(ABS(OFFSET($E$6,ROW()-ROW(Annual_Periods),MATCH(P$6,Annual_Periods,0)) /
OFFSET($E$12,0,MATCH(P$6,Annual_Periods,0))),"NA")</f>
        <v>7.6944015969512752E-2</v>
      </c>
      <c r="Q24" s="31" cm="1">
        <f t="array" aca="1" ref="Q24" ca="1">IFERROR(ABS(OFFSET($E$6,ROW()-ROW(Annual_Periods),MATCH(Q$6,Annual_Periods,0)) /
OFFSET($E$12,0,MATCH(Q$6,Annual_Periods,0))),"NA")</f>
        <v>8.5058408041293124E-2</v>
      </c>
      <c r="R24" s="31" cm="1">
        <f t="array" aca="1" ref="R24" ca="1">IFERROR(ABS(OFFSET($E$6,ROW()-ROW(Annual_Periods),MATCH(R$6,Annual_Periods,0)) /
OFFSET($E$12,0,MATCH(R$6,Annual_Periods,0))),"NA")</f>
        <v>0.11312990409764603</v>
      </c>
      <c r="S24" s="31" cm="1">
        <f t="array" aca="1" ref="S24" ca="1">IFERROR(ABS(OFFSET($E$6,ROW()-ROW(Annual_Periods),MATCH(S$6,Annual_Periods,0)) /
OFFSET($E$12,0,MATCH(S$6,Annual_Periods,0))),"NA")</f>
        <v>0.10849165702957211</v>
      </c>
      <c r="T24" s="31" cm="1">
        <f t="array" aca="1" ref="T24" ca="1">IFERROR(ABS(OFFSET($E$6,ROW()-ROW(Annual_Periods),MATCH(T$6,Annual_Periods,0)) /
OFFSET($E$12,0,MATCH(T$6,Annual_Periods,0))),"NA")</f>
        <v>0.108</v>
      </c>
      <c r="U24" s="31" cm="1">
        <f t="array" aca="1" ref="U24" ca="1">IFERROR(ABS(OFFSET($E$6,ROW()-ROW(Annual_Periods),MATCH(U$6,Annual_Periods,0)) /
OFFSET($E$12,0,MATCH(U$6,Annual_Periods,0))),"NA")</f>
        <v>0.108</v>
      </c>
      <c r="V24" s="31" cm="1">
        <f t="array" aca="1" ref="V24" ca="1">IFERROR(ABS(OFFSET($E$6,ROW()-ROW(Annual_Periods),MATCH(V$6,Annual_Periods,0)) /
OFFSET($E$12,0,MATCH(V$6,Annual_Periods,0))),"NA")</f>
        <v>0.108</v>
      </c>
      <c r="W24" s="31" cm="1">
        <f t="array" aca="1" ref="W24" ca="1">IFERROR(ABS(OFFSET($E$6,ROW()-ROW(Annual_Periods),MATCH(W$6,Annual_Periods,0)) /
OFFSET($E$12,0,MATCH(W$6,Annual_Periods,0))),"NA")</f>
        <v>0.108</v>
      </c>
      <c r="X24" s="31" cm="1">
        <f t="array" aca="1" ref="X24" ca="1">IFERROR(ABS(OFFSET($E$6,ROW()-ROW(Annual_Periods),MATCH(X$6,Annual_Periods,0)) /
OFFSET($E$12,0,MATCH(X$6,Annual_Periods,0))),"NA")</f>
        <v>0.108</v>
      </c>
      <c r="Z24" s="108">
        <v>0.108</v>
      </c>
      <c r="AA24" s="108">
        <v>0.108</v>
      </c>
      <c r="AB24" s="108">
        <v>0.108</v>
      </c>
      <c r="AC24" s="108">
        <v>0.108</v>
      </c>
      <c r="AD24" s="108">
        <v>0.108</v>
      </c>
    </row>
    <row r="25" spans="3:30">
      <c r="D25" s="8" t="s">
        <v>298</v>
      </c>
      <c r="F25" s="37">
        <v>-639</v>
      </c>
      <c r="G25" s="37">
        <v>-620</v>
      </c>
      <c r="H25" s="37">
        <v>-612</v>
      </c>
      <c r="I25" s="37">
        <v>-663</v>
      </c>
      <c r="J25" s="38">
        <f>-J10*Z25</f>
        <v>-685.80489999999998</v>
      </c>
      <c r="K25" s="38">
        <f t="shared" ref="K25:N25" si="5">-K10*AA25</f>
        <v>-706.37904700000001</v>
      </c>
      <c r="L25" s="38">
        <f t="shared" si="5"/>
        <v>-727.57041841</v>
      </c>
      <c r="M25" s="38">
        <f t="shared" si="5"/>
        <v>-749.39753096230004</v>
      </c>
      <c r="N25" s="38">
        <f t="shared" si="5"/>
        <v>-771.87945689116896</v>
      </c>
      <c r="P25" s="31" cm="1">
        <f t="array" aca="1" ref="P25" ca="1">IFERROR(ABS(OFFSET($E$6,ROW()-ROW(Annual_Periods),MATCH(P$6,Annual_Periods,0)) /
OFFSET($E$12,0,MATCH(P$6,Annual_Periods,0))),"NA")</f>
        <v>8.2828885115428987E-3</v>
      </c>
      <c r="Q25" s="31" cm="1">
        <f t="array" aca="1" ref="Q25" ca="1">IFERROR(ABS(OFFSET($E$6,ROW()-ROW(Annual_Periods),MATCH(Q$6,Annual_Periods,0)) /
OFFSET($E$12,0,MATCH(Q$6,Annual_Periods,0))),"NA")</f>
        <v>8.4216245585438734E-3</v>
      </c>
      <c r="R25" s="31" cm="1">
        <f t="array" aca="1" ref="R25" ca="1">IFERROR(ABS(OFFSET($E$6,ROW()-ROW(Annual_Periods),MATCH(R$6,Annual_Periods,0)) /
OFFSET($E$12,0,MATCH(R$6,Annual_Periods,0))),"NA")</f>
        <v>1.0671316477768091E-2</v>
      </c>
      <c r="S25" s="31" cm="1">
        <f t="array" aca="1" ref="S25" ca="1">IFERROR(ABS(OFFSET($E$6,ROW()-ROW(Annual_Periods),MATCH(S$6,Annual_Periods,0)) /
OFFSET($E$12,0,MATCH(S$6,Annual_Periods,0))),"NA")</f>
        <v>1.0953246324136792E-2</v>
      </c>
      <c r="T25" s="31" cm="1">
        <f t="array" aca="1" ref="T25" ca="1">IFERROR(ABS(OFFSET($E$6,ROW()-ROW(Annual_Periods),MATCH(T$6,Annual_Periods,0)) /
OFFSET($E$12,0,MATCH(T$6,Annual_Periods,0))),"NA")</f>
        <v>1.0999999999999999E-2</v>
      </c>
      <c r="U25" s="31" cm="1">
        <f t="array" aca="1" ref="U25" ca="1">IFERROR(ABS(OFFSET($E$6,ROW()-ROW(Annual_Periods),MATCH(U$6,Annual_Periods,0)) /
OFFSET($E$12,0,MATCH(U$6,Annual_Periods,0))),"NA")</f>
        <v>1.0999999999999999E-2</v>
      </c>
      <c r="V25" s="31" cm="1">
        <f t="array" aca="1" ref="V25" ca="1">IFERROR(ABS(OFFSET($E$6,ROW()-ROW(Annual_Periods),MATCH(V$6,Annual_Periods,0)) /
OFFSET($E$12,0,MATCH(V$6,Annual_Periods,0))),"NA")</f>
        <v>1.0999999999999999E-2</v>
      </c>
      <c r="W25" s="31" cm="1">
        <f t="array" aca="1" ref="W25" ca="1">IFERROR(ABS(OFFSET($E$6,ROW()-ROW(Annual_Periods),MATCH(W$6,Annual_Periods,0)) /
OFFSET($E$12,0,MATCH(W$6,Annual_Periods,0))),"NA")</f>
        <v>1.0999999999999999E-2</v>
      </c>
      <c r="X25" s="31" cm="1">
        <f t="array" aca="1" ref="X25" ca="1">IFERROR(ABS(OFFSET($E$6,ROW()-ROW(Annual_Periods),MATCH(X$6,Annual_Periods,0)) /
OFFSET($E$12,0,MATCH(X$6,Annual_Periods,0))),"NA")</f>
        <v>1.0999999999999999E-2</v>
      </c>
      <c r="Z25" s="108">
        <v>1.0999999999999999E-2</v>
      </c>
      <c r="AA25" s="108">
        <v>1.0999999999999999E-2</v>
      </c>
      <c r="AB25" s="108">
        <v>1.0999999999999999E-2</v>
      </c>
      <c r="AC25" s="108">
        <v>1.0999999999999999E-2</v>
      </c>
      <c r="AD25" s="108">
        <v>1.0999999999999999E-2</v>
      </c>
    </row>
    <row r="26" spans="3:30">
      <c r="D26" s="7" t="s">
        <v>11</v>
      </c>
      <c r="F26" s="11">
        <f ca="1">F19-SUBTOTAL(9,OFFSET(F22,1,0):OFFSET(F26,-1,0))</f>
        <v>18246</v>
      </c>
      <c r="G26" s="11">
        <f ca="1">G19-SUBTOTAL(9,OFFSET(G22,1,0):OFFSET(G26,-1,0))</f>
        <v>15018</v>
      </c>
      <c r="H26" s="11">
        <f ca="1">H19-SUBTOTAL(9,OFFSET(H22,1,0):OFFSET(H26,-1,0))</f>
        <v>15168</v>
      </c>
      <c r="I26" s="11">
        <f ca="1">I19-SUBTOTAL(9,OFFSET(I22,1,0):OFFSET(I26,-1,0))</f>
        <v>23545</v>
      </c>
      <c r="J26" s="11">
        <f ca="1">J19-SUBTOTAL(9,OFFSET(J22,1,0):OFFSET(J26,-1,0))</f>
        <v>17643.889699999992</v>
      </c>
      <c r="K26" s="11">
        <f ca="1">K19-SUBTOTAL(9,OFFSET(K22,1,0):OFFSET(K26,-1,0))</f>
        <v>18173.206390999996</v>
      </c>
      <c r="L26" s="11">
        <f ca="1">L19-SUBTOTAL(9,OFFSET(L22,1,0):OFFSET(L26,-1,0))</f>
        <v>18718.402582729996</v>
      </c>
      <c r="M26" s="11">
        <f ca="1">M19-SUBTOTAL(9,OFFSET(M22,1,0):OFFSET(M26,-1,0))</f>
        <v>19279.954660211901</v>
      </c>
      <c r="N26" s="11">
        <f ca="1">N19-SUBTOTAL(9,OFFSET(N22,1,0):OFFSET(N26,-1,0))</f>
        <v>19858.353300018254</v>
      </c>
      <c r="P26" s="34" cm="1">
        <f t="array" aca="1" ref="P26" ca="1">IFERROR(OFFSET($E$6,ROW()-ROW(Annual_Periods),MATCH(P$6,Annual_Periods,0)) /
OFFSET($E$12,0,MATCH(P$6,Annual_Periods,0)),"NA")</f>
        <v>0.23650952078499488</v>
      </c>
      <c r="Q26" s="34" cm="1">
        <f t="array" aca="1" ref="Q26" ca="1">IFERROR(OFFSET($E$6,ROW()-ROW(Annual_Periods),MATCH(Q$6,Annual_Periods,0)) /
OFFSET($E$12,0,MATCH(Q$6,Annual_Periods,0)),"NA")</f>
        <v>0.20399348003259984</v>
      </c>
      <c r="R26" s="34" cm="1">
        <f t="array" aca="1" ref="R26" ca="1">IFERROR(OFFSET($E$6,ROW()-ROW(Annual_Periods),MATCH(R$6,Annual_Periods,0)) /
OFFSET($E$12,0,MATCH(R$6,Annual_Periods,0)),"NA")</f>
        <v>0.26448125544899737</v>
      </c>
      <c r="S26" s="34" cm="1">
        <f t="array" aca="1" ref="S26" ca="1">IFERROR(OFFSET($E$6,ROW()-ROW(Annual_Periods),MATCH(S$6,Annual_Periods,0)) /
OFFSET($E$12,0,MATCH(S$6,Annual_Periods,0)),"NA")</f>
        <v>0.38898067074178094</v>
      </c>
      <c r="T26" s="34" cm="1">
        <f t="array" aca="1" ref="T26" ca="1">IFERROR(OFFSET($E$6,ROW()-ROW(Annual_Periods),MATCH(T$6,Annual_Periods,0)) /
OFFSET($E$12,0,MATCH(T$6,Annual_Periods,0)),"NA")</f>
        <v>0.28299999999999986</v>
      </c>
      <c r="U26" s="34" cm="1">
        <f t="array" aca="1" ref="U26" ca="1">IFERROR(OFFSET($E$6,ROW()-ROW(Annual_Periods),MATCH(U$6,Annual_Periods,0)) /
OFFSET($E$12,0,MATCH(U$6,Annual_Periods,0)),"NA")</f>
        <v>0.28299999999999992</v>
      </c>
      <c r="V26" s="34" cm="1">
        <f t="array" aca="1" ref="V26" ca="1">IFERROR(OFFSET($E$6,ROW()-ROW(Annual_Periods),MATCH(V$6,Annual_Periods,0)) /
OFFSET($E$12,0,MATCH(V$6,Annual_Periods,0)),"NA")</f>
        <v>0.28299999999999992</v>
      </c>
      <c r="W26" s="34" cm="1">
        <f t="array" aca="1" ref="W26" ca="1">IFERROR(OFFSET($E$6,ROW()-ROW(Annual_Periods),MATCH(W$6,Annual_Periods,0)) /
OFFSET($E$12,0,MATCH(W$6,Annual_Periods,0)),"NA")</f>
        <v>0.28299999999999997</v>
      </c>
      <c r="X26" s="34" cm="1">
        <f t="array" aca="1" ref="X26" ca="1">IFERROR(OFFSET($E$6,ROW()-ROW(Annual_Periods),MATCH(X$6,Annual_Periods,0)) /
OFFSET($E$12,0,MATCH(X$6,Annual_Periods,0)),"NA")</f>
        <v>0.28299999999999992</v>
      </c>
    </row>
    <row r="27" spans="3:30">
      <c r="D27" s="8" t="s">
        <v>12</v>
      </c>
      <c r="F27" s="37">
        <v>6059</v>
      </c>
      <c r="G27" s="37">
        <v>6695</v>
      </c>
      <c r="H27" s="37">
        <v>6416</v>
      </c>
      <c r="I27" s="37">
        <v>1216</v>
      </c>
      <c r="J27" s="38">
        <f>J10*Z27</f>
        <v>6858.049</v>
      </c>
      <c r="K27" s="38">
        <f t="shared" ref="K27:N27" si="6">K10*AA27</f>
        <v>7063.7904699999999</v>
      </c>
      <c r="L27" s="38">
        <f t="shared" si="6"/>
        <v>7275.7041841</v>
      </c>
      <c r="M27" s="38">
        <f t="shared" si="6"/>
        <v>7493.9753096230006</v>
      </c>
      <c r="N27" s="38">
        <f t="shared" si="6"/>
        <v>7718.7945689116905</v>
      </c>
      <c r="P27" s="31" cm="1">
        <f t="array" aca="1" ref="P27" ca="1">IFERROR(ABS(OFFSET($E$6,ROW()-ROW(Annual_Periods),MATCH(P$6,Annual_Periods,0)) /
OFFSET($E$12,0,MATCH(P$6,Annual_Periods,0))),"NA")</f>
        <v>7.8538374790983453E-2</v>
      </c>
      <c r="Q27" s="31" cm="1">
        <f t="array" aca="1" ref="Q27" ca="1">IFERROR(ABS(OFFSET($E$6,ROW()-ROW(Annual_Periods),MATCH(Q$6,Annual_Periods,0)) /
OFFSET($E$12,0,MATCH(Q$6,Annual_Periods,0))),"NA")</f>
        <v>9.093996196685683E-2</v>
      </c>
      <c r="R27" s="31" cm="1">
        <f t="array" aca="1" ref="R27" ca="1">IFERROR(ABS(OFFSET($E$6,ROW()-ROW(Annual_Periods),MATCH(R$6,Annual_Periods,0)) /
OFFSET($E$12,0,MATCH(R$6,Annual_Periods,0))),"NA")</f>
        <v>0.11187445510026155</v>
      </c>
      <c r="S27" s="31" cm="1">
        <f t="array" aca="1" ref="S27" ca="1">IFERROR(ABS(OFFSET($E$6,ROW()-ROW(Annual_Periods),MATCH(S$6,Annual_Periods,0)) /
OFFSET($E$12,0,MATCH(S$6,Annual_Periods,0))),"NA")</f>
        <v>2.0089211961011069E-2</v>
      </c>
      <c r="T27" s="31" cm="1">
        <f t="array" aca="1" ref="T27" ca="1">IFERROR(ABS(OFFSET($E$6,ROW()-ROW(Annual_Periods),MATCH(T$6,Annual_Periods,0)) /
OFFSET($E$12,0,MATCH(T$6,Annual_Periods,0))),"NA")</f>
        <v>0.11</v>
      </c>
      <c r="U27" s="31" cm="1">
        <f t="array" aca="1" ref="U27" ca="1">IFERROR(ABS(OFFSET($E$6,ROW()-ROW(Annual_Periods),MATCH(U$6,Annual_Periods,0)) /
OFFSET($E$12,0,MATCH(U$6,Annual_Periods,0))),"NA")</f>
        <v>0.11</v>
      </c>
      <c r="V27" s="31" cm="1">
        <f t="array" aca="1" ref="V27" ca="1">IFERROR(ABS(OFFSET($E$6,ROW()-ROW(Annual_Periods),MATCH(V$6,Annual_Periods,0)) /
OFFSET($E$12,0,MATCH(V$6,Annual_Periods,0))),"NA")</f>
        <v>0.11</v>
      </c>
      <c r="W27" s="31" cm="1">
        <f t="array" aca="1" ref="W27" ca="1">IFERROR(ABS(OFFSET($E$6,ROW()-ROW(Annual_Periods),MATCH(W$6,Annual_Periods,0)) /
OFFSET($E$12,0,MATCH(W$6,Annual_Periods,0))),"NA")</f>
        <v>0.11</v>
      </c>
      <c r="X27" s="31" cm="1">
        <f t="array" aca="1" ref="X27" ca="1">IFERROR(ABS(OFFSET($E$6,ROW()-ROW(Annual_Periods),MATCH(X$6,Annual_Periods,0)) /
OFFSET($E$12,0,MATCH(X$6,Annual_Periods,0))),"NA")</f>
        <v>0.11</v>
      </c>
      <c r="Z27" s="492">
        <v>0.11</v>
      </c>
      <c r="AA27" s="492">
        <v>0.11</v>
      </c>
      <c r="AB27" s="492">
        <v>0.11</v>
      </c>
      <c r="AC27" s="492">
        <v>0.11</v>
      </c>
      <c r="AD27" s="492">
        <v>0.11</v>
      </c>
    </row>
    <row r="28" spans="3:30">
      <c r="D28" s="3" t="s">
        <v>13</v>
      </c>
      <c r="F28" s="10">
        <f ca="1">SUBTOTAL(9,OFFSET(F22,1,0):OFFSET(F28,-1,0))</f>
        <v>24848</v>
      </c>
      <c r="G28" s="10">
        <f ca="1">SUBTOTAL(9,OFFSET(G22,1,0):OFFSET(G28,-1,0))</f>
        <v>23268</v>
      </c>
      <c r="H28" s="10">
        <f ca="1">SUBTOTAL(9,OFFSET(H22,1,0):OFFSET(H28,-1,0))</f>
        <v>24618</v>
      </c>
      <c r="I28" s="10">
        <f ca="1">SUBTOTAL(9,OFFSET(I22,1,0):OFFSET(I28,-1,0))</f>
        <v>11041</v>
      </c>
      <c r="J28" s="10">
        <f ca="1">SUBTOTAL(9,OFFSET(J22,1,0):OFFSET(J28,-1,0))</f>
        <v>23504.404300000002</v>
      </c>
      <c r="K28" s="10">
        <f ca="1">SUBTOTAL(9,OFFSET(K22,1,0):OFFSET(K28,-1,0))</f>
        <v>24209.536429000003</v>
      </c>
      <c r="L28" s="10">
        <f ca="1">SUBTOTAL(9,OFFSET(L22,1,0):OFFSET(L28,-1,0))</f>
        <v>24935.822521870003</v>
      </c>
      <c r="M28" s="10">
        <f ca="1">SUBTOTAL(9,OFFSET(M22,1,0):OFFSET(M28,-1,0))</f>
        <v>25683.897197526105</v>
      </c>
      <c r="N28" s="10">
        <f ca="1">SUBTOTAL(9,OFFSET(N22,1,0):OFFSET(N28,-1,0))</f>
        <v>26454.414113451883</v>
      </c>
      <c r="P28" s="32" cm="1">
        <f t="array" aca="1" ref="P28" ca="1">IFERROR(ABS(OFFSET($E$6,ROW()-ROW(Annual_Periods),MATCH(P$6,Annual_Periods,0)) /
OFFSET($E$12,0,MATCH(P$6,Annual_Periods,0))),"NA")</f>
        <v>0.32208640647076359</v>
      </c>
      <c r="Q28" s="32" cm="1">
        <f t="array" aca="1" ref="Q28" ca="1">IFERROR(ABS(OFFSET($E$6,ROW()-ROW(Annual_Periods),MATCH(Q$6,Annual_Periods,0)) /
OFFSET($E$12,0,MATCH(Q$6,Annual_Periods,0))),"NA")</f>
        <v>0.31605541972290141</v>
      </c>
      <c r="R28" s="32" cm="1">
        <f t="array" aca="1" ref="R28" ca="1">IFERROR(ABS(OFFSET($E$6,ROW()-ROW(Annual_Periods),MATCH(R$6,Annual_Periods,0)) /
OFFSET($E$12,0,MATCH(R$6,Annual_Periods,0))),"NA")</f>
        <v>0.42925893635571055</v>
      </c>
      <c r="S28" s="32" cm="1">
        <f t="array" aca="1" ref="S28" ca="1">IFERROR(ABS(OFFSET($E$6,ROW()-ROW(Annual_Periods),MATCH(S$6,Annual_Periods,0)) /
OFFSET($E$12,0,MATCH(S$6,Annual_Periods,0))),"NA")</f>
        <v>0.18240541880059474</v>
      </c>
      <c r="T28" s="32" cm="1">
        <f t="array" aca="1" ref="T28" ca="1">IFERROR(ABS(OFFSET($E$6,ROW()-ROW(Annual_Periods),MATCH(T$6,Annual_Periods,0)) /
OFFSET($E$12,0,MATCH(T$6,Annual_Periods,0))),"NA")</f>
        <v>0.377</v>
      </c>
      <c r="U28" s="32" cm="1">
        <f t="array" aca="1" ref="U28" ca="1">IFERROR(ABS(OFFSET($E$6,ROW()-ROW(Annual_Periods),MATCH(U$6,Annual_Periods,0)) /
OFFSET($E$12,0,MATCH(U$6,Annual_Periods,0))),"NA")</f>
        <v>0.37700000000000006</v>
      </c>
      <c r="V28" s="32" cm="1">
        <f t="array" aca="1" ref="V28" ca="1">IFERROR(ABS(OFFSET($E$6,ROW()-ROW(Annual_Periods),MATCH(V$6,Annual_Periods,0)) /
OFFSET($E$12,0,MATCH(V$6,Annual_Periods,0))),"NA")</f>
        <v>0.377</v>
      </c>
      <c r="W28" s="32" cm="1">
        <f t="array" aca="1" ref="W28" ca="1">IFERROR(ABS(OFFSET($E$6,ROW()-ROW(Annual_Periods),MATCH(W$6,Annual_Periods,0)) /
OFFSET($E$12,0,MATCH(W$6,Annual_Periods,0))),"NA")</f>
        <v>0.377</v>
      </c>
      <c r="X28" s="32" cm="1">
        <f t="array" aca="1" ref="X28" ca="1">IFERROR(ABS(OFFSET($E$6,ROW()-ROW(Annual_Periods),MATCH(X$6,Annual_Periods,0)) /
OFFSET($E$12,0,MATCH(X$6,Annual_Periods,0))),"NA")</f>
        <v>0.377</v>
      </c>
    </row>
    <row r="29" spans="3:30">
      <c r="D29" s="7" t="s">
        <v>14</v>
      </c>
      <c r="F29" s="11">
        <f t="shared" ref="F29:N29" ca="1" si="7">F19-F28</f>
        <v>12187</v>
      </c>
      <c r="G29" s="11">
        <f t="shared" ca="1" si="7"/>
        <v>8323</v>
      </c>
      <c r="H29" s="11">
        <f t="shared" ca="1" si="7"/>
        <v>8752</v>
      </c>
      <c r="I29" s="11">
        <f t="shared" ca="1" si="7"/>
        <v>22329</v>
      </c>
      <c r="J29" s="11">
        <f t="shared" ca="1" si="7"/>
        <v>10785.840699999993</v>
      </c>
      <c r="K29" s="11">
        <f t="shared" ca="1" si="7"/>
        <v>11109.415920999996</v>
      </c>
      <c r="L29" s="11">
        <f t="shared" ca="1" si="7"/>
        <v>11442.698398629997</v>
      </c>
      <c r="M29" s="11">
        <f t="shared" ca="1" si="7"/>
        <v>11785.979350588899</v>
      </c>
      <c r="N29" s="11">
        <f t="shared" ca="1" si="7"/>
        <v>12139.558731106565</v>
      </c>
      <c r="P29" s="34" cm="1">
        <f t="array" aca="1" ref="P29" ca="1">IFERROR(OFFSET($E$6,ROW()-ROW(Annual_Periods),MATCH(P$6,Annual_Periods,0)) /
OFFSET($E$12,0,MATCH(P$6,Annual_Periods,0)),"NA")</f>
        <v>0.15797114599401144</v>
      </c>
      <c r="Q29" s="34" cm="1">
        <f t="array" aca="1" ref="Q29" ca="1">IFERROR(OFFSET($E$6,ROW()-ROW(Annual_Periods),MATCH(Q$6,Annual_Periods,0)) /
OFFSET($E$12,0,MATCH(Q$6,Annual_Periods,0)),"NA")</f>
        <v>0.113053518065743</v>
      </c>
      <c r="R29" s="34" cm="1">
        <f t="array" aca="1" ref="R29" ca="1">IFERROR(OFFSET($E$6,ROW()-ROW(Annual_Periods),MATCH(R$6,Annual_Periods,0)) /
OFFSET($E$12,0,MATCH(R$6,Annual_Periods,0)),"NA")</f>
        <v>0.15260680034873583</v>
      </c>
      <c r="S29" s="34" cm="1">
        <f t="array" aca="1" ref="S29" ca="1">IFERROR(OFFSET($E$6,ROW()-ROW(Annual_Periods),MATCH(S$6,Annual_Periods,0)) /
OFFSET($E$12,0,MATCH(S$6,Annual_Periods,0)),"NA")</f>
        <v>0.36889145878076984</v>
      </c>
      <c r="T29" s="34" cm="1">
        <f t="array" aca="1" ref="T29" ca="1">IFERROR(OFFSET($E$6,ROW()-ROW(Annual_Periods),MATCH(T$6,Annual_Periods,0)) /
OFFSET($E$12,0,MATCH(T$6,Annual_Periods,0)),"NA")</f>
        <v>0.17299999999999988</v>
      </c>
      <c r="U29" s="34" cm="1">
        <f t="array" aca="1" ref="U29" ca="1">IFERROR(OFFSET($E$6,ROW()-ROW(Annual_Periods),MATCH(U$6,Annual_Periods,0)) /
OFFSET($E$12,0,MATCH(U$6,Annual_Periods,0)),"NA")</f>
        <v>0.17299999999999993</v>
      </c>
      <c r="V29" s="34" cm="1">
        <f t="array" aca="1" ref="V29" ca="1">IFERROR(OFFSET($E$6,ROW()-ROW(Annual_Periods),MATCH(V$6,Annual_Periods,0)) /
OFFSET($E$12,0,MATCH(V$6,Annual_Periods,0)),"NA")</f>
        <v>0.17299999999999993</v>
      </c>
      <c r="W29" s="34" cm="1">
        <f t="array" aca="1" ref="W29" ca="1">IFERROR(OFFSET($E$6,ROW()-ROW(Annual_Periods),MATCH(W$6,Annual_Periods,0)) /
OFFSET($E$12,0,MATCH(W$6,Annual_Periods,0)),"NA")</f>
        <v>0.17299999999999996</v>
      </c>
      <c r="X29" s="34" cm="1">
        <f t="array" aca="1" ref="X29" ca="1">IFERROR(OFFSET($E$6,ROW()-ROW(Annual_Periods),MATCH(X$6,Annual_Periods,0)) /
OFFSET($E$12,0,MATCH(X$6,Annual_Periods,0)),"NA")</f>
        <v>0.17299999999999996</v>
      </c>
    </row>
    <row r="30" spans="3:30">
      <c r="D30" s="9" t="s">
        <v>15</v>
      </c>
      <c r="F30" s="14">
        <f t="shared" ref="F30:N30" ca="1" si="8">IFERROR(F26/F$12,"NA")</f>
        <v>0.23650952078499488</v>
      </c>
      <c r="G30" s="14">
        <f t="shared" ca="1" si="8"/>
        <v>0.20399348003259984</v>
      </c>
      <c r="H30" s="14">
        <f t="shared" ca="1" si="8"/>
        <v>0.26448125544899737</v>
      </c>
      <c r="I30" s="14">
        <f t="shared" ca="1" si="8"/>
        <v>0.38898067074178094</v>
      </c>
      <c r="J30" s="14">
        <f t="shared" ca="1" si="8"/>
        <v>0.28299999999999986</v>
      </c>
      <c r="K30" s="14">
        <f t="shared" ca="1" si="8"/>
        <v>0.28299999999999992</v>
      </c>
      <c r="L30" s="14">
        <f t="shared" ca="1" si="8"/>
        <v>0.28299999999999992</v>
      </c>
      <c r="M30" s="14">
        <f t="shared" ca="1" si="8"/>
        <v>0.28299999999999997</v>
      </c>
      <c r="N30" s="14">
        <f t="shared" ca="1" si="8"/>
        <v>0.28299999999999992</v>
      </c>
    </row>
    <row r="31" spans="3:30">
      <c r="D31" s="9" t="s">
        <v>16</v>
      </c>
      <c r="F31" s="14">
        <f t="shared" ref="F31:M31" ca="1" si="9">IFERROR(F29/F$12,"NA")</f>
        <v>0.15797114599401144</v>
      </c>
      <c r="G31" s="14">
        <f t="shared" ca="1" si="9"/>
        <v>0.113053518065743</v>
      </c>
      <c r="H31" s="14">
        <f t="shared" ca="1" si="9"/>
        <v>0.15260680034873583</v>
      </c>
      <c r="I31" s="14">
        <f ca="1">IFERROR(I29/I$12,"NA")</f>
        <v>0.36889145878076984</v>
      </c>
      <c r="J31" s="14">
        <f t="shared" ca="1" si="9"/>
        <v>0.17299999999999988</v>
      </c>
      <c r="K31" s="14">
        <f t="shared" ca="1" si="9"/>
        <v>0.17299999999999993</v>
      </c>
      <c r="L31" s="14">
        <f t="shared" ca="1" si="9"/>
        <v>0.17299999999999993</v>
      </c>
      <c r="M31" s="14">
        <f t="shared" ca="1" si="9"/>
        <v>0.17299999999999996</v>
      </c>
      <c r="N31" s="14">
        <f ca="1">IFERROR(N29/N$12,"NA")</f>
        <v>0.17299999999999996</v>
      </c>
    </row>
    <row r="32" spans="3:30" ht="6" customHeight="1"/>
    <row r="33" spans="4:33">
      <c r="D33" s="23" t="s">
        <v>17</v>
      </c>
      <c r="F33" s="22"/>
      <c r="G33" s="22"/>
      <c r="H33" s="22"/>
      <c r="I33" s="22"/>
      <c r="J33" s="22"/>
      <c r="K33" s="22"/>
      <c r="L33" s="22"/>
      <c r="M33" s="22"/>
      <c r="N33" s="22"/>
      <c r="P33" s="22"/>
      <c r="Q33" s="22"/>
      <c r="R33" s="22"/>
      <c r="S33" s="22"/>
      <c r="T33" s="22"/>
      <c r="U33" s="22"/>
      <c r="V33" s="22"/>
      <c r="W33" s="22"/>
      <c r="X33" s="22"/>
      <c r="Z33" s="22"/>
      <c r="AA33" s="22"/>
      <c r="AB33" s="22"/>
      <c r="AC33" s="22"/>
      <c r="AD33" s="22"/>
    </row>
    <row r="34" spans="4:33">
      <c r="D34" s="8" t="s">
        <v>18</v>
      </c>
      <c r="F34" s="37">
        <v>0</v>
      </c>
      <c r="G34" s="37">
        <v>0</v>
      </c>
      <c r="H34" s="37">
        <v>0</v>
      </c>
      <c r="I34" s="37">
        <v>0</v>
      </c>
      <c r="J34" s="38">
        <v>0</v>
      </c>
      <c r="K34" s="38">
        <v>0</v>
      </c>
      <c r="L34" s="38">
        <v>0</v>
      </c>
      <c r="M34" s="38">
        <v>0</v>
      </c>
      <c r="N34" s="38">
        <v>0</v>
      </c>
      <c r="P34" s="31" cm="1">
        <f t="array" aca="1" ref="P34" ca="1">IFERROR(ABS(OFFSET($E$6,ROW()-ROW(Annual_Periods),MATCH(P$6,Annual_Periods,0)) /
OFFSET($E$12,0,MATCH(P$6,Annual_Periods,0))),"NA")</f>
        <v>0</v>
      </c>
      <c r="Q34" s="31" cm="1">
        <f t="array" aca="1" ref="Q34" ca="1">IFERROR(ABS(OFFSET($E$6,ROW()-ROW(Annual_Periods),MATCH(Q$6,Annual_Periods,0)) /
OFFSET($E$12,0,MATCH(Q$6,Annual_Periods,0))),"NA")</f>
        <v>0</v>
      </c>
      <c r="R34" s="31" cm="1">
        <f t="array" aca="1" ref="R34" ca="1">IFERROR(ABS(OFFSET($E$6,ROW()-ROW(Annual_Periods),MATCH(R$6,Annual_Periods,0)) /
OFFSET($E$12,0,MATCH(R$6,Annual_Periods,0))),"NA")</f>
        <v>0</v>
      </c>
      <c r="S34" s="31" cm="1">
        <f t="array" aca="1" ref="S34" ca="1">IFERROR(ABS(OFFSET($E$6,ROW()-ROW(Annual_Periods),MATCH(S$6,Annual_Periods,0)) /
OFFSET($E$12,0,MATCH(S$6,Annual_Periods,0))),"NA")</f>
        <v>0</v>
      </c>
      <c r="T34" s="31" cm="1">
        <f t="array" aca="1" ref="T34" ca="1">IFERROR(ABS(OFFSET($E$6,ROW()-ROW(Annual_Periods),MATCH(T$6,Annual_Periods,0)) /
OFFSET($E$12,0,MATCH(T$6,Annual_Periods,0))),"NA")</f>
        <v>0</v>
      </c>
      <c r="U34" s="31" cm="1">
        <f t="array" aca="1" ref="U34" ca="1">IFERROR(ABS(OFFSET($E$6,ROW()-ROW(Annual_Periods),MATCH(U$6,Annual_Periods,0)) /
OFFSET($E$12,0,MATCH(U$6,Annual_Periods,0))),"NA")</f>
        <v>0</v>
      </c>
      <c r="V34" s="31" cm="1">
        <f t="array" aca="1" ref="V34" ca="1">IFERROR(ABS(OFFSET($E$6,ROW()-ROW(Annual_Periods),MATCH(V$6,Annual_Periods,0)) /
OFFSET($E$12,0,MATCH(V$6,Annual_Periods,0))),"NA")</f>
        <v>0</v>
      </c>
      <c r="W34" s="31" cm="1">
        <f t="array" aca="1" ref="W34" ca="1">IFERROR(ABS(OFFSET($E$6,ROW()-ROW(Annual_Periods),MATCH(W$6,Annual_Periods,0)) /
OFFSET($E$12,0,MATCH(W$6,Annual_Periods,0))),"NA")</f>
        <v>0</v>
      </c>
      <c r="X34" s="31" cm="1">
        <f t="array" aca="1" ref="X34" ca="1">IFERROR(ABS(OFFSET($E$6,ROW()-ROW(Annual_Periods),MATCH(X$6,Annual_Periods,0)) /
OFFSET($E$12,0,MATCH(X$6,Annual_Periods,0))),"NA")</f>
        <v>0</v>
      </c>
      <c r="Z34" s="108"/>
      <c r="AA34" s="108"/>
      <c r="AB34" s="108"/>
      <c r="AC34" s="108"/>
      <c r="AD34" s="108"/>
    </row>
    <row r="35" spans="4:33">
      <c r="D35" s="8" t="s">
        <v>19</v>
      </c>
      <c r="F35" s="37">
        <v>1344</v>
      </c>
      <c r="G35" s="37">
        <v>1288</v>
      </c>
      <c r="H35" s="37">
        <v>1155</v>
      </c>
      <c r="I35" s="37">
        <v>1215</v>
      </c>
      <c r="J35" s="38">
        <f>I35*(1+Z35)</f>
        <v>1336.5</v>
      </c>
      <c r="K35" s="38">
        <f t="shared" ref="K35:N35" si="10">J35*(1+AA35)</f>
        <v>1470.15</v>
      </c>
      <c r="L35" s="38">
        <f t="shared" si="10"/>
        <v>1470.15</v>
      </c>
      <c r="M35" s="38">
        <f t="shared" si="10"/>
        <v>1470.15</v>
      </c>
      <c r="N35" s="38">
        <f t="shared" si="10"/>
        <v>1470.15</v>
      </c>
      <c r="P35" s="31" cm="1">
        <f t="array" aca="1" ref="P35" ca="1">IFERROR(ABS(OFFSET($E$6,ROW()-ROW(Annual_Periods),MATCH(P$6,Annual_Periods,0)) /
OFFSET($E$12,0,MATCH(P$6,Annual_Periods,0))),"NA")</f>
        <v>1.742128663460666E-2</v>
      </c>
      <c r="Q35" s="31" cm="1">
        <f t="array" aca="1" ref="Q35" ca="1">IFERROR(ABS(OFFSET($E$6,ROW()-ROW(Annual_Periods),MATCH(Q$6,Annual_Periods,0)) /
OFFSET($E$12,0,MATCH(Q$6,Annual_Periods,0))),"NA")</f>
        <v>1.7495245857104047E-2</v>
      </c>
      <c r="R35" s="31" cm="1">
        <f t="array" aca="1" ref="R35" ca="1">IFERROR(ABS(OFFSET($E$6,ROW()-ROW(Annual_Periods),MATCH(R$6,Annual_Periods,0)) /
OFFSET($E$12,0,MATCH(R$6,Annual_Periods,0))),"NA")</f>
        <v>2.0139494333042719E-2</v>
      </c>
      <c r="S35" s="31" cm="1">
        <f t="array" aca="1" ref="S35" ca="1">IFERROR(ABS(OFFSET($E$6,ROW()-ROW(Annual_Periods),MATCH(S$6,Annual_Periods,0)) /
OFFSET($E$12,0,MATCH(S$6,Annual_Periods,0))),"NA")</f>
        <v>2.0072691227490502E-2</v>
      </c>
      <c r="T35" s="31" cm="1">
        <f t="array" aca="1" ref="T35" ca="1">IFERROR(ABS(OFFSET($E$6,ROW()-ROW(Annual_Periods),MATCH(T$6,Annual_Periods,0)) /
OFFSET($E$12,0,MATCH(T$6,Annual_Periods,0))),"NA")</f>
        <v>2.1436854708970436E-2</v>
      </c>
      <c r="U35" s="31" cm="1">
        <f t="array" aca="1" ref="U35" ca="1">IFERROR(ABS(OFFSET($E$6,ROW()-ROW(Annual_Periods),MATCH(U$6,Annual_Periods,0)) /
OFFSET($E$12,0,MATCH(U$6,Annual_Periods,0))),"NA")</f>
        <v>2.289372832996843E-2</v>
      </c>
      <c r="V35" s="31" cm="1">
        <f t="array" aca="1" ref="V35" ca="1">IFERROR(ABS(OFFSET($E$6,ROW()-ROW(Annual_Periods),MATCH(V$6,Annual_Periods,0)) /
OFFSET($E$12,0,MATCH(V$6,Annual_Periods,0))),"NA")</f>
        <v>2.2226920708707212E-2</v>
      </c>
      <c r="W35" s="31" cm="1">
        <f t="array" aca="1" ref="W35" ca="1">IFERROR(ABS(OFFSET($E$6,ROW()-ROW(Annual_Periods),MATCH(W$6,Annual_Periods,0)) /
OFFSET($E$12,0,MATCH(W$6,Annual_Periods,0))),"NA")</f>
        <v>2.1579534668647777E-2</v>
      </c>
      <c r="X35" s="31" cm="1">
        <f t="array" aca="1" ref="X35" ca="1">IFERROR(ABS(OFFSET($E$6,ROW()-ROW(Annual_Periods),MATCH(X$6,Annual_Periods,0)) /
OFFSET($E$12,0,MATCH(X$6,Annual_Periods,0))),"NA")</f>
        <v>2.0951004532667745E-2</v>
      </c>
      <c r="Z35" s="108">
        <v>0.1</v>
      </c>
      <c r="AA35" s="108">
        <v>0.1</v>
      </c>
      <c r="AB35" s="108">
        <v>0</v>
      </c>
      <c r="AC35" s="108">
        <v>0</v>
      </c>
      <c r="AD35" s="108">
        <v>0</v>
      </c>
    </row>
    <row r="36" spans="4:33">
      <c r="D36" s="8" t="s">
        <v>17</v>
      </c>
      <c r="F36" s="37">
        <v>-1028</v>
      </c>
      <c r="G36" s="37">
        <v>-1951</v>
      </c>
      <c r="H36" s="37">
        <v>-2026</v>
      </c>
      <c r="I36" s="37">
        <v>-13723</v>
      </c>
      <c r="J36" s="38">
        <v>-873</v>
      </c>
      <c r="K36" s="38">
        <v>-873</v>
      </c>
      <c r="L36" s="38">
        <v>-873</v>
      </c>
      <c r="M36" s="38">
        <v>-873</v>
      </c>
      <c r="N36" s="38">
        <v>-873</v>
      </c>
      <c r="P36" s="31" cm="1">
        <f t="array" aca="1" ref="P36" ca="1">IFERROR(ABS(OFFSET($E$6,ROW()-ROW(Annual_Periods),MATCH(P$6,Annual_Periods,0)) /
OFFSET($E$12,0,MATCH(P$6,Annual_Periods,0))),"NA")</f>
        <v>1.3325210312779499E-2</v>
      </c>
      <c r="Q36" s="31" cm="1">
        <f t="array" aca="1" ref="Q36" ca="1">IFERROR(ABS(OFFSET($E$6,ROW()-ROW(Annual_Periods),MATCH(Q$6,Annual_Periods,0)) /
OFFSET($E$12,0,MATCH(Q$6,Annual_Periods,0))),"NA")</f>
        <v>2.650095082857919E-2</v>
      </c>
      <c r="R36" s="31" cm="1">
        <f t="array" aca="1" ref="R36" ca="1">IFERROR(ABS(OFFSET($E$6,ROW()-ROW(Annual_Periods),MATCH(R$6,Annual_Periods,0)) /
OFFSET($E$12,0,MATCH(R$6,Annual_Periods,0))),"NA")</f>
        <v>3.5326939843068873E-2</v>
      </c>
      <c r="S36" s="31" cm="1">
        <f t="array" aca="1" ref="S36" ca="1">IFERROR(ABS(OFFSET($E$6,ROW()-ROW(Annual_Periods),MATCH(S$6,Annual_Periods,0)) /
OFFSET($E$12,0,MATCH(S$6,Annual_Periods,0))),"NA")</f>
        <v>0.22671402610275895</v>
      </c>
      <c r="T36" s="31" cm="1">
        <f t="array" aca="1" ref="T36" ca="1">IFERROR(ABS(OFFSET($E$6,ROW()-ROW(Annual_Periods),MATCH(T$6,Annual_Periods,0)) /
OFFSET($E$12,0,MATCH(T$6,Annual_Periods,0))),"NA")</f>
        <v>1.4002524624714695E-2</v>
      </c>
      <c r="U36" s="31" cm="1">
        <f t="array" aca="1" ref="U36" ca="1">IFERROR(ABS(OFFSET($E$6,ROW()-ROW(Annual_Periods),MATCH(U$6,Annual_Periods,0)) /
OFFSET($E$12,0,MATCH(U$6,Annual_Periods,0))),"NA")</f>
        <v>1.3594684101664754E-2</v>
      </c>
      <c r="V36" s="31" cm="1">
        <f t="array" aca="1" ref="V36" ca="1">IFERROR(ABS(OFFSET($E$6,ROW()-ROW(Annual_Periods),MATCH(V$6,Annual_Periods,0)) /
OFFSET($E$12,0,MATCH(V$6,Annual_Periods,0))),"NA")</f>
        <v>1.3198722428800732E-2</v>
      </c>
      <c r="W36" s="31" cm="1">
        <f t="array" aca="1" ref="W36" ca="1">IFERROR(ABS(OFFSET($E$6,ROW()-ROW(Annual_Periods),MATCH(W$6,Annual_Periods,0)) /
OFFSET($E$12,0,MATCH(W$6,Annual_Periods,0))),"NA")</f>
        <v>1.2814293620194884E-2</v>
      </c>
      <c r="X36" s="31" cm="1">
        <f t="array" aca="1" ref="X36" ca="1">IFERROR(ABS(OFFSET($E$6,ROW()-ROW(Annual_Periods),MATCH(X$6,Annual_Periods,0)) /
OFFSET($E$12,0,MATCH(X$6,Annual_Periods,0))),"NA")</f>
        <v>1.24410617671795E-2</v>
      </c>
      <c r="Z36" s="108"/>
      <c r="AA36" s="108"/>
      <c r="AB36" s="108"/>
      <c r="AC36" s="108"/>
      <c r="AD36" s="108"/>
    </row>
    <row r="37" spans="4:33">
      <c r="D37" s="3" t="s">
        <v>20</v>
      </c>
      <c r="F37" s="10">
        <f ca="1">SUBTOTAL(9,OFFSET(F33,1,0):OFFSET(F37,-1,0))</f>
        <v>316</v>
      </c>
      <c r="G37" s="10">
        <f ca="1">SUBTOTAL(9,OFFSET(G33,1,0):OFFSET(G37,-1,0))</f>
        <v>-663</v>
      </c>
      <c r="H37" s="10">
        <f ca="1">SUBTOTAL(9,OFFSET(H33,1,0):OFFSET(H37,-1,0))</f>
        <v>-871</v>
      </c>
      <c r="I37" s="10">
        <f ca="1">SUBTOTAL(9,OFFSET(I33,1,0):OFFSET(I37,-1,0))</f>
        <v>-12508</v>
      </c>
      <c r="J37" s="10">
        <f ca="1">SUBTOTAL(9,OFFSET(J33,1,0):OFFSET(J37,-1,0))</f>
        <v>463.5</v>
      </c>
      <c r="K37" s="10">
        <f ca="1">SUBTOTAL(9,OFFSET(K33,1,0):OFFSET(K37,-1,0))</f>
        <v>597.15000000000009</v>
      </c>
      <c r="L37" s="10">
        <f ca="1">SUBTOTAL(9,OFFSET(L33,1,0):OFFSET(L37,-1,0))</f>
        <v>597.15000000000009</v>
      </c>
      <c r="M37" s="10">
        <f ca="1">SUBTOTAL(9,OFFSET(M33,1,0):OFFSET(M37,-1,0))</f>
        <v>597.15000000000009</v>
      </c>
      <c r="N37" s="10">
        <f ca="1">SUBTOTAL(9,OFFSET(N33,1,0):OFFSET(N37,-1,0))</f>
        <v>597.15000000000009</v>
      </c>
      <c r="P37" s="32" cm="1">
        <f t="array" aca="1" ref="P37" ca="1">IFERROR(ABS(OFFSET($E$6,ROW()-ROW(Annual_Periods),MATCH(P$6,Annual_Periods,0)) /
OFFSET($E$12,0,MATCH(P$6,Annual_Periods,0))),"NA")</f>
        <v>4.096076321827161E-3</v>
      </c>
      <c r="Q37" s="32" cm="1">
        <f t="array" aca="1" ref="Q37" ca="1">IFERROR(ABS(OFFSET($E$6,ROW()-ROW(Annual_Periods),MATCH(Q$6,Annual_Periods,0)) /
OFFSET($E$12,0,MATCH(Q$6,Annual_Periods,0))),"NA")</f>
        <v>9.0057049714751432E-3</v>
      </c>
      <c r="R37" s="32" cm="1">
        <f t="array" aca="1" ref="R37" ca="1">IFERROR(ABS(OFFSET($E$6,ROW()-ROW(Annual_Periods),MATCH(R$6,Annual_Periods,0)) /
OFFSET($E$12,0,MATCH(R$6,Annual_Periods,0))),"NA")</f>
        <v>1.5187445510026156E-2</v>
      </c>
      <c r="S37" s="32" cm="1">
        <f t="array" aca="1" ref="S37" ca="1">IFERROR(ABS(OFFSET($E$6,ROW()-ROW(Annual_Periods),MATCH(S$6,Annual_Periods,0)) /
OFFSET($E$12,0,MATCH(S$6,Annual_Periods,0))),"NA")</f>
        <v>0.20664133487526845</v>
      </c>
      <c r="T37" s="32" cm="1">
        <f t="array" aca="1" ref="T37" ca="1">IFERROR(ABS(OFFSET($E$6,ROW()-ROW(Annual_Periods),MATCH(T$6,Annual_Periods,0)) /
OFFSET($E$12,0,MATCH(T$6,Annual_Periods,0))),"NA")</f>
        <v>7.4343300842557407E-3</v>
      </c>
      <c r="U37" s="32" cm="1">
        <f t="array" aca="1" ref="U37" ca="1">IFERROR(ABS(OFFSET($E$6,ROW()-ROW(Annual_Periods),MATCH(U$6,Annual_Periods,0)) /
OFFSET($E$12,0,MATCH(U$6,Annual_Periods,0))),"NA")</f>
        <v>9.2990442283036757E-3</v>
      </c>
      <c r="V37" s="32" cm="1">
        <f t="array" aca="1" ref="V37" ca="1">IFERROR(ABS(OFFSET($E$6,ROW()-ROW(Annual_Periods),MATCH(V$6,Annual_Periods,0)) /
OFFSET($E$12,0,MATCH(V$6,Annual_Periods,0))),"NA")</f>
        <v>9.0281982799064811E-3</v>
      </c>
      <c r="W37" s="32" cm="1">
        <f t="array" aca="1" ref="W37" ca="1">IFERROR(ABS(OFFSET($E$6,ROW()-ROW(Annual_Periods),MATCH(W$6,Annual_Periods,0)) /
OFFSET($E$12,0,MATCH(W$6,Annual_Periods,0))),"NA")</f>
        <v>8.7652410484528927E-3</v>
      </c>
      <c r="X37" s="32" cm="1">
        <f t="array" aca="1" ref="X37" ca="1">IFERROR(ABS(OFFSET($E$6,ROW()-ROW(Annual_Periods),MATCH(X$6,Annual_Periods,0)) /
OFFSET($E$12,0,MATCH(X$6,Annual_Periods,0))),"NA")</f>
        <v>8.5099427654882469E-3</v>
      </c>
    </row>
    <row r="38" spans="4:33">
      <c r="D38" s="7" t="s">
        <v>21</v>
      </c>
      <c r="F38" s="11">
        <f ca="1">F29+F37</f>
        <v>12503</v>
      </c>
      <c r="G38" s="11">
        <f t="shared" ref="G38:N38" ca="1" si="11">G29+G37</f>
        <v>7660</v>
      </c>
      <c r="H38" s="11">
        <f t="shared" ca="1" si="11"/>
        <v>7881</v>
      </c>
      <c r="I38" s="11">
        <f ca="1">I29+I37</f>
        <v>9821</v>
      </c>
      <c r="J38" s="11">
        <f t="shared" ca="1" si="11"/>
        <v>11249.340699999993</v>
      </c>
      <c r="K38" s="11">
        <f t="shared" ca="1" si="11"/>
        <v>11706.565920999996</v>
      </c>
      <c r="L38" s="11">
        <f t="shared" ca="1" si="11"/>
        <v>12039.848398629996</v>
      </c>
      <c r="M38" s="11">
        <f t="shared" ca="1" si="11"/>
        <v>12383.129350588899</v>
      </c>
      <c r="N38" s="11">
        <f t="shared" ca="1" si="11"/>
        <v>12736.708731106564</v>
      </c>
      <c r="P38" s="34" cm="1">
        <f t="array" aca="1" ref="P38" ca="1">IFERROR(OFFSET($E$6,ROW()-ROW(Annual_Periods),MATCH(P$6,Annual_Periods,0)) /
OFFSET($E$12,0,MATCH(P$6,Annual_Periods,0)),"NA")</f>
        <v>0.16206722231583859</v>
      </c>
      <c r="Q38" s="34" cm="1">
        <f t="array" aca="1" ref="Q38" ca="1">IFERROR(OFFSET($E$6,ROW()-ROW(Annual_Periods),MATCH(Q$6,Annual_Periods,0)) /
OFFSET($E$12,0,MATCH(Q$6,Annual_Periods,0)),"NA")</f>
        <v>0.10404781309426786</v>
      </c>
      <c r="R38" s="34" cm="1">
        <f t="array" aca="1" ref="R38" ca="1">IFERROR(OFFSET($E$6,ROW()-ROW(Annual_Periods),MATCH(R$6,Annual_Periods,0)) /
OFFSET($E$12,0,MATCH(R$6,Annual_Periods,0)),"NA")</f>
        <v>0.13741935483870968</v>
      </c>
      <c r="S38" s="34" cm="1">
        <f t="array" aca="1" ref="S38" ca="1">IFERROR(OFFSET($E$6,ROW()-ROW(Annual_Periods),MATCH(S$6,Annual_Periods,0)) /
OFFSET($E$12,0,MATCH(S$6,Annual_Periods,0)),"NA")</f>
        <v>0.16225012390550139</v>
      </c>
      <c r="T38" s="34" cm="1">
        <f t="array" aca="1" ref="T38" ca="1">IFERROR(OFFSET($E$6,ROW()-ROW(Annual_Periods),MATCH(T$6,Annual_Periods,0)) /
OFFSET($E$12,0,MATCH(T$6,Annual_Periods,0)),"NA")</f>
        <v>0.18043433008425563</v>
      </c>
      <c r="U38" s="34" cm="1">
        <f t="array" aca="1" ref="U38" ca="1">IFERROR(OFFSET($E$6,ROW()-ROW(Annual_Periods),MATCH(U$6,Annual_Periods,0)) /
OFFSET($E$12,0,MATCH(U$6,Annual_Periods,0)),"NA")</f>
        <v>0.18229904422830359</v>
      </c>
      <c r="V38" s="34" cm="1">
        <f t="array" aca="1" ref="V38" ca="1">IFERROR(OFFSET($E$6,ROW()-ROW(Annual_Periods),MATCH(V$6,Annual_Periods,0)) /
OFFSET($E$12,0,MATCH(V$6,Annual_Periods,0)),"NA")</f>
        <v>0.18202819827990641</v>
      </c>
      <c r="W38" s="34" cm="1">
        <f t="array" aca="1" ref="W38" ca="1">IFERROR(OFFSET($E$6,ROW()-ROW(Annual_Periods),MATCH(W$6,Annual_Periods,0)) /
OFFSET($E$12,0,MATCH(W$6,Annual_Periods,0)),"NA")</f>
        <v>0.18176524104845285</v>
      </c>
      <c r="X38" s="34" cm="1">
        <f t="array" aca="1" ref="X38" ca="1">IFERROR(OFFSET($E$6,ROW()-ROW(Annual_Periods),MATCH(X$6,Annual_Periods,0)) /
OFFSET($E$12,0,MATCH(X$6,Annual_Periods,0)),"NA")</f>
        <v>0.18150994276548821</v>
      </c>
    </row>
    <row r="39" spans="4:33" ht="6" customHeight="1"/>
    <row r="40" spans="4:33">
      <c r="D40" s="23" t="s">
        <v>22</v>
      </c>
      <c r="F40" s="22"/>
      <c r="G40" s="22"/>
      <c r="H40" s="22"/>
      <c r="I40" s="22"/>
      <c r="J40" s="22"/>
      <c r="K40" s="22"/>
      <c r="L40" s="22"/>
      <c r="M40" s="22"/>
      <c r="N40" s="22"/>
      <c r="P40" s="22"/>
      <c r="Q40" s="22"/>
      <c r="R40" s="22"/>
      <c r="S40" s="22"/>
      <c r="T40" s="22"/>
      <c r="U40" s="22"/>
      <c r="V40" s="22"/>
      <c r="W40" s="22"/>
      <c r="X40" s="22"/>
      <c r="Z40" s="22"/>
      <c r="AA40" s="22"/>
      <c r="AB40" s="22"/>
      <c r="AC40" s="22"/>
      <c r="AD40" s="22"/>
    </row>
    <row r="41" spans="4:33">
      <c r="D41" s="8" t="s">
        <v>182</v>
      </c>
      <c r="F41" s="37">
        <v>-1067</v>
      </c>
      <c r="G41" s="37">
        <v>630</v>
      </c>
      <c r="H41" s="37">
        <v>-706</v>
      </c>
      <c r="I41" s="37">
        <v>-1495</v>
      </c>
      <c r="J41" s="37">
        <f ca="1">J38*-$AB$46</f>
        <v>-2587.3483609999985</v>
      </c>
      <c r="K41" s="37">
        <f t="shared" ref="K41:N41" ca="1" si="12">K38*-$AB$46</f>
        <v>-2692.5101618299991</v>
      </c>
      <c r="L41" s="37">
        <f t="shared" ca="1" si="12"/>
        <v>-2769.1651316848993</v>
      </c>
      <c r="M41" s="37">
        <f t="shared" ca="1" si="12"/>
        <v>-2848.119750635447</v>
      </c>
      <c r="N41" s="37">
        <f t="shared" ca="1" si="12"/>
        <v>-2929.4430081545097</v>
      </c>
      <c r="P41" s="31" cm="1">
        <f t="array" aca="1" ref="P41" ca="1">IFERROR(ABS(OFFSET($E$6,ROW()-ROW(Annual_Periods),MATCH(P$6,Annual_Periods,0)) /
OFFSET($E$12,0,MATCH(P$6,Annual_Periods,0))),"NA")</f>
        <v>1.3830738719587281E-2</v>
      </c>
      <c r="Q41" s="31" cm="1">
        <f t="array" aca="1" ref="Q41" ca="1">IFERROR(ABS(OFFSET($E$6,ROW()-ROW(Annual_Periods),MATCH(Q$6,Annual_Periods,0)) /
OFFSET($E$12,0,MATCH(Q$6,Annual_Periods,0))),"NA")</f>
        <v>8.557457212713936E-3</v>
      </c>
      <c r="R41" s="31" cm="1">
        <f t="array" aca="1" ref="R41" ca="1">IFERROR(ABS(OFFSET($E$6,ROW()-ROW(Annual_Periods),MATCH(R$6,Annual_Periods,0)) /
OFFSET($E$12,0,MATCH(R$6,Annual_Periods,0))),"NA")</f>
        <v>1.2310374891020052E-2</v>
      </c>
      <c r="S41" s="31" cm="1">
        <f t="array" aca="1" ref="S41" ca="1">IFERROR(ABS(OFFSET($E$6,ROW()-ROW(Annual_Periods),MATCH(S$6,Annual_Periods,0)) /
OFFSET($E$12,0,MATCH(S$6,Annual_Periods,0))),"NA")</f>
        <v>2.4698496613249629E-2</v>
      </c>
      <c r="T41" s="31" cm="1">
        <f t="array" aca="1" ref="T41" ca="1">IFERROR(ABS(OFFSET($E$6,ROW()-ROW(Annual_Periods),MATCH(T$6,Annual_Periods,0)) /
OFFSET($E$12,0,MATCH(T$6,Annual_Periods,0))),"NA")</f>
        <v>4.1499895919378797E-2</v>
      </c>
      <c r="U41" s="31" cm="1">
        <f t="array" aca="1" ref="U41" ca="1">IFERROR(ABS(OFFSET($E$6,ROW()-ROW(Annual_Periods),MATCH(U$6,Annual_Periods,0)) /
OFFSET($E$12,0,MATCH(U$6,Annual_Periods,0))),"NA")</f>
        <v>4.1928780172509832E-2</v>
      </c>
      <c r="V41" s="31" cm="1">
        <f t="array" aca="1" ref="V41" ca="1">IFERROR(ABS(OFFSET($E$6,ROW()-ROW(Annual_Periods),MATCH(V$6,Annual_Periods,0)) /
OFFSET($E$12,0,MATCH(V$6,Annual_Periods,0))),"NA")</f>
        <v>4.186648560437848E-2</v>
      </c>
      <c r="W41" s="31" cm="1">
        <f t="array" aca="1" ref="W41" ca="1">IFERROR(ABS(OFFSET($E$6,ROW()-ROW(Annual_Periods),MATCH(W$6,Annual_Periods,0)) /
OFFSET($E$12,0,MATCH(W$6,Annual_Periods,0))),"NA")</f>
        <v>4.1806005441144163E-2</v>
      </c>
      <c r="X41" s="31" cm="1">
        <f t="array" aca="1" ref="X41" ca="1">IFERROR(ABS(OFFSET($E$6,ROW()-ROW(Annual_Periods),MATCH(X$6,Annual_Periods,0)) /
OFFSET($E$12,0,MATCH(X$6,Annual_Periods,0))),"NA")</f>
        <v>4.1747286836062283E-2</v>
      </c>
      <c r="Z41" s="108"/>
      <c r="AA41" s="108"/>
      <c r="AB41" s="108"/>
      <c r="AC41" s="108"/>
      <c r="AD41" s="108"/>
    </row>
    <row r="42" spans="4:33">
      <c r="D42" s="7" t="s">
        <v>282</v>
      </c>
      <c r="F42" s="11">
        <f t="shared" ref="F42:N42" ca="1" si="13">F38+F41</f>
        <v>11436</v>
      </c>
      <c r="G42" s="11">
        <f t="shared" ca="1" si="13"/>
        <v>8290</v>
      </c>
      <c r="H42" s="11">
        <f t="shared" ca="1" si="13"/>
        <v>7175</v>
      </c>
      <c r="I42" s="11">
        <f t="shared" ca="1" si="13"/>
        <v>8326</v>
      </c>
      <c r="J42" s="11">
        <f ca="1">J38+J41</f>
        <v>8661.9923389999949</v>
      </c>
      <c r="K42" s="11">
        <f t="shared" ca="1" si="13"/>
        <v>9014.0557591699962</v>
      </c>
      <c r="L42" s="11">
        <f t="shared" ca="1" si="13"/>
        <v>9270.683266945096</v>
      </c>
      <c r="M42" s="11">
        <f t="shared" ca="1" si="13"/>
        <v>9535.0095999534515</v>
      </c>
      <c r="N42" s="11">
        <f t="shared" ca="1" si="13"/>
        <v>9807.2657229520555</v>
      </c>
      <c r="P42" s="34" cm="1">
        <f t="array" aca="1" ref="P42" ca="1">IFERROR(OFFSET($E$6,ROW()-ROW(Annual_Periods),MATCH(P$6,Annual_Periods,0)) /
OFFSET($E$12,0,MATCH(P$6,Annual_Periods,0)),"NA")</f>
        <v>0.1482364835962513</v>
      </c>
      <c r="Q42" s="34" cm="1">
        <f t="array" aca="1" ref="Q42" ca="1">IFERROR(OFFSET($E$6,ROW()-ROW(Annual_Periods),MATCH(Q$6,Annual_Periods,0)) /
OFFSET($E$12,0,MATCH(Q$6,Annual_Periods,0)),"NA")</f>
        <v>0.11260527030698179</v>
      </c>
      <c r="R42" s="34" cm="1">
        <f t="array" aca="1" ref="R42" ca="1">IFERROR(OFFSET($E$6,ROW()-ROW(Annual_Periods),MATCH(R$6,Annual_Periods,0)) /
OFFSET($E$12,0,MATCH(R$6,Annual_Periods,0)),"NA")</f>
        <v>0.12510897994768963</v>
      </c>
      <c r="S42" s="34" cm="1">
        <f t="array" aca="1" ref="S42" ca="1">IFERROR(OFFSET($E$6,ROW()-ROW(Annual_Periods),MATCH(S$6,Annual_Periods,0)) /
OFFSET($E$12,0,MATCH(S$6,Annual_Periods,0)),"NA")</f>
        <v>0.13755162729225179</v>
      </c>
      <c r="T42" s="34" cm="1">
        <f t="array" aca="1" ref="T42" ca="1">IFERROR(OFFSET($E$6,ROW()-ROW(Annual_Periods),MATCH(T$6,Annual_Periods,0)) /
OFFSET($E$12,0,MATCH(T$6,Annual_Periods,0)),"NA")</f>
        <v>0.13893443416487683</v>
      </c>
      <c r="U42" s="34" cm="1">
        <f t="array" aca="1" ref="U42" ca="1">IFERROR(OFFSET($E$6,ROW()-ROW(Annual_Periods),MATCH(U$6,Annual_Periods,0)) /
OFFSET($E$12,0,MATCH(U$6,Annual_Periods,0)),"NA")</f>
        <v>0.14037026405579375</v>
      </c>
      <c r="V42" s="34" cm="1">
        <f t="array" aca="1" ref="V42" ca="1">IFERROR(OFFSET($E$6,ROW()-ROW(Annual_Periods),MATCH(V$6,Annual_Periods,0)) /
OFFSET($E$12,0,MATCH(V$6,Annual_Periods,0)),"NA")</f>
        <v>0.14016171267552793</v>
      </c>
      <c r="W42" s="34" cm="1">
        <f t="array" aca="1" ref="W42" ca="1">IFERROR(OFFSET($E$6,ROW()-ROW(Annual_Periods),MATCH(W$6,Annual_Periods,0)) /
OFFSET($E$12,0,MATCH(W$6,Annual_Periods,0)),"NA")</f>
        <v>0.13995923560730869</v>
      </c>
      <c r="X42" s="34" cm="1">
        <f t="array" aca="1" ref="X42" ca="1">IFERROR(OFFSET($E$6,ROW()-ROW(Annual_Periods),MATCH(X$6,Annual_Periods,0)) /
OFFSET($E$12,0,MATCH(X$6,Annual_Periods,0)),"NA")</f>
        <v>0.13976265592942594</v>
      </c>
      <c r="AG42" s="494"/>
    </row>
    <row r="43" spans="4:33">
      <c r="D43" s="9" t="s">
        <v>24</v>
      </c>
      <c r="F43" s="14">
        <f t="shared" ref="F43:M43" ca="1" si="14">IFERROR(F42/F$12,"NA")</f>
        <v>0.1482364835962513</v>
      </c>
      <c r="G43" s="14">
        <f t="shared" ca="1" si="14"/>
        <v>0.11260527030698179</v>
      </c>
      <c r="H43" s="14">
        <f t="shared" ca="1" si="14"/>
        <v>0.12510897994768963</v>
      </c>
      <c r="I43" s="14">
        <f t="shared" ca="1" si="14"/>
        <v>0.13755162729225179</v>
      </c>
      <c r="J43" s="14">
        <f t="shared" ca="1" si="14"/>
        <v>0.13893443416487683</v>
      </c>
      <c r="K43" s="14">
        <f t="shared" ca="1" si="14"/>
        <v>0.14037026405579375</v>
      </c>
      <c r="L43" s="14">
        <f t="shared" ca="1" si="14"/>
        <v>0.14016171267552793</v>
      </c>
      <c r="M43" s="14">
        <f t="shared" ca="1" si="14"/>
        <v>0.13995923560730869</v>
      </c>
      <c r="N43" s="14">
        <f ca="1">IFERROR(N42/N$12,"NA")</f>
        <v>0.13976265592942594</v>
      </c>
    </row>
    <row r="44" spans="4:33" ht="6" customHeight="1"/>
    <row r="45" spans="4:33">
      <c r="D45" s="23" t="s">
        <v>25</v>
      </c>
      <c r="F45" s="22"/>
      <c r="G45" s="22"/>
      <c r="H45" s="22"/>
      <c r="I45" s="22"/>
      <c r="J45" s="22"/>
      <c r="K45" s="22"/>
      <c r="L45" s="22"/>
      <c r="M45" s="22"/>
      <c r="N45" s="22"/>
    </row>
    <row r="46" spans="4:33">
      <c r="D46" s="90" t="s">
        <v>26</v>
      </c>
      <c r="F46" s="89">
        <v>8728</v>
      </c>
      <c r="G46" s="89">
        <f t="shared" ref="G46:N46" ca="1" si="15">OFFSET(G49,0,-1)</f>
        <v>162959</v>
      </c>
      <c r="H46" s="89">
        <f t="shared" ca="1" si="15"/>
        <v>162717</v>
      </c>
      <c r="I46" s="89">
        <f t="shared" ca="1" si="15"/>
        <v>154209</v>
      </c>
      <c r="J46" s="89">
        <f t="shared" ca="1" si="15"/>
        <v>149825</v>
      </c>
      <c r="K46" s="89">
        <f t="shared" ca="1" si="15"/>
        <v>160074.3407</v>
      </c>
      <c r="L46" s="89">
        <f t="shared" ca="1" si="15"/>
        <v>170780.906621</v>
      </c>
      <c r="M46" s="89">
        <f t="shared" ca="1" si="15"/>
        <v>181820.75501962999</v>
      </c>
      <c r="N46" s="89">
        <f t="shared" ca="1" si="15"/>
        <v>193203.88437021888</v>
      </c>
      <c r="AA46" s="2" t="s">
        <v>302</v>
      </c>
      <c r="AB46" s="492">
        <v>0.23</v>
      </c>
    </row>
    <row r="47" spans="4:33">
      <c r="D47" s="90" t="s">
        <v>23</v>
      </c>
      <c r="F47" s="89">
        <f t="shared" ref="F47:N47" ca="1" si="16">F$42</f>
        <v>11436</v>
      </c>
      <c r="G47" s="89">
        <f t="shared" ca="1" si="16"/>
        <v>8290</v>
      </c>
      <c r="H47" s="89">
        <f t="shared" ca="1" si="16"/>
        <v>7175</v>
      </c>
      <c r="I47" s="89">
        <f t="shared" ca="1" si="16"/>
        <v>8326</v>
      </c>
      <c r="J47" s="89">
        <f t="shared" ca="1" si="16"/>
        <v>8661.9923389999949</v>
      </c>
      <c r="K47" s="89">
        <f t="shared" ca="1" si="16"/>
        <v>9014.0557591699962</v>
      </c>
      <c r="L47" s="89">
        <f t="shared" ca="1" si="16"/>
        <v>9270.683266945096</v>
      </c>
      <c r="M47" s="89">
        <f t="shared" ca="1" si="16"/>
        <v>9535.0095999534515</v>
      </c>
      <c r="N47" s="89">
        <f t="shared" ca="1" si="16"/>
        <v>9807.2657229520555</v>
      </c>
    </row>
    <row r="48" spans="4:33">
      <c r="D48" s="9" t="s">
        <v>283</v>
      </c>
      <c r="F48" s="92">
        <f ca="1">F49-F47-F46</f>
        <v>142795</v>
      </c>
      <c r="G48" s="92">
        <f ca="1">G49-G47-G46</f>
        <v>-8532</v>
      </c>
      <c r="H48" s="92">
        <f ca="1">H49-H47-H46</f>
        <v>-15683</v>
      </c>
      <c r="I48" s="92">
        <f ca="1">I49-I47-I46</f>
        <v>-12710</v>
      </c>
      <c r="J48" s="92">
        <f t="shared" ref="J48:N48" ca="1" si="17">J49-J47-J46</f>
        <v>-12710</v>
      </c>
      <c r="K48" s="92">
        <f t="shared" ca="1" si="17"/>
        <v>-12710</v>
      </c>
      <c r="L48" s="92">
        <f t="shared" ca="1" si="17"/>
        <v>-12710</v>
      </c>
      <c r="M48" s="92">
        <f t="shared" ca="1" si="17"/>
        <v>-12710</v>
      </c>
      <c r="N48" s="92">
        <f t="shared" ca="1" si="17"/>
        <v>-12710</v>
      </c>
    </row>
    <row r="49" spans="1:17">
      <c r="D49" s="96" t="s">
        <v>27</v>
      </c>
      <c r="F49" s="11">
        <f>F$93</f>
        <v>162959</v>
      </c>
      <c r="G49" s="11">
        <f>G$93</f>
        <v>162717</v>
      </c>
      <c r="H49" s="11">
        <f>H$93</f>
        <v>154209</v>
      </c>
      <c r="I49" s="11">
        <f>I$93</f>
        <v>149825</v>
      </c>
      <c r="J49" s="11">
        <f ca="1">SUBTOTAL(9,OFFSET(J45,1,0):OFFSET(J49,-1,0))</f>
        <v>160074.3407</v>
      </c>
      <c r="K49" s="11">
        <f ca="1">SUBTOTAL(9,OFFSET(K45,1,0):OFFSET(K49,-1,0))</f>
        <v>170780.906621</v>
      </c>
      <c r="L49" s="11">
        <f ca="1">SUBTOTAL(9,OFFSET(L45,1,0):OFFSET(L49,-1,0))</f>
        <v>181820.75501962999</v>
      </c>
      <c r="M49" s="11">
        <f ca="1">SUBTOTAL(9,OFFSET(M45,1,0):OFFSET(M49,-1,0))</f>
        <v>193203.88437021888</v>
      </c>
      <c r="N49" s="11">
        <f ca="1">SUBTOTAL(9,OFFSET(N45,1,0):OFFSET(N49,-1,0))</f>
        <v>204940.59310132544</v>
      </c>
    </row>
    <row r="50" spans="1:17" ht="6" customHeight="1">
      <c r="D50" s="18"/>
    </row>
    <row r="51" spans="1:17">
      <c r="A51" s="98" t="s">
        <v>2</v>
      </c>
      <c r="B51" s="495" t="s">
        <v>55</v>
      </c>
      <c r="D51" s="12" t="s">
        <v>56</v>
      </c>
      <c r="F51" s="13"/>
      <c r="G51" s="13"/>
      <c r="H51" s="13"/>
      <c r="I51" s="13"/>
      <c r="J51" s="13"/>
      <c r="K51" s="13"/>
      <c r="L51" s="13"/>
      <c r="M51" s="13"/>
      <c r="N51" s="13"/>
    </row>
    <row r="52" spans="1:17">
      <c r="B52" s="495"/>
      <c r="D52" s="24" t="s">
        <v>57</v>
      </c>
      <c r="F52" s="22"/>
      <c r="G52" s="22"/>
      <c r="H52" s="22"/>
      <c r="I52" s="22"/>
      <c r="J52" s="22"/>
      <c r="K52" s="22"/>
      <c r="L52" s="22"/>
      <c r="M52" s="22"/>
      <c r="N52" s="22"/>
    </row>
    <row r="53" spans="1:17">
      <c r="D53" s="15" t="s">
        <v>58</v>
      </c>
      <c r="Q53" s="491"/>
    </row>
    <row r="54" spans="1:17">
      <c r="B54" s="26" t="s">
        <v>156</v>
      </c>
      <c r="D54" s="16" t="s">
        <v>60</v>
      </c>
      <c r="F54" s="37">
        <v>8172</v>
      </c>
      <c r="G54" s="37">
        <v>13188</v>
      </c>
      <c r="H54" s="37">
        <v>6650</v>
      </c>
      <c r="I54" s="37">
        <v>7886</v>
      </c>
      <c r="J54" s="38">
        <f ca="1">J$125</f>
        <v>3143.9427240351224</v>
      </c>
      <c r="K54" s="38">
        <f t="shared" ref="K54:N54" ca="1" si="18">K$125</f>
        <v>3137.2820419160535</v>
      </c>
      <c r="L54" s="38">
        <f ca="1">L$125</f>
        <v>4627.1367026053231</v>
      </c>
      <c r="M54" s="38">
        <f t="shared" ca="1" si="18"/>
        <v>5350.0831195351711</v>
      </c>
      <c r="N54" s="38">
        <f t="shared" ca="1" si="18"/>
        <v>6489.9008388392613</v>
      </c>
    </row>
    <row r="55" spans="1:17">
      <c r="B55" s="26" t="s">
        <v>156</v>
      </c>
      <c r="D55" s="16" t="s">
        <v>61</v>
      </c>
      <c r="F55" s="37">
        <v>696</v>
      </c>
      <c r="G55" s="37">
        <v>600</v>
      </c>
      <c r="H55" s="37">
        <v>600</v>
      </c>
      <c r="I55" s="37">
        <v>852</v>
      </c>
      <c r="J55" s="38">
        <f>I55</f>
        <v>852</v>
      </c>
      <c r="K55" s="38">
        <f>J55</f>
        <v>852</v>
      </c>
      <c r="L55" s="38">
        <f>K55</f>
        <v>852</v>
      </c>
      <c r="M55" s="38">
        <f>L55</f>
        <v>852</v>
      </c>
      <c r="N55" s="38">
        <f>M55</f>
        <v>852</v>
      </c>
    </row>
    <row r="56" spans="1:17">
      <c r="B56" s="26" t="s">
        <v>62</v>
      </c>
      <c r="D56" s="16" t="s">
        <v>64</v>
      </c>
      <c r="F56" s="37">
        <v>7870</v>
      </c>
      <c r="G56" s="37">
        <v>5790</v>
      </c>
      <c r="H56" s="37">
        <v>6754</v>
      </c>
      <c r="I56" s="37">
        <v>6541</v>
      </c>
      <c r="J56" s="38">
        <f ca="1">J139</f>
        <v>6832.4273972602732</v>
      </c>
      <c r="K56" s="38">
        <f ca="1">K139</f>
        <v>7037.4002191780819</v>
      </c>
      <c r="L56" s="38">
        <f ca="1">L139</f>
        <v>7248.5222257534242</v>
      </c>
      <c r="M56" s="38">
        <f ca="1">M139</f>
        <v>7465.9778925260289</v>
      </c>
      <c r="N56" s="38">
        <f ca="1">N139</f>
        <v>7689.9572293018082</v>
      </c>
    </row>
    <row r="57" spans="1:17">
      <c r="B57" s="26" t="s">
        <v>62</v>
      </c>
      <c r="D57" s="16" t="s">
        <v>63</v>
      </c>
      <c r="F57" s="37">
        <v>1619</v>
      </c>
      <c r="G57" s="37">
        <v>1649</v>
      </c>
      <c r="H57" s="37">
        <v>1649</v>
      </c>
      <c r="I57" s="37">
        <v>1552</v>
      </c>
      <c r="J57" s="38">
        <f ca="1">J145</f>
        <v>1614.1609726027398</v>
      </c>
      <c r="K57" s="38">
        <f ca="1">K145</f>
        <v>1662.5858017808223</v>
      </c>
      <c r="L57" s="38">
        <f ca="1">L145</f>
        <v>1712.4633758342468</v>
      </c>
      <c r="M57" s="38">
        <f ca="1">M145</f>
        <v>1763.8372771092743</v>
      </c>
      <c r="N57" s="38">
        <f ca="1">N145</f>
        <v>1816.7523954225526</v>
      </c>
    </row>
    <row r="58" spans="1:17">
      <c r="B58" s="26" t="s">
        <v>62</v>
      </c>
      <c r="D58" s="16" t="s">
        <v>166</v>
      </c>
      <c r="F58" s="37">
        <v>2101</v>
      </c>
      <c r="G58" s="37">
        <v>3466</v>
      </c>
      <c r="H58" s="37">
        <v>3466</v>
      </c>
      <c r="I58" s="37">
        <v>2611</v>
      </c>
      <c r="J58" s="38">
        <f ca="1">J151</f>
        <v>3117.2950000000001</v>
      </c>
      <c r="K58" s="38">
        <f ca="1">K151</f>
        <v>3210.8138500000005</v>
      </c>
      <c r="L58" s="38">
        <f ca="1">L151</f>
        <v>3307.1382655000002</v>
      </c>
      <c r="M58" s="38">
        <f ca="1">M151</f>
        <v>3406.3524134650006</v>
      </c>
      <c r="N58" s="38">
        <f ca="1">N151</f>
        <v>3508.5429858689504</v>
      </c>
    </row>
    <row r="59" spans="1:17">
      <c r="B59" s="26" t="s">
        <v>62</v>
      </c>
      <c r="D59" s="16" t="s">
        <v>36</v>
      </c>
      <c r="F59" s="37">
        <v>17962</v>
      </c>
      <c r="G59" s="37">
        <v>14472</v>
      </c>
      <c r="H59" s="37">
        <v>10420</v>
      </c>
      <c r="I59" s="37">
        <v>9676</v>
      </c>
      <c r="J59" s="38">
        <f ca="1">J157</f>
        <v>11222.262000000001</v>
      </c>
      <c r="K59" s="38">
        <f ca="1">K157</f>
        <v>11558.92986</v>
      </c>
      <c r="L59" s="38">
        <f ca="1">L157</f>
        <v>11905.6977558</v>
      </c>
      <c r="M59" s="38">
        <f ca="1">M157</f>
        <v>12262.868688474002</v>
      </c>
      <c r="N59" s="38">
        <f ca="1">N157</f>
        <v>12630.75474912822</v>
      </c>
    </row>
    <row r="60" spans="1:17">
      <c r="D60" s="17" t="s">
        <v>65</v>
      </c>
      <c r="F60" s="11">
        <f ca="1">SUBTOTAL(9,OFFSET(F53,1,0):OFFSET(F60,-1,0))</f>
        <v>38420</v>
      </c>
      <c r="G60" s="11">
        <f ca="1">SUBTOTAL(9,OFFSET(G53,1,0):OFFSET(G60,-1,0))</f>
        <v>39165</v>
      </c>
      <c r="H60" s="11">
        <f ca="1">SUBTOTAL(9,OFFSET(H53,1,0):OFFSET(H60,-1,0))</f>
        <v>29539</v>
      </c>
      <c r="I60" s="11">
        <f ca="1">SUBTOTAL(9,OFFSET(I53,1,0):OFFSET(I60,-1,0))</f>
        <v>29118</v>
      </c>
      <c r="J60" s="11">
        <f ca="1">SUBTOTAL(9,OFFSET(J53,1,0):OFFSET(J60,-1,0))</f>
        <v>26782.088093898135</v>
      </c>
      <c r="K60" s="11">
        <f ca="1">SUBTOTAL(9,OFFSET(K53,1,0):OFFSET(K60,-1,0))</f>
        <v>27459.011772874957</v>
      </c>
      <c r="L60" s="11">
        <f ca="1">SUBTOTAL(9,OFFSET(L53,1,0):OFFSET(L60,-1,0))</f>
        <v>29652.958325492993</v>
      </c>
      <c r="M60" s="11">
        <f ca="1">SUBTOTAL(9,OFFSET(M53,1,0):OFFSET(M60,-1,0))</f>
        <v>31101.119391109478</v>
      </c>
      <c r="N60" s="11">
        <f ca="1">SUBTOTAL(9,OFFSET(N53,1,0):OFFSET(N60,-1,0))</f>
        <v>32987.908198560792</v>
      </c>
    </row>
    <row r="61" spans="1:17" ht="6" customHeight="1">
      <c r="D61" s="18"/>
    </row>
    <row r="62" spans="1:17">
      <c r="D62" s="20" t="s">
        <v>66</v>
      </c>
    </row>
    <row r="63" spans="1:17">
      <c r="B63" s="26" t="s">
        <v>67</v>
      </c>
      <c r="D63" s="16" t="s">
        <v>68</v>
      </c>
      <c r="F63" s="37">
        <v>10010</v>
      </c>
      <c r="G63" s="37">
        <v>6205</v>
      </c>
      <c r="H63" s="37">
        <v>5694</v>
      </c>
      <c r="I63" s="37">
        <v>5334</v>
      </c>
      <c r="J63" s="38">
        <f ca="1">J183</f>
        <v>4916.1743501246883</v>
      </c>
      <c r="K63" s="38">
        <f ca="1">K183</f>
        <v>4774.7367556907739</v>
      </c>
      <c r="L63" s="38">
        <f ca="1">L183</f>
        <v>4773.5174458926685</v>
      </c>
      <c r="M63" s="38">
        <f ca="1">M183</f>
        <v>4844.4922630350347</v>
      </c>
      <c r="N63" s="38">
        <f ca="1">N183</f>
        <v>4953.7116778088784</v>
      </c>
    </row>
    <row r="64" spans="1:17">
      <c r="B64" s="26" t="s">
        <v>59</v>
      </c>
      <c r="D64" s="16" t="s">
        <v>256</v>
      </c>
      <c r="F64" s="37">
        <v>58222</v>
      </c>
      <c r="G64" s="37">
        <v>53765</v>
      </c>
      <c r="H64" s="37">
        <v>55949</v>
      </c>
      <c r="I64" s="37">
        <v>55643</v>
      </c>
      <c r="J64" s="38">
        <f t="shared" ref="J64:N66" si="19">I64</f>
        <v>55643</v>
      </c>
      <c r="K64" s="38">
        <f t="shared" si="19"/>
        <v>55643</v>
      </c>
      <c r="L64" s="38">
        <f t="shared" si="19"/>
        <v>55643</v>
      </c>
      <c r="M64" s="38">
        <f t="shared" si="19"/>
        <v>55643</v>
      </c>
      <c r="N64" s="38">
        <f t="shared" si="19"/>
        <v>55643</v>
      </c>
    </row>
    <row r="65" spans="2:21">
      <c r="B65" s="26" t="s">
        <v>59</v>
      </c>
      <c r="D65" s="16" t="s">
        <v>167</v>
      </c>
      <c r="F65" s="37">
        <v>5182</v>
      </c>
      <c r="G65" s="37">
        <v>8404</v>
      </c>
      <c r="H65" s="37">
        <v>7370</v>
      </c>
      <c r="I65" s="37">
        <v>6256</v>
      </c>
      <c r="J65" s="38">
        <f t="shared" si="19"/>
        <v>6256</v>
      </c>
      <c r="K65" s="38">
        <f t="shared" si="19"/>
        <v>6256</v>
      </c>
      <c r="L65" s="38">
        <f t="shared" si="19"/>
        <v>6256</v>
      </c>
      <c r="M65" s="38">
        <f t="shared" si="19"/>
        <v>6256</v>
      </c>
      <c r="N65" s="38">
        <f t="shared" si="19"/>
        <v>6256</v>
      </c>
      <c r="R65" s="490"/>
      <c r="S65" s="490"/>
      <c r="T65" s="490"/>
      <c r="U65" s="490"/>
    </row>
    <row r="66" spans="2:21">
      <c r="B66" s="26" t="s">
        <v>67</v>
      </c>
      <c r="D66" s="16" t="s">
        <v>69</v>
      </c>
      <c r="F66" s="37">
        <v>40352</v>
      </c>
      <c r="G66" s="37">
        <v>48432</v>
      </c>
      <c r="H66" s="37">
        <v>33449</v>
      </c>
      <c r="I66" s="37">
        <v>30892</v>
      </c>
      <c r="J66" s="38">
        <f t="shared" si="19"/>
        <v>30892</v>
      </c>
      <c r="K66" s="38">
        <f t="shared" si="19"/>
        <v>30892</v>
      </c>
      <c r="L66" s="38">
        <f t="shared" si="19"/>
        <v>30892</v>
      </c>
      <c r="M66" s="38">
        <f t="shared" si="19"/>
        <v>30892</v>
      </c>
      <c r="N66" s="38">
        <f t="shared" si="19"/>
        <v>30892</v>
      </c>
    </row>
    <row r="67" spans="2:21">
      <c r="D67" s="17" t="s">
        <v>281</v>
      </c>
      <c r="F67" s="11">
        <f ca="1">SUBTOTAL(9,OFFSET(F62,1,0):OFFSET(F67,-1,0))</f>
        <v>113766</v>
      </c>
      <c r="G67" s="11">
        <f ca="1">SUBTOTAL(9,OFFSET(G62,1,0):OFFSET(G67,-1,0))</f>
        <v>116806</v>
      </c>
      <c r="H67" s="11">
        <f ca="1">SUBTOTAL(9,OFFSET(H62,1,0):OFFSET(H67,-1,0))</f>
        <v>102462</v>
      </c>
      <c r="I67" s="11">
        <f ca="1">SUBTOTAL(9,OFFSET(I62,1,0):OFFSET(I67,-1,0))</f>
        <v>98125</v>
      </c>
      <c r="J67" s="11">
        <f ca="1">SUBTOTAL(9,OFFSET(J62,1,0):OFFSET(J67,-1,0))</f>
        <v>97707.174350124697</v>
      </c>
      <c r="K67" s="11">
        <f ca="1">SUBTOTAL(9,OFFSET(K62,1,0):OFFSET(K67,-1,0))</f>
        <v>97565.73675569077</v>
      </c>
      <c r="L67" s="11">
        <f ca="1">SUBTOTAL(9,OFFSET(L62,1,0):OFFSET(L67,-1,0))</f>
        <v>97564.517445892678</v>
      </c>
      <c r="M67" s="11">
        <f ca="1">SUBTOTAL(9,OFFSET(M62,1,0):OFFSET(M67,-1,0))</f>
        <v>97635.492263035034</v>
      </c>
      <c r="N67" s="11">
        <f ca="1">SUBTOTAL(9,OFFSET(N62,1,0):OFFSET(N67,-1,0))</f>
        <v>97744.711677808882</v>
      </c>
    </row>
    <row r="68" spans="2:21" ht="6" customHeight="1">
      <c r="D68" s="18"/>
    </row>
    <row r="69" spans="2:21">
      <c r="D69" s="19" t="s">
        <v>70</v>
      </c>
      <c r="F69" s="11">
        <f ca="1">SUBTOTAL(9,OFFSET(F52,1,0):OFFSET(F69,-1,0))</f>
        <v>152186</v>
      </c>
      <c r="G69" s="11">
        <f ca="1">SUBTOTAL(9,OFFSET(G52,1,0):OFFSET(G69,-1,0))</f>
        <v>155971</v>
      </c>
      <c r="H69" s="11">
        <f ca="1">SUBTOTAL(9,OFFSET(H52,1,0):OFFSET(H69,-1,0))</f>
        <v>132001</v>
      </c>
      <c r="I69" s="11">
        <f ca="1">SUBTOTAL(9,OFFSET(I52,1,0):OFFSET(I69,-1,0))</f>
        <v>127243</v>
      </c>
      <c r="J69" s="11">
        <f ca="1">SUBTOTAL(9,OFFSET(J52,1,0):OFFSET(J69,-1,0))</f>
        <v>124489.26244402282</v>
      </c>
      <c r="K69" s="11">
        <f ca="1">SUBTOTAL(9,OFFSET(K52,1,0):OFFSET(K69,-1,0))</f>
        <v>125024.74852856573</v>
      </c>
      <c r="L69" s="11">
        <f ca="1">SUBTOTAL(9,OFFSET(L52,1,0):OFFSET(L69,-1,0))</f>
        <v>127217.47577138565</v>
      </c>
      <c r="M69" s="11">
        <f ca="1">SUBTOTAL(9,OFFSET(M52,1,0):OFFSET(M69,-1,0))</f>
        <v>128736.61165414451</v>
      </c>
      <c r="N69" s="11">
        <f ca="1">SUBTOTAL(9,OFFSET(N52,1,0):OFFSET(N69,-1,0))</f>
        <v>130732.61987636967</v>
      </c>
    </row>
    <row r="70" spans="2:21" ht="6" customHeight="1">
      <c r="D70" s="18"/>
    </row>
    <row r="71" spans="2:21">
      <c r="D71" s="24" t="s">
        <v>71</v>
      </c>
      <c r="F71" s="22"/>
      <c r="G71" s="22"/>
      <c r="H71" s="22"/>
      <c r="I71" s="456"/>
      <c r="J71" s="456"/>
      <c r="K71" s="456"/>
      <c r="L71" s="22"/>
      <c r="M71" s="22"/>
      <c r="N71" s="22"/>
    </row>
    <row r="72" spans="2:21">
      <c r="D72" s="20" t="s">
        <v>72</v>
      </c>
    </row>
    <row r="73" spans="2:21">
      <c r="B73" s="26" t="s">
        <v>73</v>
      </c>
      <c r="D73" s="16" t="s">
        <v>38</v>
      </c>
      <c r="F73" s="37">
        <v>4896</v>
      </c>
      <c r="G73" s="37">
        <v>4908</v>
      </c>
      <c r="H73" s="37">
        <v>3955</v>
      </c>
      <c r="I73" s="37">
        <v>4051</v>
      </c>
      <c r="J73" s="38">
        <f ca="1">J163</f>
        <v>3996.9700273972603</v>
      </c>
      <c r="K73" s="38">
        <f ca="1">K163</f>
        <v>4116.8791282191787</v>
      </c>
      <c r="L73" s="38">
        <f ca="1">L163</f>
        <v>4240.3855020657538</v>
      </c>
      <c r="M73" s="38">
        <f ca="1">M163</f>
        <v>4367.5970671277264</v>
      </c>
      <c r="N73" s="38">
        <f ca="1">N163</f>
        <v>4498.6249791415585</v>
      </c>
    </row>
    <row r="74" spans="2:21">
      <c r="B74" s="26" t="s">
        <v>73</v>
      </c>
      <c r="D74" s="16" t="s">
        <v>40</v>
      </c>
      <c r="F74" s="37">
        <v>3406</v>
      </c>
      <c r="G74" s="37">
        <v>3440</v>
      </c>
      <c r="H74" s="37">
        <v>3204</v>
      </c>
      <c r="I74" s="37">
        <v>3481</v>
      </c>
      <c r="J74" s="38">
        <f ca="1">J169</f>
        <v>3382.0515616438361</v>
      </c>
      <c r="K74" s="38">
        <f ca="1">K169</f>
        <v>3483.5131084931513</v>
      </c>
      <c r="L74" s="38">
        <f ca="1">L169</f>
        <v>3588.0185017479457</v>
      </c>
      <c r="M74" s="38">
        <f ca="1">M169</f>
        <v>3695.659056800384</v>
      </c>
      <c r="N74" s="38">
        <f ca="1">N169</f>
        <v>3806.5288285043957</v>
      </c>
    </row>
    <row r="75" spans="2:21">
      <c r="B75" s="26" t="s">
        <v>74</v>
      </c>
      <c r="D75" s="16" t="s">
        <v>51</v>
      </c>
      <c r="F75" s="37">
        <v>0</v>
      </c>
      <c r="G75" s="37">
        <v>0</v>
      </c>
      <c r="H75" s="37">
        <v>0</v>
      </c>
      <c r="I75" s="37">
        <v>0</v>
      </c>
      <c r="J75" s="38">
        <f ca="1">J191</f>
        <v>0</v>
      </c>
      <c r="K75" s="38">
        <f ca="1">K191</f>
        <v>0</v>
      </c>
      <c r="L75" s="38">
        <f ca="1">L191</f>
        <v>0</v>
      </c>
      <c r="M75" s="38">
        <f ca="1">M191</f>
        <v>0</v>
      </c>
      <c r="N75" s="38">
        <f ca="1">N191</f>
        <v>0</v>
      </c>
    </row>
    <row r="76" spans="2:21">
      <c r="B76" s="26" t="s">
        <v>74</v>
      </c>
      <c r="D76" s="16" t="s">
        <v>53</v>
      </c>
      <c r="F76" s="37">
        <v>8797</v>
      </c>
      <c r="G76" s="37">
        <v>7183</v>
      </c>
      <c r="H76" s="37">
        <v>6787</v>
      </c>
      <c r="I76" s="37">
        <v>4760</v>
      </c>
      <c r="J76" s="38">
        <f ca="1">J196</f>
        <v>4760</v>
      </c>
      <c r="K76" s="38">
        <f ca="1">K196</f>
        <v>4760</v>
      </c>
      <c r="L76" s="38">
        <f ca="1">L196</f>
        <v>4760</v>
      </c>
      <c r="M76" s="38">
        <f ca="1">M196</f>
        <v>4760</v>
      </c>
      <c r="N76" s="38">
        <f ca="1">N196</f>
        <v>4760</v>
      </c>
    </row>
    <row r="77" spans="2:21">
      <c r="B77" s="26" t="s">
        <v>73</v>
      </c>
      <c r="D77" s="16" t="s">
        <v>168</v>
      </c>
      <c r="F77" s="37">
        <v>2839</v>
      </c>
      <c r="G77" s="37"/>
      <c r="H77" s="37"/>
      <c r="I77" s="37"/>
      <c r="J77" s="38">
        <f t="shared" ref="J77:N77" si="20">I77</f>
        <v>0</v>
      </c>
      <c r="K77" s="38">
        <f t="shared" si="20"/>
        <v>0</v>
      </c>
      <c r="L77" s="38">
        <f t="shared" si="20"/>
        <v>0</v>
      </c>
      <c r="M77" s="38">
        <f t="shared" si="20"/>
        <v>0</v>
      </c>
      <c r="N77" s="38">
        <f t="shared" si="20"/>
        <v>0</v>
      </c>
      <c r="O77" s="38"/>
    </row>
    <row r="78" spans="2:21">
      <c r="B78" s="26" t="s">
        <v>73</v>
      </c>
      <c r="D78" s="16" t="s">
        <v>42</v>
      </c>
      <c r="F78" s="37">
        <v>17763</v>
      </c>
      <c r="G78" s="37">
        <v>24608</v>
      </c>
      <c r="H78" s="37">
        <v>19673</v>
      </c>
      <c r="I78" s="37">
        <v>19213</v>
      </c>
      <c r="J78" s="38">
        <f ca="1">J175</f>
        <v>17294.581849315069</v>
      </c>
      <c r="K78" s="38">
        <f ca="1">K175</f>
        <v>17813.419304794523</v>
      </c>
      <c r="L78" s="38">
        <f ca="1">L175</f>
        <v>18347.821883938359</v>
      </c>
      <c r="M78" s="38">
        <f ca="1">M175</f>
        <v>18898.25654045651</v>
      </c>
      <c r="N78" s="38">
        <f ca="1">N175</f>
        <v>19465.204236670204</v>
      </c>
    </row>
    <row r="79" spans="2:21">
      <c r="D79" s="17" t="s">
        <v>75</v>
      </c>
      <c r="F79" s="11">
        <f ca="1">SUBTOTAL(9,OFFSET(F72,1,0):OFFSET(F79,-1,0))</f>
        <v>37701</v>
      </c>
      <c r="G79" s="11">
        <f ca="1">SUBTOTAL(9,OFFSET(G72,1,0):OFFSET(G79,-1,0))</f>
        <v>40139</v>
      </c>
      <c r="H79" s="11">
        <f ca="1">SUBTOTAL(9,OFFSET(H72,1,0):OFFSET(H79,-1,0))</f>
        <v>33619</v>
      </c>
      <c r="I79" s="11">
        <f ca="1">SUBTOTAL(9,OFFSET(I72,1,0):OFFSET(I79,-1,0))</f>
        <v>31505</v>
      </c>
      <c r="J79" s="11">
        <f ca="1">SUBTOTAL(9,OFFSET(J72,1,0):OFFSET(J79,-1,0))</f>
        <v>29433.603438356164</v>
      </c>
      <c r="K79" s="11">
        <f ca="1">SUBTOTAL(9,OFFSET(K72,1,0):OFFSET(K79,-1,0))</f>
        <v>30173.811541506853</v>
      </c>
      <c r="L79" s="11">
        <f ca="1">SUBTOTAL(9,OFFSET(L72,1,0):OFFSET(L79,-1,0))</f>
        <v>30936.225887752058</v>
      </c>
      <c r="M79" s="11">
        <f ca="1">SUBTOTAL(9,OFFSET(M72,1,0):OFFSET(M79,-1,0))</f>
        <v>31721.51266438462</v>
      </c>
      <c r="N79" s="11">
        <f ca="1">SUBTOTAL(9,OFFSET(N72,1,0):OFFSET(N79,-1,0))</f>
        <v>32530.358044316159</v>
      </c>
    </row>
    <row r="80" spans="2:21" ht="6" customHeight="1">
      <c r="D80" s="18"/>
    </row>
    <row r="81" spans="2:14">
      <c r="D81" s="20" t="s">
        <v>76</v>
      </c>
    </row>
    <row r="82" spans="2:14">
      <c r="B82" s="26" t="s">
        <v>74</v>
      </c>
      <c r="D82" s="16" t="s">
        <v>77</v>
      </c>
      <c r="F82" s="37">
        <v>54102</v>
      </c>
      <c r="G82" s="37">
        <v>54355</v>
      </c>
      <c r="H82" s="37">
        <v>44917</v>
      </c>
      <c r="I82" s="37">
        <v>46189</v>
      </c>
      <c r="J82" s="38">
        <f ca="1">J201</f>
        <v>46189</v>
      </c>
      <c r="K82" s="38">
        <f ca="1">K201</f>
        <v>46189</v>
      </c>
      <c r="L82" s="38">
        <f ca="1">L201</f>
        <v>46189</v>
      </c>
      <c r="M82" s="38">
        <f ca="1">M201</f>
        <v>46189</v>
      </c>
      <c r="N82" s="38">
        <f ca="1">N201</f>
        <v>46189</v>
      </c>
    </row>
    <row r="83" spans="2:14">
      <c r="B83" s="26" t="s">
        <v>74</v>
      </c>
      <c r="D83" s="16" t="s">
        <v>169</v>
      </c>
      <c r="F83" s="37">
        <v>3879</v>
      </c>
      <c r="G83" s="37">
        <v>3574</v>
      </c>
      <c r="H83" s="37">
        <v>2462</v>
      </c>
      <c r="I83" s="37">
        <v>2190</v>
      </c>
      <c r="J83" s="38">
        <f t="shared" ref="J83:N85" si="21">I83</f>
        <v>2190</v>
      </c>
      <c r="K83" s="38">
        <f t="shared" si="21"/>
        <v>2190</v>
      </c>
      <c r="L83" s="38">
        <f t="shared" si="21"/>
        <v>2190</v>
      </c>
      <c r="M83" s="38">
        <f t="shared" si="21"/>
        <v>2190</v>
      </c>
      <c r="N83" s="38">
        <f t="shared" si="21"/>
        <v>2190</v>
      </c>
    </row>
    <row r="84" spans="2:14">
      <c r="B84" s="26" t="s">
        <v>78</v>
      </c>
      <c r="D84" s="16" t="s">
        <v>170</v>
      </c>
      <c r="F84" s="37">
        <v>0</v>
      </c>
      <c r="G84" s="37">
        <v>0</v>
      </c>
      <c r="H84" s="37">
        <v>0</v>
      </c>
      <c r="I84" s="37">
        <v>0</v>
      </c>
      <c r="J84" s="38">
        <f t="shared" si="21"/>
        <v>0</v>
      </c>
      <c r="K84" s="38">
        <f t="shared" si="21"/>
        <v>0</v>
      </c>
      <c r="L84" s="38">
        <f t="shared" si="21"/>
        <v>0</v>
      </c>
      <c r="M84" s="38">
        <f t="shared" si="21"/>
        <v>0</v>
      </c>
      <c r="N84" s="38">
        <f t="shared" si="21"/>
        <v>0</v>
      </c>
    </row>
    <row r="85" spans="2:14">
      <c r="B85" s="26" t="s">
        <v>78</v>
      </c>
      <c r="D85" s="16" t="s">
        <v>79</v>
      </c>
      <c r="F85" s="37">
        <v>35520</v>
      </c>
      <c r="G85" s="37">
        <v>37156</v>
      </c>
      <c r="H85" s="37">
        <v>32007</v>
      </c>
      <c r="I85" s="37">
        <v>25338</v>
      </c>
      <c r="J85" s="38">
        <f t="shared" si="21"/>
        <v>25338</v>
      </c>
      <c r="K85" s="38">
        <f t="shared" si="21"/>
        <v>25338</v>
      </c>
      <c r="L85" s="38">
        <f t="shared" si="21"/>
        <v>25338</v>
      </c>
      <c r="M85" s="38">
        <f t="shared" si="21"/>
        <v>25338</v>
      </c>
      <c r="N85" s="38">
        <f t="shared" si="21"/>
        <v>25338</v>
      </c>
    </row>
    <row r="86" spans="2:14">
      <c r="D86" s="17" t="s">
        <v>80</v>
      </c>
      <c r="F86" s="11">
        <f ca="1">SUBTOTAL(9,OFFSET(F81,1,0):OFFSET(F86,-1,0))</f>
        <v>93501</v>
      </c>
      <c r="G86" s="11">
        <f ca="1">SUBTOTAL(9,OFFSET(G81,1,0):OFFSET(G86,-1,0))</f>
        <v>95085</v>
      </c>
      <c r="H86" s="11">
        <f ca="1">SUBTOTAL(9,OFFSET(H81,1,0):OFFSET(H86,-1,0))</f>
        <v>79386</v>
      </c>
      <c r="I86" s="11">
        <f ca="1">SUBTOTAL(9,OFFSET(I81,1,0):OFFSET(I86,-1,0))</f>
        <v>73717</v>
      </c>
      <c r="J86" s="11">
        <f ca="1">SUBTOTAL(9,OFFSET(J81,1,0):OFFSET(J86,-1,0))</f>
        <v>73717</v>
      </c>
      <c r="K86" s="11">
        <f ca="1">SUBTOTAL(9,OFFSET(K81,1,0):OFFSET(K86,-1,0))</f>
        <v>73717</v>
      </c>
      <c r="L86" s="11">
        <f ca="1">SUBTOTAL(9,OFFSET(L81,1,0):OFFSET(L86,-1,0))</f>
        <v>73717</v>
      </c>
      <c r="M86" s="11">
        <f ca="1">SUBTOTAL(9,OFFSET(M81,1,0):OFFSET(M86,-1,0))</f>
        <v>73717</v>
      </c>
      <c r="N86" s="11">
        <f ca="1">SUBTOTAL(9,OFFSET(N81,1,0):OFFSET(N86,-1,0))</f>
        <v>73717</v>
      </c>
    </row>
    <row r="87" spans="2:14" ht="6" customHeight="1">
      <c r="D87" s="18"/>
    </row>
    <row r="88" spans="2:14">
      <c r="D88" s="19" t="s">
        <v>81</v>
      </c>
      <c r="F88" s="11">
        <f ca="1">SUBTOTAL(9,OFFSET(F71,1,0):OFFSET(F88,-1,0))</f>
        <v>131202</v>
      </c>
      <c r="G88" s="11">
        <f ca="1">SUBTOTAL(9,OFFSET(G71,1,0):OFFSET(G88,-1,0))</f>
        <v>135224</v>
      </c>
      <c r="H88" s="11">
        <f ca="1">SUBTOTAL(9,OFFSET(H71,1,0):OFFSET(H88,-1,0))</f>
        <v>113005</v>
      </c>
      <c r="I88" s="11">
        <f ca="1">SUBTOTAL(9,OFFSET(I71,1,0):OFFSET(I88,-1,0))</f>
        <v>105222</v>
      </c>
      <c r="J88" s="11">
        <f ca="1">SUBTOTAL(9,OFFSET(J71,1,0):OFFSET(J88,-1,0))</f>
        <v>103150.60343835616</v>
      </c>
      <c r="K88" s="11">
        <f ca="1">SUBTOTAL(9,OFFSET(K71,1,0):OFFSET(K88,-1,0))</f>
        <v>103890.81154150685</v>
      </c>
      <c r="L88" s="11">
        <f ca="1">SUBTOTAL(9,OFFSET(L71,1,0):OFFSET(L88,-1,0))</f>
        <v>104653.22588775205</v>
      </c>
      <c r="M88" s="11">
        <f ca="1">SUBTOTAL(9,OFFSET(M71,1,0):OFFSET(M88,-1,0))</f>
        <v>105438.51266438462</v>
      </c>
      <c r="N88" s="11">
        <f ca="1">SUBTOTAL(9,OFFSET(N71,1,0):OFFSET(N88,-1,0))</f>
        <v>106247.35804431616</v>
      </c>
    </row>
    <row r="89" spans="2:14" ht="6" customHeight="1">
      <c r="D89" s="18"/>
    </row>
    <row r="90" spans="2:14">
      <c r="D90" s="24" t="s">
        <v>82</v>
      </c>
      <c r="F90" s="22"/>
      <c r="G90" s="22"/>
      <c r="H90" s="22"/>
      <c r="I90" s="22"/>
      <c r="J90" s="22"/>
      <c r="K90" s="22"/>
      <c r="L90" s="22"/>
      <c r="M90" s="22"/>
      <c r="N90" s="22"/>
    </row>
    <row r="91" spans="2:14">
      <c r="D91" s="18" t="s">
        <v>257</v>
      </c>
      <c r="F91" s="37">
        <v>55895</v>
      </c>
      <c r="G91" s="37">
        <v>56556</v>
      </c>
      <c r="H91" s="37">
        <v>57319</v>
      </c>
      <c r="I91" s="37">
        <v>58343</v>
      </c>
      <c r="J91" s="38">
        <f t="shared" ref="J91:N92" si="22">I91</f>
        <v>58343</v>
      </c>
      <c r="K91" s="38">
        <f t="shared" si="22"/>
        <v>58343</v>
      </c>
      <c r="L91" s="38">
        <f t="shared" si="22"/>
        <v>58343</v>
      </c>
      <c r="M91" s="38">
        <f t="shared" si="22"/>
        <v>58343</v>
      </c>
      <c r="N91" s="38">
        <f t="shared" si="22"/>
        <v>58343</v>
      </c>
    </row>
    <row r="92" spans="2:14">
      <c r="D92" s="18" t="s">
        <v>83</v>
      </c>
      <c r="F92" s="37">
        <v>0</v>
      </c>
      <c r="G92" s="37">
        <v>0</v>
      </c>
      <c r="H92" s="37">
        <v>0</v>
      </c>
      <c r="I92" s="37">
        <v>0</v>
      </c>
      <c r="J92" s="38">
        <f t="shared" si="22"/>
        <v>0</v>
      </c>
      <c r="K92" s="38">
        <f t="shared" si="22"/>
        <v>0</v>
      </c>
      <c r="L92" s="38">
        <f t="shared" si="22"/>
        <v>0</v>
      </c>
      <c r="M92" s="38">
        <f t="shared" si="22"/>
        <v>0</v>
      </c>
      <c r="N92" s="38">
        <f t="shared" si="22"/>
        <v>0</v>
      </c>
    </row>
    <row r="93" spans="2:14">
      <c r="D93" s="18" t="s">
        <v>25</v>
      </c>
      <c r="F93" s="37">
        <v>162959</v>
      </c>
      <c r="G93" s="37">
        <v>162717</v>
      </c>
      <c r="H93" s="37">
        <v>154209</v>
      </c>
      <c r="I93" s="37">
        <v>149825</v>
      </c>
      <c r="J93" s="38">
        <f ca="1">J$49</f>
        <v>160074.3407</v>
      </c>
      <c r="K93" s="38">
        <f ca="1">K$49</f>
        <v>170780.906621</v>
      </c>
      <c r="L93" s="38">
        <f ca="1">L$49</f>
        <v>181820.75501962999</v>
      </c>
      <c r="M93" s="38">
        <f ca="1">M$49</f>
        <v>193203.88437021888</v>
      </c>
      <c r="N93" s="38">
        <f ca="1">N$49</f>
        <v>204940.59310132544</v>
      </c>
    </row>
    <row r="94" spans="2:14">
      <c r="D94" s="18" t="s">
        <v>171</v>
      </c>
      <c r="F94" s="37">
        <v>-197870</v>
      </c>
      <c r="G94" s="37">
        <v>-198526</v>
      </c>
      <c r="H94" s="37">
        <v>-192532</v>
      </c>
      <c r="I94" s="37">
        <v>-186147</v>
      </c>
      <c r="J94" s="38">
        <f>I94</f>
        <v>-186147</v>
      </c>
      <c r="K94" s="38">
        <f>J94</f>
        <v>-186147</v>
      </c>
      <c r="L94" s="38">
        <f>K94</f>
        <v>-186147</v>
      </c>
      <c r="M94" s="38">
        <f>L94</f>
        <v>-186147</v>
      </c>
      <c r="N94" s="38">
        <f>M94</f>
        <v>-186147</v>
      </c>
    </row>
    <row r="95" spans="2:14">
      <c r="D95" s="19" t="s">
        <v>84</v>
      </c>
      <c r="F95" s="11">
        <f ca="1">SUBTOTAL(9,OFFSET(F90,1,0):OFFSET(F95,-1,0))</f>
        <v>20984</v>
      </c>
      <c r="G95" s="11">
        <f ca="1">SUBTOTAL(9,OFFSET(G90,1,0):OFFSET(G95,-1,0))</f>
        <v>20747</v>
      </c>
      <c r="H95" s="11">
        <f ca="1">SUBTOTAL(9,OFFSET(H90,1,0):OFFSET(H95,-1,0))</f>
        <v>18996</v>
      </c>
      <c r="I95" s="11">
        <f ca="1">SUBTOTAL(9,OFFSET(I90,1,0):OFFSET(I95,-1,0))</f>
        <v>22021</v>
      </c>
      <c r="J95" s="11">
        <f ca="1">SUBTOTAL(9,OFFSET(J90,1,0):OFFSET(J95,-1,0))</f>
        <v>32270.340700000001</v>
      </c>
      <c r="K95" s="11">
        <f ca="1">SUBTOTAL(9,OFFSET(K90,1,0):OFFSET(K95,-1,0))</f>
        <v>42976.906621000002</v>
      </c>
      <c r="L95" s="11">
        <f ca="1">SUBTOTAL(9,OFFSET(L90,1,0):OFFSET(L95,-1,0))</f>
        <v>54016.755019629985</v>
      </c>
      <c r="M95" s="11">
        <f ca="1">SUBTOTAL(9,OFFSET(M90,1,0):OFFSET(M95,-1,0))</f>
        <v>65399.884370218875</v>
      </c>
      <c r="N95" s="11">
        <f ca="1">SUBTOTAL(9,OFFSET(N90,1,0):OFFSET(N95,-1,0))</f>
        <v>77136.593101325445</v>
      </c>
    </row>
    <row r="96" spans="2:14" ht="6" customHeight="1">
      <c r="D96" s="18"/>
    </row>
    <row r="97" spans="1:14">
      <c r="D97" s="19" t="s">
        <v>85</v>
      </c>
      <c r="F97" s="11">
        <f t="shared" ref="F97:N97" ca="1" si="23">F88+F95</f>
        <v>152186</v>
      </c>
      <c r="G97" s="11">
        <f t="shared" ca="1" si="23"/>
        <v>155971</v>
      </c>
      <c r="H97" s="11">
        <f t="shared" ca="1" si="23"/>
        <v>132001</v>
      </c>
      <c r="I97" s="11">
        <f t="shared" ca="1" si="23"/>
        <v>127243</v>
      </c>
      <c r="J97" s="11">
        <f t="shared" ca="1" si="23"/>
        <v>135420.94413835616</v>
      </c>
      <c r="K97" s="11">
        <f t="shared" ca="1" si="23"/>
        <v>146867.71816250685</v>
      </c>
      <c r="L97" s="11">
        <f t="shared" ca="1" si="23"/>
        <v>158669.98090738204</v>
      </c>
      <c r="M97" s="11">
        <f t="shared" ca="1" si="23"/>
        <v>170838.39703460349</v>
      </c>
      <c r="N97" s="11">
        <f t="shared" ca="1" si="23"/>
        <v>183383.95114564162</v>
      </c>
    </row>
    <row r="98" spans="1:14" ht="6" customHeight="1">
      <c r="D98" s="18"/>
    </row>
    <row r="99" spans="1:14">
      <c r="D99" s="107" t="s">
        <v>86</v>
      </c>
      <c r="F99" s="25">
        <f t="shared" ref="F99:N99" ca="1" si="24">ROUND(F69-F97,0)</f>
        <v>0</v>
      </c>
      <c r="G99" s="25">
        <f t="shared" ca="1" si="24"/>
        <v>0</v>
      </c>
      <c r="H99" s="25">
        <f t="shared" ca="1" si="24"/>
        <v>0</v>
      </c>
      <c r="I99" s="25">
        <f ca="1">ROUND(I69-I97,0)</f>
        <v>0</v>
      </c>
      <c r="J99" s="25">
        <f t="shared" ca="1" si="24"/>
        <v>0</v>
      </c>
      <c r="K99" s="25">
        <f t="shared" ca="1" si="24"/>
        <v>0</v>
      </c>
      <c r="L99" s="25">
        <f t="shared" ca="1" si="24"/>
        <v>0</v>
      </c>
      <c r="M99" s="25">
        <f t="shared" ca="1" si="24"/>
        <v>0</v>
      </c>
      <c r="N99" s="25">
        <f t="shared" ca="1" si="24"/>
        <v>0</v>
      </c>
    </row>
    <row r="100" spans="1:14" ht="6" customHeight="1"/>
    <row r="101" spans="1:14">
      <c r="D101" s="28" t="s">
        <v>87</v>
      </c>
      <c r="F101" s="29"/>
      <c r="G101" s="29"/>
      <c r="H101" s="29"/>
      <c r="I101" s="29"/>
      <c r="J101" s="29"/>
      <c r="K101" s="29"/>
      <c r="L101" s="29"/>
      <c r="M101" s="29"/>
      <c r="N101" s="29"/>
    </row>
    <row r="102" spans="1:14">
      <c r="D102" s="27" t="s">
        <v>88</v>
      </c>
      <c r="F102" s="11">
        <f t="shared" ref="F102:N102" si="25">SUMIF($B$51:$B$101,"STA",F$51:F$101)-SUMIF($B$51:$B$101,"STL",F$51:F$101)</f>
        <v>648</v>
      </c>
      <c r="G102" s="11">
        <f t="shared" si="25"/>
        <v>-7579</v>
      </c>
      <c r="H102" s="11">
        <f t="shared" si="25"/>
        <v>-4543</v>
      </c>
      <c r="I102" s="11">
        <f t="shared" si="25"/>
        <v>-6365</v>
      </c>
      <c r="J102" s="11">
        <f t="shared" ca="1" si="25"/>
        <v>-1887.4580684931498</v>
      </c>
      <c r="K102" s="11">
        <f t="shared" ca="1" si="25"/>
        <v>-1944.0818105479484</v>
      </c>
      <c r="L102" s="11">
        <f t="shared" ca="1" si="25"/>
        <v>-2002.4042648643881</v>
      </c>
      <c r="M102" s="11">
        <f t="shared" ca="1" si="25"/>
        <v>-2062.476392810313</v>
      </c>
      <c r="N102" s="11">
        <f t="shared" ca="1" si="25"/>
        <v>-2124.3506845946285</v>
      </c>
    </row>
    <row r="103" spans="1:14">
      <c r="D103" s="30" t="s">
        <v>89</v>
      </c>
      <c r="F103" s="102">
        <f t="shared" ref="F103:N103" ca="1" si="26">F102-OFFSET(F102,0,-1)</f>
        <v>648</v>
      </c>
      <c r="G103" s="102">
        <f t="shared" ca="1" si="26"/>
        <v>-8227</v>
      </c>
      <c r="H103" s="102">
        <f t="shared" ca="1" si="26"/>
        <v>3036</v>
      </c>
      <c r="I103" s="102">
        <f ca="1">I102-OFFSET(I102,0,-1)</f>
        <v>-1822</v>
      </c>
      <c r="J103" s="102">
        <f ca="1">J102-OFFSET(J102,0,-1)</f>
        <v>4477.5419315068502</v>
      </c>
      <c r="K103" s="102">
        <f ca="1">K102-OFFSET(K102,0,-1)</f>
        <v>-56.62374205479864</v>
      </c>
      <c r="L103" s="102">
        <f t="shared" ca="1" si="26"/>
        <v>-58.322454316439689</v>
      </c>
      <c r="M103" s="102">
        <f t="shared" ca="1" si="26"/>
        <v>-60.072127945924876</v>
      </c>
      <c r="N103" s="102">
        <f t="shared" ca="1" si="26"/>
        <v>-61.874291784315574</v>
      </c>
    </row>
    <row r="104" spans="1:14" ht="6" customHeight="1"/>
    <row r="105" spans="1:14">
      <c r="A105" s="98" t="s">
        <v>2</v>
      </c>
      <c r="D105" s="12" t="s">
        <v>90</v>
      </c>
      <c r="F105" s="13"/>
      <c r="G105" s="13"/>
      <c r="H105" s="13"/>
      <c r="I105" s="13"/>
      <c r="J105" s="13"/>
      <c r="K105" s="13"/>
      <c r="L105" s="13"/>
      <c r="M105" s="13"/>
      <c r="N105" s="13"/>
    </row>
    <row r="106" spans="1:14">
      <c r="D106" s="24" t="s">
        <v>91</v>
      </c>
      <c r="F106" s="22"/>
      <c r="G106" s="22"/>
      <c r="H106" s="22"/>
      <c r="I106" s="22"/>
      <c r="J106" s="22"/>
      <c r="K106" s="22"/>
      <c r="L106" s="22"/>
      <c r="M106" s="22"/>
      <c r="N106" s="22"/>
    </row>
    <row r="107" spans="1:14" ht="11.25" customHeight="1">
      <c r="D107" s="90" t="s">
        <v>23</v>
      </c>
      <c r="F107" s="436">
        <v>9435</v>
      </c>
      <c r="G107" s="436">
        <v>5501</v>
      </c>
      <c r="H107" s="436">
        <v>4712</v>
      </c>
      <c r="I107" s="436">
        <v>1783</v>
      </c>
      <c r="J107" s="89">
        <f ca="1">J$42</f>
        <v>8661.9923389999949</v>
      </c>
      <c r="K107" s="89">
        <f ca="1">K$42</f>
        <v>9014.0557591699962</v>
      </c>
      <c r="L107" s="89">
        <f ca="1">L$42</f>
        <v>9270.683266945096</v>
      </c>
      <c r="M107" s="89">
        <f ca="1">M$42</f>
        <v>9535.0095999534515</v>
      </c>
      <c r="N107" s="89">
        <f ca="1">N$42</f>
        <v>9807.2657229520555</v>
      </c>
    </row>
    <row r="108" spans="1:14">
      <c r="D108" s="18" t="s">
        <v>89</v>
      </c>
      <c r="F108" s="436"/>
      <c r="G108" s="436"/>
      <c r="H108" s="436"/>
      <c r="I108" s="436">
        <f ca="1">I103</f>
        <v>-1822</v>
      </c>
      <c r="J108" s="89">
        <f ca="1">-J$103</f>
        <v>-4477.5419315068502</v>
      </c>
      <c r="K108" s="89">
        <f ca="1">-K$103</f>
        <v>56.62374205479864</v>
      </c>
      <c r="L108" s="89">
        <f ca="1">-L$103</f>
        <v>58.322454316439689</v>
      </c>
      <c r="M108" s="89">
        <f ca="1">-M$103</f>
        <v>60.072127945924876</v>
      </c>
      <c r="N108" s="89">
        <f ca="1">-N$103</f>
        <v>61.874291784315574</v>
      </c>
    </row>
    <row r="109" spans="1:14">
      <c r="D109" s="90" t="s">
        <v>12</v>
      </c>
      <c r="F109" s="436">
        <v>6059</v>
      </c>
      <c r="G109" s="436">
        <v>6695</v>
      </c>
      <c r="H109" s="436">
        <v>6417</v>
      </c>
      <c r="I109" s="436">
        <v>4802</v>
      </c>
      <c r="J109" s="89">
        <f ca="1">-J182</f>
        <v>2667</v>
      </c>
      <c r="K109" s="89">
        <f ca="1">-K182</f>
        <v>2458.0871750623442</v>
      </c>
      <c r="L109" s="89">
        <f ca="1">-L182</f>
        <v>2387.3683778453869</v>
      </c>
      <c r="M109" s="89">
        <f ca="1">-M182</f>
        <v>2386.7587229463343</v>
      </c>
      <c r="N109" s="89">
        <f ca="1">-N182</f>
        <v>2422.2461315175174</v>
      </c>
    </row>
    <row r="110" spans="1:14">
      <c r="D110" s="91" t="s">
        <v>284</v>
      </c>
      <c r="F110" s="435">
        <v>14770</v>
      </c>
      <c r="G110" s="435">
        <v>18197</v>
      </c>
      <c r="H110" s="435">
        <v>12796</v>
      </c>
      <c r="I110" s="435">
        <v>10435</v>
      </c>
      <c r="J110" s="11">
        <f ca="1">SUBTOTAL(9,OFFSET(J106,1,0):OFFSET(J110,-1,0))</f>
        <v>6851.4504074931447</v>
      </c>
      <c r="K110" s="11">
        <f ca="1">SUBTOTAL(9,OFFSET(K106,1,0):OFFSET(K110,-1,0))</f>
        <v>11528.766676287139</v>
      </c>
      <c r="L110" s="11">
        <f ca="1">SUBTOTAL(9,OFFSET(L106,1,0):OFFSET(L110,-1,0))</f>
        <v>11716.374099106923</v>
      </c>
      <c r="M110" s="11">
        <f ca="1">SUBTOTAL(9,OFFSET(M106,1,0):OFFSET(M110,-1,0))</f>
        <v>11981.84045084571</v>
      </c>
      <c r="N110" s="11">
        <f ca="1">SUBTOTAL(9,OFFSET(N106,1,0):OFFSET(N110,-1,0))</f>
        <v>12291.386146253888</v>
      </c>
    </row>
    <row r="111" spans="1:14" ht="6" customHeight="1"/>
    <row r="112" spans="1:14">
      <c r="D112" s="24" t="s">
        <v>92</v>
      </c>
      <c r="F112" s="22"/>
      <c r="G112" s="22"/>
      <c r="H112" s="22"/>
      <c r="I112" s="22"/>
      <c r="J112" s="22"/>
      <c r="K112" s="22"/>
      <c r="L112" s="22"/>
      <c r="M112" s="22"/>
      <c r="N112" s="22"/>
    </row>
    <row r="113" spans="1:14">
      <c r="D113" s="90" t="s">
        <v>46</v>
      </c>
      <c r="F113" s="436">
        <v>-2370</v>
      </c>
      <c r="G113" s="436">
        <v>-3042</v>
      </c>
      <c r="H113" s="436">
        <v>-2381</v>
      </c>
      <c r="I113" s="436">
        <v>-1860</v>
      </c>
      <c r="J113" s="89">
        <f ca="1">-J$181</f>
        <v>-2249.1743501246883</v>
      </c>
      <c r="K113" s="89">
        <f ca="1">-K$181</f>
        <v>-2316.6495806284292</v>
      </c>
      <c r="L113" s="89">
        <f ca="1">-L$181</f>
        <v>-2386.1490680472821</v>
      </c>
      <c r="M113" s="89">
        <f ca="1">-M$181</f>
        <v>-2457.7335400887009</v>
      </c>
      <c r="N113" s="89">
        <f ca="1">-N$181</f>
        <v>-2531.4655462913615</v>
      </c>
    </row>
    <row r="114" spans="1:14">
      <c r="D114" s="91" t="s">
        <v>93</v>
      </c>
      <c r="F114" s="435">
        <v>-26936</v>
      </c>
      <c r="G114" s="435">
        <v>-3028</v>
      </c>
      <c r="H114" s="435">
        <v>-597</v>
      </c>
      <c r="I114" s="435">
        <v>-4202</v>
      </c>
      <c r="J114" s="11">
        <f ca="1">SUBTOTAL(9,OFFSET(J112,1,0):OFFSET(J114,-1,0))</f>
        <v>-2249.1743501246883</v>
      </c>
      <c r="K114" s="11">
        <f ca="1">SUBTOTAL(9,OFFSET(K112,1,0):OFFSET(K114,-1,0))</f>
        <v>-2316.6495806284292</v>
      </c>
      <c r="L114" s="11">
        <f ca="1">SUBTOTAL(9,OFFSET(L112,1,0):OFFSET(L114,-1,0))</f>
        <v>-2386.1490680472821</v>
      </c>
      <c r="M114" s="11">
        <f ca="1">SUBTOTAL(9,OFFSET(M112,1,0):OFFSET(M114,-1,0))</f>
        <v>-2457.7335400887009</v>
      </c>
      <c r="N114" s="11">
        <f ca="1">SUBTOTAL(9,OFFSET(N112,1,0):OFFSET(N114,-1,0))</f>
        <v>-2531.4655462913615</v>
      </c>
    </row>
    <row r="115" spans="1:14" ht="6" customHeight="1"/>
    <row r="116" spans="1:14">
      <c r="D116" s="24" t="s">
        <v>94</v>
      </c>
      <c r="F116" s="22"/>
      <c r="G116" s="22"/>
      <c r="H116" s="22"/>
      <c r="I116" s="22"/>
      <c r="J116" s="22"/>
      <c r="K116" s="22"/>
      <c r="L116" s="22"/>
      <c r="M116" s="22"/>
      <c r="N116" s="22"/>
    </row>
    <row r="117" spans="1:14">
      <c r="D117" s="90" t="s">
        <v>95</v>
      </c>
      <c r="F117" s="437"/>
      <c r="G117" s="437"/>
      <c r="H117" s="437"/>
      <c r="I117" s="437"/>
      <c r="J117" s="89"/>
      <c r="K117" s="89"/>
      <c r="L117" s="89"/>
      <c r="M117" s="89"/>
      <c r="N117" s="89"/>
    </row>
    <row r="118" spans="1:14">
      <c r="D118" s="90" t="s">
        <v>96</v>
      </c>
      <c r="F118" s="434"/>
      <c r="G118" s="434"/>
      <c r="H118" s="434"/>
      <c r="I118" s="434"/>
      <c r="J118" s="89"/>
      <c r="K118" s="89"/>
      <c r="L118" s="89"/>
      <c r="M118" s="89"/>
      <c r="N118" s="89"/>
    </row>
    <row r="119" spans="1:14">
      <c r="D119" s="90" t="s">
        <v>97</v>
      </c>
      <c r="F119" s="434"/>
      <c r="G119" s="434"/>
      <c r="H119" s="434"/>
      <c r="I119" s="434"/>
      <c r="J119" s="89"/>
      <c r="K119" s="89"/>
      <c r="L119" s="89"/>
      <c r="M119" s="89"/>
      <c r="N119" s="89"/>
    </row>
    <row r="120" spans="1:14">
      <c r="D120" s="90" t="s">
        <v>98</v>
      </c>
      <c r="F120" s="434"/>
      <c r="G120" s="434"/>
      <c r="H120" s="434"/>
      <c r="I120" s="434"/>
      <c r="J120" s="89"/>
      <c r="K120" s="89"/>
      <c r="L120" s="89"/>
      <c r="M120" s="89"/>
      <c r="N120" s="89"/>
    </row>
    <row r="121" spans="1:14">
      <c r="D121" s="91" t="s">
        <v>99</v>
      </c>
      <c r="F121" s="435">
        <v>9042</v>
      </c>
      <c r="G121" s="435">
        <v>-9721</v>
      </c>
      <c r="H121" s="435">
        <v>-13354</v>
      </c>
      <c r="I121" s="435">
        <v>-4958</v>
      </c>
      <c r="J121" s="11">
        <f>AVERAGE(G121:I121)</f>
        <v>-9344.3333333333339</v>
      </c>
      <c r="K121" s="11">
        <f>AVERAGE(H121:J121)</f>
        <v>-9218.7777777777792</v>
      </c>
      <c r="L121" s="11">
        <f>AVERAGE(I121:K121)</f>
        <v>-7840.3703703703713</v>
      </c>
      <c r="M121" s="11">
        <f>AVERAGE(J121:L121)</f>
        <v>-8801.1604938271612</v>
      </c>
      <c r="N121" s="11">
        <f>AVERAGE(K121:M121)</f>
        <v>-8620.1028806584363</v>
      </c>
    </row>
    <row r="122" spans="1:14" ht="6" customHeight="1" thickBot="1"/>
    <row r="123" spans="1:14">
      <c r="D123" s="95" t="s">
        <v>30</v>
      </c>
      <c r="F123" s="438">
        <v>11379</v>
      </c>
      <c r="G123" s="438">
        <f>F125</f>
        <v>8172</v>
      </c>
      <c r="H123" s="438">
        <f t="shared" ref="H123:I123" si="27">G125</f>
        <v>13188</v>
      </c>
      <c r="I123" s="438">
        <f t="shared" si="27"/>
        <v>6650</v>
      </c>
      <c r="J123" s="97">
        <f ca="1">OFFSET(J125,0,-1)</f>
        <v>7886</v>
      </c>
      <c r="K123" s="97">
        <f ca="1">OFFSET(K125,0,-1)</f>
        <v>3143.9427240351224</v>
      </c>
      <c r="L123" s="97">
        <f ca="1">OFFSET(L125,0,-1)</f>
        <v>3137.2820419160535</v>
      </c>
      <c r="M123" s="97">
        <f ca="1">OFFSET(M125,0,-1)</f>
        <v>4627.1367026053231</v>
      </c>
      <c r="N123" s="97">
        <f ca="1">OFFSET(N125,0,-1)</f>
        <v>5350.0831195351711</v>
      </c>
    </row>
    <row r="124" spans="1:14">
      <c r="D124" s="9" t="s">
        <v>100</v>
      </c>
      <c r="F124" s="439">
        <f>F123-F125</f>
        <v>3207</v>
      </c>
      <c r="G124" s="439">
        <f t="shared" ref="G124:I124" si="28">G123-G125</f>
        <v>-5016</v>
      </c>
      <c r="H124" s="439">
        <f t="shared" si="28"/>
        <v>6538</v>
      </c>
      <c r="I124" s="439">
        <f t="shared" si="28"/>
        <v>-1236</v>
      </c>
      <c r="J124" s="92">
        <f ca="1">SUM(J110,J114,J121)</f>
        <v>-4742.0572759648776</v>
      </c>
      <c r="K124" s="92">
        <f ca="1">SUM(K110,K114,K121)</f>
        <v>-6.6606821190689516</v>
      </c>
      <c r="L124" s="92">
        <f ca="1">SUM(L110,L114,L121)</f>
        <v>1489.8546606892696</v>
      </c>
      <c r="M124" s="92">
        <f ca="1">SUM(M110,M114,M121)</f>
        <v>722.94641692984806</v>
      </c>
      <c r="N124" s="92">
        <f ca="1">SUM(N110,N114,N121)</f>
        <v>1139.8177193040901</v>
      </c>
    </row>
    <row r="125" spans="1:14" ht="12.75" thickBot="1">
      <c r="D125" s="93" t="s">
        <v>32</v>
      </c>
      <c r="F125" s="94">
        <f>F$54</f>
        <v>8172</v>
      </c>
      <c r="G125" s="94">
        <f>G$54</f>
        <v>13188</v>
      </c>
      <c r="H125" s="94">
        <f>H$54</f>
        <v>6650</v>
      </c>
      <c r="I125" s="94">
        <f>I$54</f>
        <v>7886</v>
      </c>
      <c r="J125" s="94">
        <f ca="1">J123+J124</f>
        <v>3143.9427240351224</v>
      </c>
      <c r="K125" s="94">
        <f ca="1">K123+K124</f>
        <v>3137.2820419160535</v>
      </c>
      <c r="L125" s="94">
        <f ca="1">L123+L124</f>
        <v>4627.1367026053231</v>
      </c>
      <c r="M125" s="94">
        <f ca="1">M123+M124</f>
        <v>5350.0831195351711</v>
      </c>
      <c r="N125" s="94">
        <f ca="1">N123+N124</f>
        <v>6489.9008388392613</v>
      </c>
    </row>
    <row r="126" spans="1:14">
      <c r="D126" s="107" t="s">
        <v>86</v>
      </c>
      <c r="F126" s="25"/>
      <c r="G126" s="25"/>
      <c r="H126" s="25"/>
      <c r="I126" s="25"/>
      <c r="J126" s="25">
        <f ca="1">ROUND(J54-J125,0)</f>
        <v>0</v>
      </c>
      <c r="K126" s="25">
        <f ca="1">ROUND(K54-K125,0)</f>
        <v>0</v>
      </c>
      <c r="L126" s="25">
        <f ca="1">ROUND(L54-L125,0)</f>
        <v>0</v>
      </c>
      <c r="M126" s="25">
        <f ca="1">ROUND(M54-M125,0)</f>
        <v>0</v>
      </c>
      <c r="N126" s="25">
        <f ca="1">ROUND(N54-N125,0)</f>
        <v>0</v>
      </c>
    </row>
    <row r="127" spans="1:14" ht="6" customHeight="1"/>
    <row r="128" spans="1:14">
      <c r="A128" s="98" t="s">
        <v>2</v>
      </c>
      <c r="D128" s="12" t="s">
        <v>266</v>
      </c>
      <c r="F128" s="13"/>
      <c r="G128" s="13"/>
      <c r="H128" s="13"/>
      <c r="I128" s="13"/>
      <c r="J128" s="13"/>
      <c r="K128" s="13"/>
      <c r="L128" s="13"/>
      <c r="M128" s="13"/>
      <c r="N128" s="13"/>
    </row>
    <row r="129" spans="1:14">
      <c r="D129" s="90" t="s">
        <v>101</v>
      </c>
      <c r="J129" s="89">
        <f ca="1">J110</f>
        <v>6851.4504074931447</v>
      </c>
      <c r="K129" s="89">
        <f ca="1">K110</f>
        <v>11528.766676287139</v>
      </c>
      <c r="L129" s="89">
        <f ca="1">L110</f>
        <v>11716.374099106923</v>
      </c>
      <c r="M129" s="89">
        <f ca="1">M110</f>
        <v>11981.84045084571</v>
      </c>
      <c r="N129" s="89">
        <f ca="1">N110</f>
        <v>12291.386146253888</v>
      </c>
    </row>
    <row r="130" spans="1:14">
      <c r="D130" s="90" t="s">
        <v>102</v>
      </c>
      <c r="J130" s="89">
        <f ca="1">J129+J113</f>
        <v>4602.2760573684563</v>
      </c>
      <c r="K130" s="89">
        <f ca="1">K129+K113</f>
        <v>9212.1170956587102</v>
      </c>
      <c r="L130" s="89">
        <f ca="1">L129+L113</f>
        <v>9330.225031059641</v>
      </c>
      <c r="M130" s="89">
        <f ca="1">M129+M113</f>
        <v>9524.1069107570092</v>
      </c>
      <c r="N130" s="89">
        <f ca="1">N129+N113</f>
        <v>9759.9205999625265</v>
      </c>
    </row>
    <row r="131" spans="1:14">
      <c r="D131" s="90" t="s">
        <v>103</v>
      </c>
      <c r="J131" s="89">
        <f ca="1">J130+J119+J118+J120</f>
        <v>4602.2760573684563</v>
      </c>
      <c r="K131" s="89">
        <f ca="1">K130+K119+K118+K120</f>
        <v>9212.1170956587102</v>
      </c>
      <c r="L131" s="89">
        <f ca="1">L130+L119+L118+L120</f>
        <v>9330.225031059641</v>
      </c>
      <c r="M131" s="89">
        <f ca="1">M130+M119+M118+M120</f>
        <v>9524.1069107570092</v>
      </c>
      <c r="N131" s="89">
        <f ca="1">N130+N119+N118+N120</f>
        <v>9759.9205999625265</v>
      </c>
    </row>
    <row r="132" spans="1:14" ht="6" customHeight="1"/>
    <row r="133" spans="1:14" ht="21" customHeight="1">
      <c r="A133" s="98"/>
      <c r="D133" s="446" t="s">
        <v>265</v>
      </c>
      <c r="E133"/>
      <c r="F133" s="447" t="s">
        <v>267</v>
      </c>
      <c r="G133" s="448"/>
      <c r="H133" s="448"/>
      <c r="I133" s="448"/>
      <c r="J133" s="448"/>
      <c r="K133" s="448"/>
      <c r="L133" s="448"/>
      <c r="M133" s="448"/>
      <c r="N133" s="448"/>
    </row>
    <row r="134" spans="1:14" ht="6" customHeight="1"/>
    <row r="135" spans="1:14">
      <c r="A135" s="98" t="s">
        <v>2</v>
      </c>
      <c r="D135" s="12" t="s">
        <v>28</v>
      </c>
      <c r="F135" s="13"/>
      <c r="G135" s="13"/>
      <c r="H135" s="13"/>
      <c r="I135" s="13"/>
      <c r="J135" s="13"/>
      <c r="K135" s="13"/>
      <c r="L135" s="13"/>
      <c r="M135" s="13"/>
      <c r="N135" s="13"/>
    </row>
    <row r="136" spans="1:14">
      <c r="D136" s="24" t="s">
        <v>34</v>
      </c>
      <c r="F136" s="22"/>
      <c r="G136" s="22"/>
      <c r="H136" s="22"/>
      <c r="I136" s="22"/>
      <c r="J136" s="22"/>
      <c r="K136" s="22"/>
      <c r="L136" s="22"/>
      <c r="M136" s="22"/>
      <c r="N136" s="22"/>
    </row>
    <row r="137" spans="1:14">
      <c r="D137" s="8" t="s">
        <v>30</v>
      </c>
      <c r="G137" s="89">
        <f ca="1">OFFSET(G139,0,-1)</f>
        <v>7870</v>
      </c>
      <c r="H137" s="89">
        <f t="shared" ref="H137:M137" ca="1" si="29">OFFSET(H139,0,-1)</f>
        <v>5790</v>
      </c>
      <c r="I137" s="89">
        <f t="shared" ca="1" si="29"/>
        <v>6754</v>
      </c>
      <c r="J137" s="89">
        <f t="shared" ca="1" si="29"/>
        <v>6541</v>
      </c>
      <c r="K137" s="89">
        <f t="shared" ca="1" si="29"/>
        <v>6832.4273972602732</v>
      </c>
      <c r="L137" s="89">
        <f t="shared" ca="1" si="29"/>
        <v>7037.4002191780819</v>
      </c>
      <c r="M137" s="89">
        <f t="shared" ca="1" si="29"/>
        <v>7248.5222257534242</v>
      </c>
      <c r="N137" s="89">
        <f ca="1">OFFSET(N139,0,-1)</f>
        <v>7465.9778925260289</v>
      </c>
    </row>
    <row r="138" spans="1:14">
      <c r="D138" s="8" t="s">
        <v>31</v>
      </c>
      <c r="F138" s="89">
        <f t="shared" ref="F138:N138" si="30">F139-F137</f>
        <v>7870</v>
      </c>
      <c r="G138" s="89">
        <f t="shared" ca="1" si="30"/>
        <v>-2080</v>
      </c>
      <c r="H138" s="89">
        <f t="shared" ca="1" si="30"/>
        <v>964</v>
      </c>
      <c r="I138" s="89">
        <f t="shared" ca="1" si="30"/>
        <v>-213</v>
      </c>
      <c r="J138" s="89">
        <f t="shared" ca="1" si="30"/>
        <v>291.42739726027321</v>
      </c>
      <c r="K138" s="89">
        <f t="shared" ca="1" si="30"/>
        <v>204.97282191780869</v>
      </c>
      <c r="L138" s="89">
        <f t="shared" ca="1" si="30"/>
        <v>211.12200657534231</v>
      </c>
      <c r="M138" s="89">
        <f t="shared" ca="1" si="30"/>
        <v>217.45566677260467</v>
      </c>
      <c r="N138" s="89">
        <f t="shared" ca="1" si="30"/>
        <v>223.9793367757793</v>
      </c>
    </row>
    <row r="139" spans="1:14">
      <c r="D139" s="99" t="s">
        <v>32</v>
      </c>
      <c r="F139" s="103">
        <f>F56</f>
        <v>7870</v>
      </c>
      <c r="G139" s="103">
        <f>G56</f>
        <v>5790</v>
      </c>
      <c r="H139" s="103">
        <f>H56</f>
        <v>6754</v>
      </c>
      <c r="I139" s="103">
        <f>I56</f>
        <v>6541</v>
      </c>
      <c r="J139" s="103">
        <f ca="1">ABS(J$12)/(365)*J140</f>
        <v>6832.4273972602732</v>
      </c>
      <c r="K139" s="103">
        <f ca="1">ABS(K$12)/(365)*K140</f>
        <v>7037.4002191780819</v>
      </c>
      <c r="L139" s="103">
        <f ca="1">ABS(L$12)/(365)*L140</f>
        <v>7248.5222257534242</v>
      </c>
      <c r="M139" s="103">
        <f ca="1">ABS(M$12)/(365)*M140</f>
        <v>7465.9778925260289</v>
      </c>
      <c r="N139" s="103">
        <f ca="1">ABS(N$12)/(365)*N140</f>
        <v>7689.9572293018082</v>
      </c>
    </row>
    <row r="140" spans="1:14">
      <c r="D140" s="100" t="s">
        <v>35</v>
      </c>
      <c r="F140" s="449">
        <f ca="1">IFERROR(AVERAGE(F137,F139)/ABS(F$12)*(365),"NA")</f>
        <v>37.23475961476143</v>
      </c>
      <c r="G140" s="449">
        <f ca="1">IFERROR(AVERAGE(G137,G139)/ABS(G$12)*(365),"NA")</f>
        <v>33.862401521325729</v>
      </c>
      <c r="H140" s="449">
        <f ca="1">IFERROR(AVERAGE(H137,H139)/ABS(H$12)*(365),"NA")</f>
        <v>39.917698343504796</v>
      </c>
      <c r="I140" s="449">
        <f ca="1">IFERROR(AVERAGE(I137,I139)/ABS(I$12)*(365),"NA")</f>
        <v>40.084875268461921</v>
      </c>
      <c r="J140" s="106">
        <v>40</v>
      </c>
      <c r="K140" s="106">
        <v>40</v>
      </c>
      <c r="L140" s="106">
        <v>40</v>
      </c>
      <c r="M140" s="106">
        <v>40</v>
      </c>
      <c r="N140" s="106">
        <v>40</v>
      </c>
    </row>
    <row r="141" spans="1:14" ht="6" customHeight="1"/>
    <row r="142" spans="1:14">
      <c r="D142" s="24" t="s">
        <v>29</v>
      </c>
      <c r="F142" s="22"/>
      <c r="G142" s="22"/>
      <c r="H142" s="22"/>
      <c r="I142" s="22"/>
      <c r="J142" s="22"/>
      <c r="K142" s="22"/>
      <c r="L142" s="22"/>
      <c r="M142" s="22"/>
      <c r="N142" s="22"/>
    </row>
    <row r="143" spans="1:14">
      <c r="D143" s="8" t="s">
        <v>30</v>
      </c>
      <c r="G143" s="89">
        <f ca="1">OFFSET(G145,0,-1)</f>
        <v>1619</v>
      </c>
      <c r="H143" s="89">
        <f t="shared" ref="H143:M143" ca="1" si="31">OFFSET(H145,0,-1)</f>
        <v>1649</v>
      </c>
      <c r="I143" s="89">
        <f t="shared" ca="1" si="31"/>
        <v>1649</v>
      </c>
      <c r="J143" s="89">
        <f t="shared" ca="1" si="31"/>
        <v>1552</v>
      </c>
      <c r="K143" s="89">
        <f t="shared" ca="1" si="31"/>
        <v>1614.1609726027398</v>
      </c>
      <c r="L143" s="89">
        <f t="shared" ca="1" si="31"/>
        <v>1662.5858017808223</v>
      </c>
      <c r="M143" s="89">
        <f t="shared" ca="1" si="31"/>
        <v>1712.4633758342468</v>
      </c>
      <c r="N143" s="89">
        <f ca="1">OFFSET(N145,0,-1)</f>
        <v>1763.8372771092743</v>
      </c>
    </row>
    <row r="144" spans="1:14">
      <c r="D144" s="8" t="s">
        <v>31</v>
      </c>
      <c r="F144" s="89">
        <f>F145-F143</f>
        <v>1619</v>
      </c>
      <c r="G144" s="89">
        <f ca="1">G145-G143</f>
        <v>30</v>
      </c>
      <c r="H144" s="89">
        <f t="shared" ref="H144:M144" ca="1" si="32">H145-H143</f>
        <v>0</v>
      </c>
      <c r="I144" s="89">
        <f t="shared" ca="1" si="32"/>
        <v>-97</v>
      </c>
      <c r="J144" s="89">
        <f t="shared" ca="1" si="32"/>
        <v>62.160972602739776</v>
      </c>
      <c r="K144" s="89">
        <f t="shared" ca="1" si="32"/>
        <v>48.424829178082518</v>
      </c>
      <c r="L144" s="89">
        <f t="shared" ca="1" si="32"/>
        <v>49.877574053424496</v>
      </c>
      <c r="M144" s="89">
        <f t="shared" ca="1" si="32"/>
        <v>51.373901275027492</v>
      </c>
      <c r="N144" s="89">
        <f ca="1">N145-N143</f>
        <v>52.915118313278299</v>
      </c>
    </row>
    <row r="145" spans="4:14">
      <c r="D145" s="99" t="s">
        <v>32</v>
      </c>
      <c r="F145" s="103">
        <f>F57</f>
        <v>1619</v>
      </c>
      <c r="G145" s="103">
        <f>G57</f>
        <v>1649</v>
      </c>
      <c r="H145" s="103">
        <f>H57</f>
        <v>1649</v>
      </c>
      <c r="I145" s="103">
        <f>I57</f>
        <v>1552</v>
      </c>
      <c r="J145" s="103">
        <f ca="1">ABS(J$18)/(365)*J146</f>
        <v>1614.1609726027398</v>
      </c>
      <c r="K145" s="103">
        <f ca="1">ABS(K$18)/(365)*K146</f>
        <v>1662.5858017808223</v>
      </c>
      <c r="L145" s="103">
        <f ca="1">ABS(L$18)/(365)*L146</f>
        <v>1712.4633758342468</v>
      </c>
      <c r="M145" s="103">
        <f ca="1">ABS(M$18)/(365)*M146</f>
        <v>1763.8372771092743</v>
      </c>
      <c r="N145" s="103">
        <f ca="1">ABS(N$18)/(365)*N146</f>
        <v>1816.7523954225526</v>
      </c>
    </row>
    <row r="146" spans="4:14">
      <c r="D146" s="100" t="s">
        <v>33</v>
      </c>
      <c r="F146" s="449">
        <f ca="1">IFERROR(AVERAGE(F143,F145)/ABS(F$18)*(365),"NA")</f>
        <v>14.732125049860391</v>
      </c>
      <c r="G146" s="449">
        <f ca="1">IFERROR(AVERAGE(G143,G145)/ABS(G$18)*(365),"NA")</f>
        <v>14.190439934331058</v>
      </c>
      <c r="H146" s="449">
        <f ca="1">IFERROR(AVERAGE(H143,H145)/ABS(H$18)*(365),"NA")</f>
        <v>25.099457881567975</v>
      </c>
      <c r="I146" s="449">
        <f ca="1">IFERROR(AVERAGE(I143,I145)/ABS(I$18)*(365),"NA")</f>
        <v>21.508928571428569</v>
      </c>
      <c r="J146" s="106">
        <v>21</v>
      </c>
      <c r="K146" s="106">
        <v>21</v>
      </c>
      <c r="L146" s="106">
        <v>21</v>
      </c>
      <c r="M146" s="106">
        <v>21</v>
      </c>
      <c r="N146" s="106">
        <v>21</v>
      </c>
    </row>
    <row r="147" spans="4:14" ht="6" customHeight="1"/>
    <row r="148" spans="4:14">
      <c r="D148" s="24" t="s">
        <v>166</v>
      </c>
      <c r="F148" s="22"/>
      <c r="G148" s="22"/>
      <c r="H148" s="22"/>
      <c r="I148" s="22"/>
      <c r="J148" s="22"/>
      <c r="K148" s="22"/>
      <c r="L148" s="22"/>
      <c r="M148" s="22"/>
      <c r="N148" s="22"/>
    </row>
    <row r="149" spans="4:14">
      <c r="D149" s="8" t="s">
        <v>30</v>
      </c>
      <c r="G149" s="89">
        <f ca="1">OFFSET(G151,0,-1)</f>
        <v>2101</v>
      </c>
      <c r="H149" s="89">
        <f t="shared" ref="H149:M149" ca="1" si="33">OFFSET(H151,0,-1)</f>
        <v>3466</v>
      </c>
      <c r="I149" s="89">
        <f t="shared" ca="1" si="33"/>
        <v>3466</v>
      </c>
      <c r="J149" s="89">
        <f t="shared" ca="1" si="33"/>
        <v>2611</v>
      </c>
      <c r="K149" s="89">
        <f t="shared" ca="1" si="33"/>
        <v>3117.2950000000001</v>
      </c>
      <c r="L149" s="89">
        <f t="shared" ca="1" si="33"/>
        <v>3210.8138500000005</v>
      </c>
      <c r="M149" s="89">
        <f t="shared" ca="1" si="33"/>
        <v>3307.1382655000002</v>
      </c>
      <c r="N149" s="89">
        <f ca="1">OFFSET(N151,0,-1)</f>
        <v>3406.3524134650006</v>
      </c>
    </row>
    <row r="150" spans="4:14">
      <c r="D150" s="8" t="s">
        <v>31</v>
      </c>
      <c r="F150" s="89">
        <f>F151-F149</f>
        <v>2101</v>
      </c>
      <c r="G150" s="89">
        <f ca="1">G151-G149</f>
        <v>1365</v>
      </c>
      <c r="H150" s="89">
        <f t="shared" ref="H150:M150" ca="1" si="34">H151-H149</f>
        <v>0</v>
      </c>
      <c r="I150" s="89">
        <f t="shared" ca="1" si="34"/>
        <v>-855</v>
      </c>
      <c r="J150" s="89">
        <f t="shared" ca="1" si="34"/>
        <v>506.29500000000007</v>
      </c>
      <c r="K150" s="89">
        <f t="shared" ca="1" si="34"/>
        <v>93.518850000000384</v>
      </c>
      <c r="L150" s="89">
        <f t="shared" ca="1" si="34"/>
        <v>96.324415499999759</v>
      </c>
      <c r="M150" s="89">
        <f t="shared" ca="1" si="34"/>
        <v>99.214147965000393</v>
      </c>
      <c r="N150" s="89">
        <f ca="1">N151-N149</f>
        <v>102.19057240394977</v>
      </c>
    </row>
    <row r="151" spans="4:14">
      <c r="D151" s="99" t="s">
        <v>32</v>
      </c>
      <c r="F151" s="103">
        <f>F58</f>
        <v>2101</v>
      </c>
      <c r="G151" s="103">
        <f>G58</f>
        <v>3466</v>
      </c>
      <c r="H151" s="103">
        <f>H58</f>
        <v>3466</v>
      </c>
      <c r="I151" s="103">
        <f>I58</f>
        <v>2611</v>
      </c>
      <c r="J151" s="103">
        <f ca="1">ABS(J$12)*J152</f>
        <v>3117.2950000000001</v>
      </c>
      <c r="K151" s="103">
        <f ca="1">ABS(K$12)*K152</f>
        <v>3210.8138500000005</v>
      </c>
      <c r="L151" s="103">
        <f ca="1">ABS(L$12)*L152</f>
        <v>3307.1382655000002</v>
      </c>
      <c r="M151" s="103">
        <f ca="1">ABS(M$12)*M152</f>
        <v>3406.3524134650006</v>
      </c>
      <c r="N151" s="103">
        <f ca="1">ABS(N$12)*N152</f>
        <v>3508.5429858689504</v>
      </c>
    </row>
    <row r="152" spans="4:14">
      <c r="D152" s="100" t="s">
        <v>37</v>
      </c>
      <c r="F152" s="101">
        <f ca="1">IFERROR(AVERAGE(F149,F151)/ABS(F$12),"NA")</f>
        <v>2.7233722633414132E-2</v>
      </c>
      <c r="G152" s="101">
        <f ca="1">IFERROR(AVERAGE(G149,G151)/ABS(G$12),"NA")</f>
        <v>3.7809019288236892E-2</v>
      </c>
      <c r="H152" s="101">
        <f ca="1">IFERROR(AVERAGE(H149,H151)/ABS(H$12),"NA")</f>
        <v>6.0435919790758498E-2</v>
      </c>
      <c r="I152" s="101">
        <f ca="1">IFERROR(AVERAGE(I149,I151)/ABS(I$12),"NA")</f>
        <v>5.0198248802246818E-2</v>
      </c>
      <c r="J152" s="105">
        <v>0.05</v>
      </c>
      <c r="K152" s="105">
        <v>0.05</v>
      </c>
      <c r="L152" s="105">
        <v>0.05</v>
      </c>
      <c r="M152" s="105">
        <v>0.05</v>
      </c>
      <c r="N152" s="105">
        <v>0.05</v>
      </c>
    </row>
    <row r="153" spans="4:14" ht="6" customHeight="1"/>
    <row r="154" spans="4:14">
      <c r="D154" s="24" t="s">
        <v>36</v>
      </c>
      <c r="F154" s="22"/>
      <c r="G154" s="22"/>
      <c r="H154" s="22"/>
      <c r="I154" s="22"/>
      <c r="J154" s="22"/>
      <c r="K154" s="22"/>
      <c r="L154" s="22"/>
      <c r="M154" s="22"/>
      <c r="N154" s="22"/>
    </row>
    <row r="155" spans="4:14">
      <c r="D155" s="8" t="s">
        <v>30</v>
      </c>
      <c r="G155" s="89">
        <f ca="1">OFFSET(G157,0,-1)</f>
        <v>17962</v>
      </c>
      <c r="H155" s="89">
        <f t="shared" ref="H155:M155" ca="1" si="35">OFFSET(H157,0,-1)</f>
        <v>14472</v>
      </c>
      <c r="I155" s="89">
        <f t="shared" ca="1" si="35"/>
        <v>10420</v>
      </c>
      <c r="J155" s="89">
        <f ca="1">OFFSET(J157,0,-1)</f>
        <v>9676</v>
      </c>
      <c r="K155" s="89">
        <f t="shared" ca="1" si="35"/>
        <v>11222.262000000001</v>
      </c>
      <c r="L155" s="89">
        <f t="shared" ca="1" si="35"/>
        <v>11558.92986</v>
      </c>
      <c r="M155" s="89">
        <f t="shared" ca="1" si="35"/>
        <v>11905.6977558</v>
      </c>
      <c r="N155" s="89">
        <f ca="1">OFFSET(N157,0,-1)</f>
        <v>12262.868688474002</v>
      </c>
    </row>
    <row r="156" spans="4:14">
      <c r="D156" s="8" t="s">
        <v>31</v>
      </c>
      <c r="F156" s="89">
        <f>F157-F155</f>
        <v>17962</v>
      </c>
      <c r="G156" s="89">
        <f ca="1">G157-G155</f>
        <v>-3490</v>
      </c>
      <c r="H156" s="89">
        <f t="shared" ref="H156:M156" ca="1" si="36">H157-H155</f>
        <v>-4052</v>
      </c>
      <c r="I156" s="89">
        <f t="shared" ca="1" si="36"/>
        <v>-744</v>
      </c>
      <c r="J156" s="89">
        <f t="shared" ca="1" si="36"/>
        <v>1546.2620000000006</v>
      </c>
      <c r="K156" s="89">
        <f t="shared" ca="1" si="36"/>
        <v>336.66785999999956</v>
      </c>
      <c r="L156" s="89">
        <f t="shared" ca="1" si="36"/>
        <v>346.76789579999968</v>
      </c>
      <c r="M156" s="89">
        <f t="shared" ca="1" si="36"/>
        <v>357.17093267400196</v>
      </c>
      <c r="N156" s="89">
        <f ca="1">N157-N155</f>
        <v>367.88606065421845</v>
      </c>
    </row>
    <row r="157" spans="4:14">
      <c r="D157" s="99" t="s">
        <v>32</v>
      </c>
      <c r="F157" s="103">
        <f>F59</f>
        <v>17962</v>
      </c>
      <c r="G157" s="103">
        <f>G59</f>
        <v>14472</v>
      </c>
      <c r="H157" s="103">
        <f>H59</f>
        <v>10420</v>
      </c>
      <c r="I157" s="103">
        <f>I59</f>
        <v>9676</v>
      </c>
      <c r="J157" s="103">
        <f ca="1">ABS(J$12)*J158</f>
        <v>11222.262000000001</v>
      </c>
      <c r="K157" s="103">
        <f ca="1">ABS(K$12)*K158</f>
        <v>11558.92986</v>
      </c>
      <c r="L157" s="103">
        <f ca="1">ABS(L$12)*L158</f>
        <v>11905.6977558</v>
      </c>
      <c r="M157" s="103">
        <f ca="1">ABS(M$12)*M158</f>
        <v>12262.868688474002</v>
      </c>
      <c r="N157" s="103">
        <f ca="1">ABS(N$12)*N158</f>
        <v>12630.75474912822</v>
      </c>
    </row>
    <row r="158" spans="4:14">
      <c r="D158" s="100" t="s">
        <v>37</v>
      </c>
      <c r="F158" s="101">
        <f ca="1">IFERROR(AVERAGE(F155,F157)/ABS(F$12),"NA")</f>
        <v>0.23282823700208694</v>
      </c>
      <c r="G158" s="101">
        <f ca="1">IFERROR(AVERAGE(G155,G157)/ABS(G$12),"NA")</f>
        <v>0.22027981526759033</v>
      </c>
      <c r="H158" s="101">
        <f ca="1">IFERROR(AVERAGE(H155,H157)/ABS(H$12),"NA")</f>
        <v>0.21701830863121185</v>
      </c>
      <c r="I158" s="101">
        <f ca="1">IFERROR(AVERAGE(I155,I157)/ABS(I$12),"NA")</f>
        <v>0.16600033041467041</v>
      </c>
      <c r="J158" s="105">
        <v>0.18</v>
      </c>
      <c r="K158" s="105">
        <v>0.18</v>
      </c>
      <c r="L158" s="105">
        <v>0.18</v>
      </c>
      <c r="M158" s="105">
        <v>0.18</v>
      </c>
      <c r="N158" s="105">
        <v>0.18</v>
      </c>
    </row>
    <row r="159" spans="4:14" ht="6" customHeight="1"/>
    <row r="160" spans="4:14">
      <c r="D160" s="24" t="s">
        <v>38</v>
      </c>
      <c r="F160" s="22"/>
      <c r="G160" s="22"/>
      <c r="H160" s="22"/>
      <c r="I160" s="22"/>
      <c r="J160" s="22"/>
      <c r="K160" s="22"/>
      <c r="L160" s="22"/>
      <c r="M160" s="22"/>
      <c r="N160" s="22"/>
    </row>
    <row r="161" spans="4:14">
      <c r="D161" s="8" t="s">
        <v>30</v>
      </c>
      <c r="G161" s="89">
        <f ca="1">OFFSET(G163,0,-1)</f>
        <v>4896</v>
      </c>
      <c r="H161" s="89">
        <f t="shared" ref="H161:M161" ca="1" si="37">OFFSET(H163,0,-1)</f>
        <v>4908</v>
      </c>
      <c r="I161" s="89">
        <f t="shared" ca="1" si="37"/>
        <v>3955</v>
      </c>
      <c r="J161" s="89">
        <f t="shared" ca="1" si="37"/>
        <v>4051</v>
      </c>
      <c r="K161" s="89">
        <f t="shared" ca="1" si="37"/>
        <v>3996.9700273972603</v>
      </c>
      <c r="L161" s="89">
        <f t="shared" ca="1" si="37"/>
        <v>4116.8791282191787</v>
      </c>
      <c r="M161" s="89">
        <f t="shared" ca="1" si="37"/>
        <v>4240.3855020657538</v>
      </c>
      <c r="N161" s="89">
        <f ca="1">OFFSET(N163,0,-1)</f>
        <v>4367.5970671277264</v>
      </c>
    </row>
    <row r="162" spans="4:14">
      <c r="D162" s="8" t="s">
        <v>31</v>
      </c>
      <c r="F162" s="89">
        <f>F163-F161</f>
        <v>4896</v>
      </c>
      <c r="G162" s="89">
        <f ca="1">G163-G161</f>
        <v>12</v>
      </c>
      <c r="H162" s="89">
        <f t="shared" ref="H162:M162" ca="1" si="38">H163-H161</f>
        <v>-953</v>
      </c>
      <c r="I162" s="89">
        <f t="shared" ca="1" si="38"/>
        <v>96</v>
      </c>
      <c r="J162" s="89">
        <f t="shared" ca="1" si="38"/>
        <v>-54.02997260273969</v>
      </c>
      <c r="K162" s="89">
        <f t="shared" ca="1" si="38"/>
        <v>119.9091008219184</v>
      </c>
      <c r="L162" s="89">
        <f t="shared" ca="1" si="38"/>
        <v>123.50637384657512</v>
      </c>
      <c r="M162" s="89">
        <f t="shared" ca="1" si="38"/>
        <v>127.21156506197258</v>
      </c>
      <c r="N162" s="89">
        <f ca="1">N163-N161</f>
        <v>131.02791201383206</v>
      </c>
    </row>
    <row r="163" spans="4:14">
      <c r="D163" s="99" t="s">
        <v>32</v>
      </c>
      <c r="F163" s="103">
        <f>F73</f>
        <v>4896</v>
      </c>
      <c r="G163" s="103">
        <f>G73</f>
        <v>4908</v>
      </c>
      <c r="H163" s="103">
        <f>H73</f>
        <v>3955</v>
      </c>
      <c r="I163" s="103">
        <f>I73</f>
        <v>4051</v>
      </c>
      <c r="J163" s="103">
        <f ca="1">ABS(J$18)/(365)*J164</f>
        <v>3996.9700273972603</v>
      </c>
      <c r="K163" s="103">
        <f ca="1">ABS(K$18)/(365)*K164</f>
        <v>4116.8791282191787</v>
      </c>
      <c r="L163" s="103">
        <f ca="1">ABS(L$18)/(365)*L164</f>
        <v>4240.3855020657538</v>
      </c>
      <c r="M163" s="103">
        <f ca="1">ABS(M$18)/(365)*M164</f>
        <v>4367.5970671277264</v>
      </c>
      <c r="N163" s="103">
        <f ca="1">ABS(N$18)/(365)*N164</f>
        <v>4498.6249791415585</v>
      </c>
    </row>
    <row r="164" spans="4:14">
      <c r="D164" s="100" t="s">
        <v>39</v>
      </c>
      <c r="F164" s="449">
        <f ca="1">IFERROR(AVERAGE(F161,F163)/ABS(F$18)*(365),"NA")</f>
        <v>44.551256481850814</v>
      </c>
      <c r="G164" s="449">
        <f ca="1">IFERROR(AVERAGE(G161,G163)/ABS(G$18)*(365),"NA")</f>
        <v>42.571319802993173</v>
      </c>
      <c r="H164" s="449">
        <f ca="1">IFERROR(AVERAGE(H161,H163)/ABS(H$18)*(365),"NA")</f>
        <v>67.451939115929946</v>
      </c>
      <c r="I164" s="449">
        <f ca="1">IFERROR(AVERAGE(I161,I163)/ABS(I$18)*(365),"NA")</f>
        <v>53.795839469808541</v>
      </c>
      <c r="J164" s="106">
        <v>52</v>
      </c>
      <c r="K164" s="106">
        <v>52</v>
      </c>
      <c r="L164" s="106">
        <v>52</v>
      </c>
      <c r="M164" s="106">
        <v>52</v>
      </c>
      <c r="N164" s="106">
        <v>52</v>
      </c>
    </row>
    <row r="165" spans="4:14" ht="6" customHeight="1"/>
    <row r="166" spans="4:14">
      <c r="D166" s="24" t="s">
        <v>40</v>
      </c>
      <c r="F166" s="22"/>
      <c r="G166" s="22"/>
      <c r="H166" s="22"/>
      <c r="I166" s="22"/>
      <c r="J166" s="22"/>
      <c r="K166" s="22"/>
      <c r="L166" s="22"/>
      <c r="M166" s="22"/>
      <c r="N166" s="22"/>
    </row>
    <row r="167" spans="4:14">
      <c r="D167" s="8" t="s">
        <v>30</v>
      </c>
      <c r="G167" s="89">
        <f ca="1">OFFSET(G169,0,-1)</f>
        <v>3406</v>
      </c>
      <c r="H167" s="89">
        <f t="shared" ref="H167:M167" ca="1" si="39">OFFSET(H169,0,-1)</f>
        <v>3440</v>
      </c>
      <c r="I167" s="89">
        <f t="shared" ca="1" si="39"/>
        <v>3204</v>
      </c>
      <c r="J167" s="89">
        <f t="shared" ca="1" si="39"/>
        <v>3481</v>
      </c>
      <c r="K167" s="89">
        <f t="shared" ca="1" si="39"/>
        <v>3382.0515616438361</v>
      </c>
      <c r="L167" s="89">
        <f t="shared" ca="1" si="39"/>
        <v>3483.5131084931513</v>
      </c>
      <c r="M167" s="89">
        <f t="shared" ca="1" si="39"/>
        <v>3588.0185017479457</v>
      </c>
      <c r="N167" s="89">
        <f ca="1">OFFSET(N169,0,-1)</f>
        <v>3695.659056800384</v>
      </c>
    </row>
    <row r="168" spans="4:14">
      <c r="D168" s="8" t="s">
        <v>31</v>
      </c>
      <c r="F168" s="89">
        <f>F169-F167</f>
        <v>3406</v>
      </c>
      <c r="G168" s="89">
        <f ca="1">G169-G167</f>
        <v>34</v>
      </c>
      <c r="H168" s="89">
        <f t="shared" ref="H168:M168" ca="1" si="40">H169-H167</f>
        <v>-236</v>
      </c>
      <c r="I168" s="89">
        <f t="shared" ca="1" si="40"/>
        <v>277</v>
      </c>
      <c r="J168" s="89">
        <f t="shared" ca="1" si="40"/>
        <v>-98.948438356163933</v>
      </c>
      <c r="K168" s="89">
        <f t="shared" ca="1" si="40"/>
        <v>101.46154684931525</v>
      </c>
      <c r="L168" s="89">
        <f t="shared" ca="1" si="40"/>
        <v>104.5053932547944</v>
      </c>
      <c r="M168" s="89">
        <f t="shared" ca="1" si="40"/>
        <v>107.64055505243823</v>
      </c>
      <c r="N168" s="89">
        <f ca="1">N169-N167</f>
        <v>110.86977170401178</v>
      </c>
    </row>
    <row r="169" spans="4:14">
      <c r="D169" s="99" t="s">
        <v>32</v>
      </c>
      <c r="F169" s="103">
        <f>F74</f>
        <v>3406</v>
      </c>
      <c r="G169" s="103">
        <f>G74</f>
        <v>3440</v>
      </c>
      <c r="H169" s="103">
        <f>H74</f>
        <v>3204</v>
      </c>
      <c r="I169" s="103">
        <f>I74</f>
        <v>3481</v>
      </c>
      <c r="J169" s="103">
        <f ca="1">ABS(J$18)/(365)*J170</f>
        <v>3382.0515616438361</v>
      </c>
      <c r="K169" s="103">
        <f ca="1">ABS(K$18)/(365)*K170</f>
        <v>3483.5131084931513</v>
      </c>
      <c r="L169" s="103">
        <f ca="1">ABS(L$18)/(365)*L170</f>
        <v>3588.0185017479457</v>
      </c>
      <c r="M169" s="103">
        <f ca="1">ABS(M$18)/(365)*M170</f>
        <v>3695.659056800384</v>
      </c>
      <c r="N169" s="103">
        <f ca="1">ABS(N$18)/(365)*N170</f>
        <v>3806.5288285043957</v>
      </c>
    </row>
    <row r="170" spans="4:14">
      <c r="D170" s="100" t="s">
        <v>41</v>
      </c>
      <c r="F170" s="449">
        <f ca="1">IFERROR(AVERAGE(F167,F169)/ABS(F$18)*(365),"NA")</f>
        <v>30.992969684882329</v>
      </c>
      <c r="G170" s="449">
        <f ca="1">IFERROR(AVERAGE(G167,G169)/ABS(G$18)*(365),"NA")</f>
        <v>29.726974232077854</v>
      </c>
      <c r="H170" s="449">
        <f ca="1">IFERROR(AVERAGE(H167,H169)/ABS(H$18)*(365),"NA")</f>
        <v>50.564220183486242</v>
      </c>
      <c r="I170" s="449">
        <f ca="1">IFERROR(AVERAGE(I167,I169)/ABS(I$18)*(365),"NA")</f>
        <v>44.919458762886599</v>
      </c>
      <c r="J170" s="106">
        <v>44</v>
      </c>
      <c r="K170" s="106">
        <v>44</v>
      </c>
      <c r="L170" s="106">
        <v>44</v>
      </c>
      <c r="M170" s="106">
        <v>44</v>
      </c>
      <c r="N170" s="106">
        <v>44</v>
      </c>
    </row>
    <row r="171" spans="4:14" ht="6" customHeight="1"/>
    <row r="172" spans="4:14">
      <c r="D172" s="24" t="s">
        <v>42</v>
      </c>
      <c r="F172" s="22"/>
      <c r="G172" s="22"/>
      <c r="H172" s="22"/>
      <c r="I172" s="22"/>
      <c r="J172" s="22"/>
      <c r="K172" s="22"/>
      <c r="L172" s="22"/>
      <c r="M172" s="22"/>
      <c r="N172" s="22"/>
    </row>
    <row r="173" spans="4:14">
      <c r="D173" s="8" t="s">
        <v>30</v>
      </c>
      <c r="G173" s="89">
        <f ca="1">OFFSET(G175,0,-1)</f>
        <v>17763</v>
      </c>
      <c r="H173" s="89">
        <f t="shared" ref="H173:M173" ca="1" si="41">OFFSET(H175,0,-1)</f>
        <v>24608</v>
      </c>
      <c r="I173" s="89">
        <f t="shared" ca="1" si="41"/>
        <v>19673</v>
      </c>
      <c r="J173" s="89">
        <f t="shared" ca="1" si="41"/>
        <v>19213</v>
      </c>
      <c r="K173" s="89">
        <f t="shared" ca="1" si="41"/>
        <v>17294.581849315069</v>
      </c>
      <c r="L173" s="89">
        <f t="shared" ca="1" si="41"/>
        <v>17813.419304794523</v>
      </c>
      <c r="M173" s="89">
        <f t="shared" ca="1" si="41"/>
        <v>18347.821883938359</v>
      </c>
      <c r="N173" s="89">
        <f ca="1">OFFSET(N175,0,-1)</f>
        <v>18898.25654045651</v>
      </c>
    </row>
    <row r="174" spans="4:14">
      <c r="D174" s="8" t="s">
        <v>31</v>
      </c>
      <c r="F174" s="89">
        <f>F175-F173</f>
        <v>17763</v>
      </c>
      <c r="G174" s="89">
        <f ca="1">G175-G173</f>
        <v>6845</v>
      </c>
      <c r="H174" s="89">
        <f t="shared" ref="H174:M174" ca="1" si="42">H175-H173</f>
        <v>-4935</v>
      </c>
      <c r="I174" s="89">
        <f t="shared" ca="1" si="42"/>
        <v>-460</v>
      </c>
      <c r="J174" s="89">
        <f ca="1">J175-J173</f>
        <v>-1918.4181506849309</v>
      </c>
      <c r="K174" s="89">
        <f t="shared" ca="1" si="42"/>
        <v>518.83745547945364</v>
      </c>
      <c r="L174" s="89">
        <f t="shared" ca="1" si="42"/>
        <v>534.40257914383619</v>
      </c>
      <c r="M174" s="89">
        <f t="shared" ca="1" si="42"/>
        <v>550.43465651815131</v>
      </c>
      <c r="N174" s="89">
        <f ca="1">N175-N173</f>
        <v>566.94769621369414</v>
      </c>
    </row>
    <row r="175" spans="4:14">
      <c r="D175" s="99" t="s">
        <v>32</v>
      </c>
      <c r="F175" s="103">
        <f>F78</f>
        <v>17763</v>
      </c>
      <c r="G175" s="103">
        <f>G78</f>
        <v>24608</v>
      </c>
      <c r="H175" s="103">
        <f>H78</f>
        <v>19673</v>
      </c>
      <c r="I175" s="103">
        <f>I78</f>
        <v>19213</v>
      </c>
      <c r="J175" s="103">
        <f ca="1">ABS(J$18)/(365)*J176</f>
        <v>17294.581849315069</v>
      </c>
      <c r="K175" s="103">
        <f ca="1">ABS(K$18)/(365)*K176</f>
        <v>17813.419304794523</v>
      </c>
      <c r="L175" s="103">
        <f ca="1">ABS(L$18)/(365)*L176</f>
        <v>18347.821883938359</v>
      </c>
      <c r="M175" s="103">
        <f ca="1">ABS(M$18)/(365)*M176</f>
        <v>18898.25654045651</v>
      </c>
      <c r="N175" s="103">
        <f ca="1">ABS(N$18)/(365)*N176</f>
        <v>19465.204236670204</v>
      </c>
    </row>
    <row r="176" spans="4:14">
      <c r="D176" s="100" t="s">
        <v>43</v>
      </c>
      <c r="F176" s="449">
        <f ca="1">IFERROR(AVERAGE(F173,F175)/ABS(F$18)*(365),"NA")</f>
        <v>161.63479756681292</v>
      </c>
      <c r="G176" s="449">
        <f ca="1">IFERROR(AVERAGE(G173,G175)/ABS(G$18)*(365),"NA")</f>
        <v>183.98504603963929</v>
      </c>
      <c r="H176" s="449">
        <f ca="1">IFERROR(AVERAGE(H173,H175)/ABS(H$18)*(365),"NA")</f>
        <v>337.0009382819016</v>
      </c>
      <c r="I176" s="449">
        <f ca="1">IFERROR(AVERAGE(I173,I175)/ABS(I$18)*(365),"NA")</f>
        <v>261.29215758468337</v>
      </c>
      <c r="J176" s="106">
        <v>225</v>
      </c>
      <c r="K176" s="106">
        <v>225</v>
      </c>
      <c r="L176" s="106">
        <v>225</v>
      </c>
      <c r="M176" s="106">
        <v>225</v>
      </c>
      <c r="N176" s="106">
        <v>225</v>
      </c>
    </row>
    <row r="177" spans="1:14" ht="6" customHeight="1"/>
    <row r="178" spans="1:14" ht="24" customHeight="1">
      <c r="A178" s="98"/>
      <c r="D178" s="12" t="s">
        <v>44</v>
      </c>
      <c r="F178" s="13"/>
      <c r="G178" s="13"/>
      <c r="H178" s="13"/>
      <c r="I178" s="13"/>
      <c r="J178" s="13"/>
      <c r="K178" s="13"/>
      <c r="L178" s="13"/>
      <c r="M178" s="13"/>
      <c r="N178" s="13"/>
    </row>
    <row r="179" spans="1:14">
      <c r="D179" s="24" t="s">
        <v>45</v>
      </c>
      <c r="F179" s="22"/>
      <c r="G179" s="22"/>
      <c r="H179" s="22"/>
      <c r="I179" s="22"/>
      <c r="J179" s="22"/>
      <c r="K179" s="22"/>
      <c r="L179" s="22"/>
      <c r="M179" s="22"/>
      <c r="N179" s="22"/>
    </row>
    <row r="180" spans="1:14">
      <c r="D180" s="8" t="s">
        <v>30</v>
      </c>
      <c r="F180" s="2">
        <v>10792</v>
      </c>
      <c r="G180" s="89">
        <f ca="1">OFFSET(G183,0,-1)</f>
        <v>10010</v>
      </c>
      <c r="H180" s="89">
        <f ca="1">OFFSET(H183,0,-1)</f>
        <v>6205</v>
      </c>
      <c r="I180" s="89">
        <f ca="1">OFFSET(I183,0,-1)</f>
        <v>5694</v>
      </c>
      <c r="J180" s="89">
        <f t="shared" ref="J180:M180" ca="1" si="43">OFFSET(J183,0,-1)</f>
        <v>5334</v>
      </c>
      <c r="K180" s="89">
        <f t="shared" ca="1" si="43"/>
        <v>4916.1743501246883</v>
      </c>
      <c r="L180" s="89">
        <f t="shared" ca="1" si="43"/>
        <v>4774.7367556907739</v>
      </c>
      <c r="M180" s="89">
        <f t="shared" ca="1" si="43"/>
        <v>4773.5174458926685</v>
      </c>
      <c r="N180" s="89">
        <f ca="1">OFFSET(N183,0,-1)</f>
        <v>4844.4922630350347</v>
      </c>
    </row>
    <row r="181" spans="1:14">
      <c r="D181" s="8" t="s">
        <v>46</v>
      </c>
      <c r="F181" s="89">
        <v>2370</v>
      </c>
      <c r="G181" s="89">
        <v>3042</v>
      </c>
      <c r="H181" s="89">
        <v>2381</v>
      </c>
      <c r="I181" s="89">
        <v>1861</v>
      </c>
      <c r="J181" s="493">
        <f ca="1">J184*J10</f>
        <v>2249.1743501246883</v>
      </c>
      <c r="K181" s="493">
        <f ca="1">K184*K10</f>
        <v>2316.6495806284292</v>
      </c>
      <c r="L181" s="493">
        <f ca="1">L184*L10</f>
        <v>2386.1490680472821</v>
      </c>
      <c r="M181" s="493">
        <f ca="1">M184*M10</f>
        <v>2457.7335400887009</v>
      </c>
      <c r="N181" s="493">
        <f ca="1">N184*N10</f>
        <v>2531.4655462913615</v>
      </c>
    </row>
    <row r="182" spans="1:14">
      <c r="D182" s="8" t="s">
        <v>47</v>
      </c>
      <c r="F182" s="89">
        <v>-6059</v>
      </c>
      <c r="G182" s="89">
        <v>-6695</v>
      </c>
      <c r="H182" s="89">
        <v>-6417</v>
      </c>
      <c r="I182" s="89">
        <v>-4802</v>
      </c>
      <c r="J182" s="89">
        <f ca="1">J180*J185</f>
        <v>-2667</v>
      </c>
      <c r="K182" s="89">
        <f t="shared" ref="K182:N182" ca="1" si="44">K180*K185</f>
        <v>-2458.0871750623442</v>
      </c>
      <c r="L182" s="89">
        <f t="shared" ca="1" si="44"/>
        <v>-2387.3683778453869</v>
      </c>
      <c r="M182" s="89">
        <f t="shared" ca="1" si="44"/>
        <v>-2386.7587229463343</v>
      </c>
      <c r="N182" s="89">
        <f t="shared" ca="1" si="44"/>
        <v>-2422.2461315175174</v>
      </c>
    </row>
    <row r="183" spans="1:14">
      <c r="D183" s="99" t="s">
        <v>32</v>
      </c>
      <c r="F183" s="103">
        <f>F63</f>
        <v>10010</v>
      </c>
      <c r="G183" s="103">
        <f>G63</f>
        <v>6205</v>
      </c>
      <c r="H183" s="103">
        <f>H63</f>
        <v>5694</v>
      </c>
      <c r="I183" s="103">
        <f>I63</f>
        <v>5334</v>
      </c>
      <c r="J183" s="103">
        <f ca="1">SUBTOTAL(9,J180:J182)</f>
        <v>4916.1743501246883</v>
      </c>
      <c r="K183" s="103">
        <f ca="1">SUBTOTAL(9,K180:K182)</f>
        <v>4774.7367556907739</v>
      </c>
      <c r="L183" s="103">
        <f ca="1">SUBTOTAL(9,L180:L182)</f>
        <v>4773.5174458926685</v>
      </c>
      <c r="M183" s="103">
        <f ca="1">SUBTOTAL(9,M180:M182)</f>
        <v>4844.4922630350347</v>
      </c>
      <c r="N183" s="103">
        <f ca="1">SUBTOTAL(9,N180:N182)</f>
        <v>4953.7116778088784</v>
      </c>
    </row>
    <row r="184" spans="1:14">
      <c r="D184" s="100" t="s">
        <v>48</v>
      </c>
      <c r="F184" s="101">
        <f ca="1">IFERROR(F181/ABS(F$12),"NA")</f>
        <v>3.0720572413703708E-2</v>
      </c>
      <c r="G184" s="101">
        <f ca="1">IFERROR(G181/ABS(G$12),"NA")</f>
        <v>4.1320293398533006E-2</v>
      </c>
      <c r="H184" s="101">
        <f ca="1">IFERROR(H181/ABS(H$12),"NA")</f>
        <v>4.1517000871839585E-2</v>
      </c>
      <c r="I184" s="101">
        <f ca="1">IFERROR(I181/ABS(I$12),"NA")</f>
        <v>3.0745085081777632E-2</v>
      </c>
      <c r="J184" s="104">
        <f ca="1">AVERAGE($F$184:$I$184)</f>
        <v>3.6075737941463487E-2</v>
      </c>
      <c r="K184" s="104">
        <f t="shared" ref="K184:N184" ca="1" si="45">AVERAGE($F$184:$I$184)</f>
        <v>3.6075737941463487E-2</v>
      </c>
      <c r="L184" s="104">
        <f t="shared" ca="1" si="45"/>
        <v>3.6075737941463487E-2</v>
      </c>
      <c r="M184" s="104">
        <f t="shared" ca="1" si="45"/>
        <v>3.6075737941463487E-2</v>
      </c>
      <c r="N184" s="104">
        <f t="shared" ca="1" si="45"/>
        <v>3.6075737941463487E-2</v>
      </c>
    </row>
    <row r="185" spans="1:14">
      <c r="D185" s="100" t="s">
        <v>49</v>
      </c>
      <c r="F185" s="101">
        <f>IFERROR((F182/F180),"NA")</f>
        <v>-0.56143439584877686</v>
      </c>
      <c r="G185" s="101">
        <f ca="1">IFERROR((G182/G180),"NA")</f>
        <v>-0.66883116883116878</v>
      </c>
      <c r="H185" s="101">
        <f ca="1">IFERROR((H182/H180),"NA")</f>
        <v>-1.0341659951651894</v>
      </c>
      <c r="I185" s="101">
        <f ca="1">IFERROR((I182/I180),"NA")</f>
        <v>-0.84334387074113104</v>
      </c>
      <c r="J185" s="104">
        <v>-0.5</v>
      </c>
      <c r="K185" s="104">
        <v>-0.5</v>
      </c>
      <c r="L185" s="104">
        <v>-0.5</v>
      </c>
      <c r="M185" s="104">
        <v>-0.5</v>
      </c>
      <c r="N185" s="104">
        <v>-0.5</v>
      </c>
    </row>
    <row r="186" spans="1:14" ht="6" customHeight="1"/>
    <row r="187" spans="1:14">
      <c r="A187" s="98"/>
      <c r="D187" s="12" t="s">
        <v>50</v>
      </c>
      <c r="F187" s="13"/>
      <c r="G187" s="13"/>
      <c r="H187" s="13"/>
      <c r="I187" s="13"/>
      <c r="J187" s="13"/>
      <c r="K187" s="13"/>
      <c r="L187" s="13"/>
      <c r="M187" s="13"/>
      <c r="N187" s="13"/>
    </row>
    <row r="188" spans="1:14">
      <c r="D188" s="24" t="s">
        <v>51</v>
      </c>
      <c r="F188" s="22"/>
      <c r="G188" s="22"/>
      <c r="H188" s="22"/>
      <c r="I188" s="22"/>
      <c r="J188" s="22"/>
      <c r="K188" s="22"/>
      <c r="L188" s="22"/>
      <c r="M188" s="22"/>
      <c r="N188" s="22"/>
    </row>
    <row r="189" spans="1:14">
      <c r="D189" s="8" t="s">
        <v>30</v>
      </c>
      <c r="F189" s="89"/>
      <c r="G189" s="89">
        <f t="shared" ref="G189:N189" ca="1" si="46">OFFSET(G191,0,-1)</f>
        <v>0</v>
      </c>
      <c r="H189" s="89">
        <f t="shared" ca="1" si="46"/>
        <v>0</v>
      </c>
      <c r="I189" s="89">
        <f t="shared" ca="1" si="46"/>
        <v>0</v>
      </c>
      <c r="J189" s="89">
        <f t="shared" ca="1" si="46"/>
        <v>0</v>
      </c>
      <c r="K189" s="89">
        <f t="shared" ca="1" si="46"/>
        <v>0</v>
      </c>
      <c r="L189" s="89">
        <f t="shared" ca="1" si="46"/>
        <v>0</v>
      </c>
      <c r="M189" s="89">
        <f t="shared" ca="1" si="46"/>
        <v>0</v>
      </c>
      <c r="N189" s="89">
        <f t="shared" ca="1" si="46"/>
        <v>0</v>
      </c>
    </row>
    <row r="190" spans="1:14">
      <c r="D190" s="8" t="s">
        <v>52</v>
      </c>
      <c r="F190" s="89">
        <f>F191-F189</f>
        <v>0</v>
      </c>
      <c r="G190" s="89">
        <f ca="1">G191-G189</f>
        <v>0</v>
      </c>
      <c r="H190" s="89">
        <f ca="1">H191-H189</f>
        <v>0</v>
      </c>
      <c r="I190" s="89">
        <f ca="1">I191-I189</f>
        <v>0</v>
      </c>
      <c r="J190" s="38"/>
      <c r="K190" s="38"/>
      <c r="L190" s="38"/>
      <c r="M190" s="38"/>
      <c r="N190" s="38"/>
    </row>
    <row r="191" spans="1:14">
      <c r="D191" s="99" t="s">
        <v>32</v>
      </c>
      <c r="F191" s="455">
        <f>F75</f>
        <v>0</v>
      </c>
      <c r="G191" s="455">
        <f>G75</f>
        <v>0</v>
      </c>
      <c r="H191" s="455">
        <f>H75</f>
        <v>0</v>
      </c>
      <c r="I191" s="455">
        <f>I75</f>
        <v>0</v>
      </c>
      <c r="J191" s="103">
        <f ca="1">J189+J190</f>
        <v>0</v>
      </c>
      <c r="K191" s="103">
        <f ca="1">K189+K190</f>
        <v>0</v>
      </c>
      <c r="L191" s="103">
        <f ca="1">L189+L190</f>
        <v>0</v>
      </c>
      <c r="M191" s="103">
        <f ca="1">M189+M190</f>
        <v>0</v>
      </c>
      <c r="N191" s="103">
        <f ca="1">N189+N190</f>
        <v>0</v>
      </c>
    </row>
    <row r="192" spans="1:14" ht="6" customHeight="1"/>
    <row r="193" spans="4:14">
      <c r="D193" s="24" t="s">
        <v>53</v>
      </c>
      <c r="F193" s="22"/>
      <c r="G193" s="22"/>
      <c r="H193" s="22"/>
      <c r="I193" s="22"/>
      <c r="J193" s="22"/>
      <c r="K193" s="22"/>
      <c r="L193" s="22"/>
      <c r="M193" s="22"/>
      <c r="N193" s="22"/>
    </row>
    <row r="194" spans="4:14">
      <c r="D194" s="8" t="s">
        <v>30</v>
      </c>
      <c r="F194" s="89"/>
      <c r="G194" s="89">
        <f t="shared" ref="G194:N194" ca="1" si="47">OFFSET(G196,0,-1)</f>
        <v>8797</v>
      </c>
      <c r="H194" s="89">
        <f t="shared" ca="1" si="47"/>
        <v>7183</v>
      </c>
      <c r="I194" s="89">
        <f t="shared" ca="1" si="47"/>
        <v>6787</v>
      </c>
      <c r="J194" s="89">
        <f t="shared" ca="1" si="47"/>
        <v>4760</v>
      </c>
      <c r="K194" s="89">
        <f t="shared" ca="1" si="47"/>
        <v>4760</v>
      </c>
      <c r="L194" s="89">
        <f t="shared" ca="1" si="47"/>
        <v>4760</v>
      </c>
      <c r="M194" s="89">
        <f t="shared" ca="1" si="47"/>
        <v>4760</v>
      </c>
      <c r="N194" s="89">
        <f t="shared" ca="1" si="47"/>
        <v>4760</v>
      </c>
    </row>
    <row r="195" spans="4:14">
      <c r="D195" s="8" t="s">
        <v>52</v>
      </c>
      <c r="F195" s="89">
        <f>F196-F194</f>
        <v>8797</v>
      </c>
      <c r="G195" s="89">
        <f ca="1">G196-G194</f>
        <v>-1614</v>
      </c>
      <c r="H195" s="89">
        <f ca="1">H196-H194</f>
        <v>-396</v>
      </c>
      <c r="I195" s="89">
        <f ca="1">I196-I194</f>
        <v>-2027</v>
      </c>
      <c r="J195" s="38"/>
      <c r="K195" s="38"/>
      <c r="L195" s="38"/>
      <c r="M195" s="38"/>
      <c r="N195" s="38"/>
    </row>
    <row r="196" spans="4:14">
      <c r="D196" s="99" t="s">
        <v>32</v>
      </c>
      <c r="F196" s="103">
        <f>F76</f>
        <v>8797</v>
      </c>
      <c r="G196" s="103">
        <f>G76</f>
        <v>7183</v>
      </c>
      <c r="H196" s="103">
        <f>H76</f>
        <v>6787</v>
      </c>
      <c r="I196" s="103">
        <f>I76</f>
        <v>4760</v>
      </c>
      <c r="J196" s="103">
        <f ca="1">J194+J195</f>
        <v>4760</v>
      </c>
      <c r="K196" s="103">
        <f ca="1">K194+K195</f>
        <v>4760</v>
      </c>
      <c r="L196" s="103">
        <f ca="1">L194+L195</f>
        <v>4760</v>
      </c>
      <c r="M196" s="103">
        <f ca="1">M194+M195</f>
        <v>4760</v>
      </c>
      <c r="N196" s="103">
        <f ca="1">N194+N195</f>
        <v>4760</v>
      </c>
    </row>
    <row r="197" spans="4:14" ht="6" customHeight="1"/>
    <row r="198" spans="4:14">
      <c r="D198" s="24" t="s">
        <v>54</v>
      </c>
      <c r="F198" s="22"/>
      <c r="G198" s="22"/>
      <c r="H198" s="22"/>
      <c r="I198" s="22"/>
      <c r="J198" s="22"/>
      <c r="K198" s="22"/>
      <c r="L198" s="22"/>
      <c r="M198" s="22"/>
      <c r="N198" s="22"/>
    </row>
    <row r="199" spans="4:14">
      <c r="D199" s="8" t="s">
        <v>30</v>
      </c>
      <c r="F199" s="89"/>
      <c r="G199" s="89">
        <f t="shared" ref="G199:N199" ca="1" si="48">OFFSET(G201,0,-1)</f>
        <v>54102</v>
      </c>
      <c r="H199" s="89">
        <f t="shared" ca="1" si="48"/>
        <v>54355</v>
      </c>
      <c r="I199" s="89">
        <f t="shared" ca="1" si="48"/>
        <v>44917</v>
      </c>
      <c r="J199" s="89">
        <f t="shared" ca="1" si="48"/>
        <v>46189</v>
      </c>
      <c r="K199" s="89">
        <f t="shared" ca="1" si="48"/>
        <v>46189</v>
      </c>
      <c r="L199" s="89">
        <f t="shared" ca="1" si="48"/>
        <v>46189</v>
      </c>
      <c r="M199" s="89">
        <f t="shared" ca="1" si="48"/>
        <v>46189</v>
      </c>
      <c r="N199" s="89">
        <f t="shared" ca="1" si="48"/>
        <v>46189</v>
      </c>
    </row>
    <row r="200" spans="4:14">
      <c r="D200" s="8" t="s">
        <v>52</v>
      </c>
      <c r="F200" s="89">
        <f>F201-F199</f>
        <v>54102</v>
      </c>
      <c r="G200" s="89">
        <f ca="1">G201-G199</f>
        <v>253</v>
      </c>
      <c r="H200" s="89">
        <f ca="1">H201-H199</f>
        <v>-9438</v>
      </c>
      <c r="I200" s="89">
        <f ca="1">I201-I199</f>
        <v>1272</v>
      </c>
      <c r="J200" s="38"/>
      <c r="K200" s="38"/>
      <c r="L200" s="38"/>
      <c r="M200" s="38"/>
      <c r="N200" s="38"/>
    </row>
    <row r="201" spans="4:14">
      <c r="D201" s="99" t="s">
        <v>32</v>
      </c>
      <c r="F201" s="103">
        <f>F82</f>
        <v>54102</v>
      </c>
      <c r="G201" s="103">
        <f>G82</f>
        <v>54355</v>
      </c>
      <c r="H201" s="103">
        <f>H82</f>
        <v>44917</v>
      </c>
      <c r="I201" s="103">
        <f>I82</f>
        <v>46189</v>
      </c>
      <c r="J201" s="103">
        <f ca="1">J199+J200</f>
        <v>46189</v>
      </c>
      <c r="K201" s="103">
        <f ca="1">K199+K200</f>
        <v>46189</v>
      </c>
      <c r="L201" s="103">
        <f ca="1">L199+L200</f>
        <v>46189</v>
      </c>
      <c r="M201" s="103">
        <f ca="1">M199+M200</f>
        <v>46189</v>
      </c>
      <c r="N201" s="103">
        <f ca="1">N199+N200</f>
        <v>46189</v>
      </c>
    </row>
    <row r="202" spans="4:14" ht="21.6" customHeight="1">
      <c r="D202" s="5"/>
      <c r="E202" s="5"/>
      <c r="F202" s="5"/>
      <c r="G202" s="5"/>
      <c r="H202" s="5"/>
      <c r="I202" s="5"/>
      <c r="J202" s="5"/>
      <c r="K202" s="5"/>
      <c r="L202" s="5"/>
      <c r="M202" s="5"/>
      <c r="N202" s="5"/>
    </row>
    <row r="203" spans="4:14" ht="36" customHeight="1">
      <c r="D203" s="477" t="s">
        <v>291</v>
      </c>
      <c r="F203" s="464" t="s">
        <v>109</v>
      </c>
      <c r="G203" s="464" t="s">
        <v>286</v>
      </c>
      <c r="H203" s="464" t="s">
        <v>285</v>
      </c>
      <c r="I203" s="464" t="s">
        <v>287</v>
      </c>
      <c r="J203" s="464"/>
      <c r="K203" s="463"/>
      <c r="L203" s="463"/>
      <c r="M203" s="463"/>
      <c r="N203" s="463"/>
    </row>
    <row r="204" spans="4:14">
      <c r="D204" s="467" t="s">
        <v>289</v>
      </c>
      <c r="F204" s="468"/>
      <c r="G204" s="468"/>
      <c r="H204" s="469"/>
      <c r="I204" s="469"/>
      <c r="J204" s="469"/>
      <c r="K204" s="469"/>
      <c r="L204" s="469"/>
      <c r="M204" s="469"/>
      <c r="N204" s="469"/>
    </row>
    <row r="205" spans="4:14">
      <c r="D205" s="470" t="s">
        <v>288</v>
      </c>
      <c r="F205" s="471">
        <f ca="1">DCF_Enterprise_Value</f>
        <v>181990.92609205007</v>
      </c>
      <c r="G205" s="471">
        <f ca="1">DCF_Equity_Value</f>
        <v>137589.92609205007</v>
      </c>
      <c r="H205" s="472">
        <f ca="1">DCF_Enterprise_Value_PerShare</f>
        <v>199.76830780348189</v>
      </c>
      <c r="I205" s="472">
        <f ca="1">DCF_Equity_Value_PerShare</f>
        <v>151.03009417245701</v>
      </c>
      <c r="J205" s="465"/>
      <c r="K205" s="465"/>
      <c r="L205" s="465"/>
      <c r="M205" s="465"/>
      <c r="N205" s="465"/>
    </row>
    <row r="206" spans="4:14">
      <c r="D206" s="476">
        <f>D207-2.5%</f>
        <v>2.5000000000000001E-2</v>
      </c>
      <c r="E206" s="2">
        <f t="dataTable" ref="E206:I210" dt2D="0" dtr="0" r1="Z10" ca="1"/>
        <v>0</v>
      </c>
      <c r="F206" s="474">
        <v>181287.18271408405</v>
      </c>
      <c r="G206" s="474">
        <v>136886.18271408405</v>
      </c>
      <c r="H206" s="475">
        <v>198.99582080776725</v>
      </c>
      <c r="I206" s="475">
        <v>150.25760717674234</v>
      </c>
      <c r="J206" s="466"/>
      <c r="K206" s="466"/>
      <c r="L206" s="466"/>
      <c r="M206" s="466"/>
      <c r="N206" s="466"/>
    </row>
    <row r="207" spans="4:14">
      <c r="D207" s="473">
        <v>0.05</v>
      </c>
      <c r="E207" s="2">
        <v>0</v>
      </c>
      <c r="F207" s="474">
        <v>184805.89960391368</v>
      </c>
      <c r="G207" s="474">
        <v>140404.89960391368</v>
      </c>
      <c r="H207" s="475">
        <v>202.85825578634007</v>
      </c>
      <c r="I207" s="475">
        <v>154.12004215531519</v>
      </c>
      <c r="J207" s="466"/>
      <c r="K207" s="466"/>
      <c r="L207" s="466"/>
      <c r="M207" s="466"/>
      <c r="N207" s="466"/>
    </row>
    <row r="208" spans="4:14">
      <c r="D208" s="476">
        <f>D207+2.5%</f>
        <v>7.5000000000000011E-2</v>
      </c>
      <c r="E208" s="2">
        <v>0</v>
      </c>
      <c r="F208" s="474">
        <v>188324.61649374317</v>
      </c>
      <c r="G208" s="474">
        <v>143923.61649374317</v>
      </c>
      <c r="H208" s="475">
        <v>206.72069076491272</v>
      </c>
      <c r="I208" s="475">
        <v>157.98247713388787</v>
      </c>
      <c r="J208" s="466"/>
      <c r="K208" s="466"/>
      <c r="L208" s="466"/>
      <c r="M208" s="466"/>
      <c r="N208" s="466"/>
    </row>
    <row r="209" spans="4:14">
      <c r="D209" s="476">
        <f>D208+2.5%</f>
        <v>0.1</v>
      </c>
      <c r="E209" s="2">
        <v>0</v>
      </c>
      <c r="F209" s="474">
        <v>191843.33338357293</v>
      </c>
      <c r="G209" s="474">
        <v>147442.33338357293</v>
      </c>
      <c r="H209" s="475">
        <v>210.58312574348571</v>
      </c>
      <c r="I209" s="475">
        <v>161.8449121124608</v>
      </c>
      <c r="J209" s="466"/>
      <c r="K209" s="466"/>
      <c r="L209" s="466"/>
      <c r="M209" s="466"/>
      <c r="N209" s="466"/>
    </row>
    <row r="210" spans="4:14">
      <c r="D210" s="476">
        <f>D209+2.5%</f>
        <v>0.125</v>
      </c>
      <c r="E210" s="2">
        <v>0</v>
      </c>
      <c r="F210" s="474">
        <v>195362.05027340248</v>
      </c>
      <c r="G210" s="474">
        <v>150961.05027340248</v>
      </c>
      <c r="H210" s="475">
        <v>214.44556072205847</v>
      </c>
      <c r="I210" s="475">
        <v>165.70734709103357</v>
      </c>
      <c r="J210" s="466"/>
      <c r="K210" s="466"/>
      <c r="L210" s="466"/>
      <c r="M210" s="466"/>
      <c r="N210" s="466"/>
    </row>
    <row r="212" spans="4:14">
      <c r="D212" s="467" t="s">
        <v>290</v>
      </c>
      <c r="F212" s="468"/>
      <c r="G212" s="468"/>
      <c r="H212" s="469"/>
      <c r="I212" s="469"/>
      <c r="J212" s="469"/>
      <c r="K212" s="469"/>
      <c r="L212" s="469"/>
      <c r="M212" s="469"/>
      <c r="N212" s="469"/>
    </row>
    <row r="213" spans="4:14">
      <c r="D213" s="470" t="s">
        <v>288</v>
      </c>
      <c r="F213" s="471">
        <f ca="1">DCF_Enterprise_Value</f>
        <v>181990.92609205007</v>
      </c>
      <c r="G213" s="471">
        <f ca="1">DCF_Equity_Value</f>
        <v>137589.92609205007</v>
      </c>
      <c r="H213" s="472">
        <f ca="1">DCF_Enterprise_Value_PerShare</f>
        <v>199.76830780348189</v>
      </c>
      <c r="I213" s="472">
        <f ca="1">DCF_Equity_Value_PerShare</f>
        <v>151.03009417245701</v>
      </c>
      <c r="J213" s="465"/>
      <c r="K213" s="465"/>
      <c r="L213" s="465"/>
      <c r="M213" s="465"/>
      <c r="N213" s="465"/>
    </row>
    <row r="214" spans="4:14">
      <c r="D214" s="476">
        <f>D215+2.5%</f>
        <v>0.60000000000000009</v>
      </c>
      <c r="E214" s="2">
        <f t="dataTable" ref="E214:I219" dt2D="0" dtr="0" r1="Z16" ca="1"/>
        <v>0</v>
      </c>
      <c r="F214" s="474">
        <v>175315.01367764024</v>
      </c>
      <c r="G214" s="474">
        <v>130914.01367764024</v>
      </c>
      <c r="H214" s="475">
        <v>192.44027362777604</v>
      </c>
      <c r="I214" s="475">
        <v>143.70205999675113</v>
      </c>
      <c r="J214" s="466"/>
      <c r="K214" s="466"/>
      <c r="L214" s="466"/>
      <c r="M214" s="466"/>
      <c r="N214" s="466"/>
    </row>
    <row r="215" spans="4:14">
      <c r="D215" s="476">
        <f>D216+2.5%</f>
        <v>0.57500000000000007</v>
      </c>
      <c r="E215" s="2">
        <v>0</v>
      </c>
      <c r="F215" s="474">
        <v>176427.66574670855</v>
      </c>
      <c r="G215" s="474">
        <v>132026.66574670855</v>
      </c>
      <c r="H215" s="475">
        <v>193.66161265706035</v>
      </c>
      <c r="I215" s="475">
        <v>144.92339902603544</v>
      </c>
      <c r="J215" s="466"/>
      <c r="K215" s="466"/>
      <c r="L215" s="466"/>
      <c r="M215" s="466"/>
      <c r="N215" s="466"/>
    </row>
    <row r="216" spans="4:14">
      <c r="D216" s="473">
        <v>0.55000000000000004</v>
      </c>
      <c r="E216" s="2">
        <v>0</v>
      </c>
      <c r="F216" s="474">
        <v>177540.31781577686</v>
      </c>
      <c r="G216" s="474">
        <v>133139.31781577686</v>
      </c>
      <c r="H216" s="475">
        <v>194.88295168634465</v>
      </c>
      <c r="I216" s="475">
        <v>146.14473805531975</v>
      </c>
      <c r="J216" s="466"/>
      <c r="K216" s="466"/>
      <c r="L216" s="466"/>
      <c r="M216" s="466"/>
      <c r="N216" s="466"/>
    </row>
    <row r="217" spans="4:14">
      <c r="D217" s="476">
        <f>D216-2.5%</f>
        <v>0.52500000000000002</v>
      </c>
      <c r="E217" s="2">
        <v>0</v>
      </c>
      <c r="F217" s="474">
        <v>178652.96988484517</v>
      </c>
      <c r="G217" s="474">
        <v>134251.96988484517</v>
      </c>
      <c r="H217" s="475">
        <v>196.10429071562896</v>
      </c>
      <c r="I217" s="475">
        <v>147.36607708460409</v>
      </c>
      <c r="J217" s="466"/>
      <c r="K217" s="466"/>
      <c r="L217" s="466"/>
      <c r="M217" s="466"/>
      <c r="N217" s="466"/>
    </row>
    <row r="218" spans="4:14">
      <c r="D218" s="476">
        <f>D217-2.5%</f>
        <v>0.5</v>
      </c>
      <c r="E218" s="2">
        <v>0</v>
      </c>
      <c r="F218" s="474">
        <v>179765.62195391348</v>
      </c>
      <c r="G218" s="474">
        <v>135364.62195391348</v>
      </c>
      <c r="H218" s="475">
        <v>197.32562974491327</v>
      </c>
      <c r="I218" s="475">
        <v>148.58741611388839</v>
      </c>
      <c r="J218" s="466"/>
      <c r="K218" s="466"/>
      <c r="L218" s="466"/>
      <c r="M218" s="466"/>
      <c r="N218" s="466"/>
    </row>
    <row r="219" spans="4:14">
      <c r="D219" s="476">
        <f>D218-2.5%</f>
        <v>0.47499999999999998</v>
      </c>
      <c r="E219" s="2">
        <v>0</v>
      </c>
      <c r="F219" s="474">
        <v>180878.27402298176</v>
      </c>
      <c r="G219" s="474">
        <v>136477.27402298176</v>
      </c>
      <c r="H219" s="475">
        <v>198.54696877419758</v>
      </c>
      <c r="I219" s="475">
        <v>149.8087551431727</v>
      </c>
      <c r="J219" s="466"/>
      <c r="K219" s="466"/>
      <c r="L219" s="466"/>
      <c r="M219" s="466"/>
      <c r="N219" s="466"/>
    </row>
  </sheetData>
  <mergeCells count="1">
    <mergeCell ref="B51:B52"/>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8FEE8-4C11-4B57-9FE0-1C3C62FCAEDC}">
  <sheetPr>
    <tabColor theme="9"/>
    <pageSetUpPr fitToPage="1"/>
  </sheetPr>
  <dimension ref="A1:M65"/>
  <sheetViews>
    <sheetView showGridLines="0" view="pageBreakPreview" zoomScaleNormal="100" zoomScaleSheetLayoutView="100" workbookViewId="0">
      <pane ySplit="5" topLeftCell="A13" activePane="bottomLeft" state="frozen"/>
      <selection activeCell="Q21" sqref="Q21"/>
      <selection pane="bottomLeft" activeCell="I53" sqref="I53"/>
    </sheetView>
  </sheetViews>
  <sheetFormatPr defaultColWidth="8.85546875" defaultRowHeight="12.75"/>
  <cols>
    <col min="1" max="1" width="1.7109375" style="323" customWidth="1"/>
    <col min="2" max="2" width="30.28515625" style="323" customWidth="1"/>
    <col min="3" max="9" width="11.140625" style="323" customWidth="1"/>
    <col min="10" max="11" width="8.85546875" style="323"/>
    <col min="12" max="12" width="12.85546875" style="323" bestFit="1" customWidth="1"/>
    <col min="13" max="16384" width="8.85546875" style="323"/>
  </cols>
  <sheetData>
    <row r="1" spans="1:12" s="322" customFormat="1" ht="7.15" customHeight="1">
      <c r="A1" s="40"/>
      <c r="B1" s="41"/>
      <c r="C1" s="41"/>
      <c r="D1" s="40"/>
      <c r="E1" s="40"/>
      <c r="F1" s="40"/>
      <c r="G1" s="40"/>
      <c r="H1" s="40"/>
      <c r="I1" s="40"/>
    </row>
    <row r="2" spans="1:12" s="322" customFormat="1" ht="6" customHeight="1">
      <c r="A2" s="81"/>
      <c r="B2" s="81"/>
      <c r="C2" s="81"/>
      <c r="D2" s="81"/>
      <c r="E2" s="81"/>
      <c r="F2" s="81"/>
      <c r="G2" s="81"/>
      <c r="H2" s="81"/>
      <c r="I2" s="81"/>
    </row>
    <row r="3" spans="1:12" s="322" customFormat="1" ht="46.5" customHeight="1">
      <c r="A3" s="42"/>
      <c r="B3" s="293" t="str">
        <f>Comp_Name</f>
        <v>International Business Machines Corporation</v>
      </c>
      <c r="C3" s="80" t="s">
        <v>114</v>
      </c>
      <c r="D3" s="44"/>
      <c r="E3" s="44"/>
      <c r="F3" s="44"/>
      <c r="G3" s="44"/>
      <c r="H3" s="44"/>
      <c r="I3" s="44"/>
    </row>
    <row r="4" spans="1:12" s="322" customFormat="1" ht="6" customHeight="1">
      <c r="A4" s="82"/>
      <c r="B4" s="82"/>
      <c r="C4" s="82"/>
      <c r="D4" s="82"/>
      <c r="E4" s="82"/>
      <c r="F4" s="82"/>
      <c r="G4" s="82"/>
      <c r="H4" s="82"/>
      <c r="I4" s="82"/>
    </row>
    <row r="5" spans="1:12" s="322" customFormat="1">
      <c r="A5" s="43"/>
      <c r="B5" s="42"/>
      <c r="C5" s="43"/>
      <c r="D5" s="43"/>
      <c r="E5" s="43"/>
      <c r="F5" s="43"/>
      <c r="G5" s="43"/>
      <c r="H5" s="43"/>
      <c r="I5" s="43"/>
    </row>
    <row r="6" spans="1:12" s="322" customFormat="1" ht="13.9" customHeight="1">
      <c r="A6" s="83"/>
      <c r="B6" s="83" t="s">
        <v>115</v>
      </c>
      <c r="C6" s="84"/>
      <c r="D6" s="81"/>
      <c r="E6" s="81"/>
      <c r="F6" s="81"/>
      <c r="G6" s="85"/>
      <c r="H6" s="85"/>
      <c r="I6" s="86"/>
    </row>
    <row r="7" spans="1:12" ht="5.45" customHeight="1">
      <c r="A7" s="45"/>
      <c r="B7" s="45"/>
      <c r="C7" s="45"/>
      <c r="D7" s="45"/>
      <c r="E7" s="45"/>
      <c r="F7" s="45"/>
      <c r="G7" s="45"/>
      <c r="H7" s="45"/>
      <c r="I7" s="45"/>
    </row>
    <row r="8" spans="1:12">
      <c r="A8" s="83"/>
      <c r="B8" s="83" t="s">
        <v>116</v>
      </c>
      <c r="C8" s="83"/>
      <c r="D8" s="44"/>
      <c r="E8" s="45"/>
      <c r="F8" s="174"/>
      <c r="G8" s="368"/>
      <c r="H8" s="369" t="s">
        <v>164</v>
      </c>
      <c r="I8" s="370">
        <f>Current_Price</f>
        <v>142.03</v>
      </c>
    </row>
    <row r="9" spans="1:12">
      <c r="A9" s="40"/>
      <c r="B9" s="43" t="s">
        <v>117</v>
      </c>
      <c r="C9" s="321">
        <f>Risk_Free_Rate</f>
        <v>4.7E-2</v>
      </c>
      <c r="D9" s="44"/>
      <c r="E9" s="45"/>
      <c r="F9" s="45"/>
      <c r="G9" s="45"/>
      <c r="H9" s="45"/>
      <c r="I9" s="45"/>
      <c r="L9" s="325"/>
    </row>
    <row r="10" spans="1:12" ht="15">
      <c r="A10" s="40"/>
      <c r="B10" s="43" t="s">
        <v>118</v>
      </c>
      <c r="C10" s="321">
        <f>Equity_Risk_Premium</f>
        <v>4.3700000000000003E-2</v>
      </c>
      <c r="D10" s="44"/>
      <c r="E10" s="45"/>
      <c r="F10" s="45"/>
      <c r="G10" s="45"/>
      <c r="H10" s="45"/>
      <c r="I10" s="45"/>
      <c r="L10" s="326"/>
    </row>
    <row r="11" spans="1:12" ht="15">
      <c r="A11" s="40"/>
      <c r="B11" s="43" t="s">
        <v>120</v>
      </c>
      <c r="C11" s="321">
        <f>Country_RP</f>
        <v>0.02</v>
      </c>
      <c r="D11" s="44"/>
      <c r="E11" s="45"/>
      <c r="F11" s="45"/>
      <c r="G11" s="45"/>
      <c r="H11" s="45"/>
      <c r="I11" s="45"/>
      <c r="L11" s="326"/>
    </row>
    <row r="12" spans="1:12" ht="15">
      <c r="A12" s="40"/>
      <c r="B12" s="43" t="s">
        <v>121</v>
      </c>
      <c r="C12" s="321">
        <f>Size_RP</f>
        <v>0</v>
      </c>
      <c r="D12" s="46"/>
      <c r="E12" s="45"/>
      <c r="F12" s="45"/>
      <c r="G12" s="45"/>
      <c r="H12" s="45"/>
      <c r="I12" s="45"/>
      <c r="L12" s="327"/>
    </row>
    <row r="13" spans="1:12" ht="15">
      <c r="A13" s="40"/>
      <c r="B13" s="47" t="s">
        <v>157</v>
      </c>
      <c r="C13" s="318">
        <f>Equity_Beta</f>
        <v>0.8</v>
      </c>
      <c r="D13" s="48"/>
      <c r="E13" s="45"/>
      <c r="F13" s="45"/>
      <c r="G13" s="45"/>
      <c r="H13" s="45"/>
      <c r="I13" s="45"/>
      <c r="L13" s="328"/>
    </row>
    <row r="14" spans="1:12">
      <c r="A14" s="40"/>
      <c r="B14" s="49" t="s">
        <v>160</v>
      </c>
      <c r="C14" s="50">
        <f>Cost_of_Equity</f>
        <v>9.7960000000000005E-2</v>
      </c>
      <c r="D14" s="44"/>
      <c r="E14" s="45"/>
      <c r="F14" s="45"/>
      <c r="G14" s="45"/>
      <c r="H14" s="45"/>
      <c r="I14" s="45"/>
    </row>
    <row r="15" spans="1:12" ht="5.45" customHeight="1">
      <c r="A15" s="45"/>
      <c r="B15" s="45"/>
      <c r="C15" s="45"/>
      <c r="D15" s="45"/>
      <c r="E15" s="45"/>
      <c r="F15" s="45"/>
      <c r="G15" s="45"/>
      <c r="H15" s="45"/>
      <c r="I15" s="45"/>
    </row>
    <row r="16" spans="1:12">
      <c r="A16" s="83"/>
      <c r="B16" s="83" t="s">
        <v>124</v>
      </c>
      <c r="C16" s="83"/>
      <c r="D16" s="44"/>
      <c r="E16" s="45"/>
      <c r="F16" s="45"/>
      <c r="G16" s="45"/>
      <c r="H16" s="45"/>
      <c r="I16" s="45"/>
    </row>
    <row r="17" spans="1:12">
      <c r="A17" s="40"/>
      <c r="B17" s="43" t="s">
        <v>159</v>
      </c>
      <c r="C17" s="317">
        <f>Tax_Rate</f>
        <v>0.21</v>
      </c>
      <c r="D17" s="44"/>
      <c r="E17" s="45"/>
      <c r="F17" s="45"/>
      <c r="G17" s="45"/>
      <c r="H17" s="45"/>
      <c r="I17" s="45"/>
    </row>
    <row r="18" spans="1:12">
      <c r="A18" s="40"/>
      <c r="B18" s="47" t="s">
        <v>158</v>
      </c>
      <c r="C18" s="318">
        <f>Debt_Adj_Factor</f>
        <v>1.33</v>
      </c>
      <c r="D18" s="44"/>
      <c r="E18" s="45"/>
      <c r="F18" s="45"/>
      <c r="G18" s="45"/>
      <c r="H18" s="45"/>
      <c r="I18" s="45"/>
    </row>
    <row r="19" spans="1:12">
      <c r="A19" s="40"/>
      <c r="B19" s="49" t="s">
        <v>161</v>
      </c>
      <c r="C19" s="50">
        <f>Cost_of_Debt</f>
        <v>4.9382900000000007E-2</v>
      </c>
      <c r="D19" s="44"/>
      <c r="E19" s="45"/>
      <c r="F19" s="45"/>
      <c r="G19" s="45"/>
      <c r="H19" s="45"/>
      <c r="I19" s="45"/>
    </row>
    <row r="20" spans="1:12" ht="5.45" customHeight="1">
      <c r="A20" s="45"/>
      <c r="B20" s="45"/>
      <c r="C20" s="45"/>
      <c r="D20" s="45"/>
      <c r="E20" s="45"/>
      <c r="F20" s="45"/>
      <c r="G20" s="45"/>
      <c r="H20" s="45"/>
      <c r="I20" s="45"/>
    </row>
    <row r="21" spans="1:12">
      <c r="A21" s="83"/>
      <c r="B21" s="83" t="s">
        <v>122</v>
      </c>
      <c r="C21" s="83"/>
      <c r="D21" s="83"/>
      <c r="E21" s="45"/>
      <c r="F21" s="45"/>
      <c r="G21" s="45"/>
      <c r="H21" s="45"/>
      <c r="I21" s="45"/>
    </row>
    <row r="22" spans="1:12">
      <c r="A22" s="40"/>
      <c r="B22" s="49" t="str">
        <f>Assumptions!$A$25</f>
        <v>Equity Shares Outstanding (M)</v>
      </c>
      <c r="C22" s="336">
        <f>Shares_Out</f>
        <v>911.01</v>
      </c>
      <c r="D22" s="44"/>
      <c r="E22" s="45"/>
      <c r="F22" s="45"/>
      <c r="G22" s="45"/>
      <c r="H22" s="45"/>
      <c r="I22" s="45"/>
    </row>
    <row r="23" spans="1:12">
      <c r="A23" s="40"/>
      <c r="B23" s="51" t="str">
        <f>Assumptions!$A$26</f>
        <v>Company Capitalization ($M)</v>
      </c>
      <c r="C23" s="52"/>
      <c r="D23" s="43"/>
      <c r="E23" s="45"/>
      <c r="F23" s="45"/>
      <c r="G23" s="45"/>
      <c r="H23" s="53"/>
      <c r="I23" s="54"/>
    </row>
    <row r="24" spans="1:12">
      <c r="A24" s="40"/>
      <c r="B24" s="55" t="s">
        <v>162</v>
      </c>
      <c r="C24" s="191">
        <f>Equity_MV</f>
        <v>129390.7503</v>
      </c>
      <c r="D24" s="175">
        <f>C24/C$26</f>
        <v>0.68209979504108598</v>
      </c>
      <c r="E24" s="56"/>
      <c r="F24" s="45"/>
      <c r="G24" s="45"/>
      <c r="H24" s="45"/>
      <c r="I24" s="45"/>
    </row>
    <row r="25" spans="1:12">
      <c r="A25" s="40"/>
      <c r="B25" s="55" t="s">
        <v>163</v>
      </c>
      <c r="C25" s="337">
        <f>Debt_MV</f>
        <v>60304</v>
      </c>
      <c r="D25" s="175">
        <f>C25/C$26</f>
        <v>0.31790020495891391</v>
      </c>
      <c r="E25" s="45"/>
      <c r="F25" s="45"/>
      <c r="G25" s="45"/>
      <c r="H25" s="45"/>
      <c r="I25" s="45"/>
    </row>
    <row r="26" spans="1:12" ht="13.5" thickBot="1">
      <c r="A26" s="40"/>
      <c r="B26" s="49" t="s">
        <v>123</v>
      </c>
      <c r="C26" s="190">
        <f>Total_Capitalization</f>
        <v>189694.75030000001</v>
      </c>
      <c r="D26" s="57">
        <f>D24+D25</f>
        <v>0.99999999999999989</v>
      </c>
      <c r="E26" s="45"/>
      <c r="F26" s="45"/>
      <c r="G26" s="45"/>
      <c r="H26" s="45"/>
      <c r="I26" s="45"/>
    </row>
    <row r="27" spans="1:12" ht="13.5" thickBot="1">
      <c r="A27" s="40"/>
      <c r="B27" s="87" t="s">
        <v>125</v>
      </c>
      <c r="C27" s="88"/>
      <c r="D27" s="88">
        <f>IF(ISNUMBER(WACC_Override),WACC_Override,WACC)</f>
        <v>8.2517329953690335E-2</v>
      </c>
      <c r="E27" s="45"/>
      <c r="F27" s="45"/>
      <c r="G27" s="45"/>
      <c r="H27" s="45"/>
      <c r="I27" s="45"/>
      <c r="K27" s="335" t="s">
        <v>126</v>
      </c>
      <c r="L27" s="367"/>
    </row>
    <row r="28" spans="1:12">
      <c r="A28" s="45"/>
      <c r="B28" s="45"/>
      <c r="C28" s="45"/>
      <c r="D28" s="45"/>
      <c r="E28" s="45"/>
      <c r="F28" s="45"/>
      <c r="G28" s="45"/>
      <c r="H28" s="45"/>
      <c r="I28" s="45"/>
    </row>
    <row r="29" spans="1:12">
      <c r="A29" s="83"/>
      <c r="B29" s="83" t="str">
        <f>"Discounted Cash Flows ($"&amp;Scale_Symbol&amp;")"</f>
        <v>Discounted Cash Flows ($M)</v>
      </c>
      <c r="C29" s="84"/>
      <c r="D29" s="81"/>
      <c r="E29" s="81"/>
      <c r="F29" s="81"/>
      <c r="G29" s="85"/>
      <c r="H29" s="85"/>
      <c r="I29" s="86"/>
    </row>
    <row r="30" spans="1:12" ht="15">
      <c r="A30" s="42"/>
      <c r="B30" s="58"/>
      <c r="C30" s="59"/>
      <c r="D30" s="60" t="s">
        <v>127</v>
      </c>
      <c r="E30" s="61" t="s">
        <v>128</v>
      </c>
      <c r="F30" s="61"/>
      <c r="G30" s="61"/>
      <c r="H30" s="61"/>
      <c r="I30" s="61"/>
    </row>
    <row r="31" spans="1:12" ht="13.5" thickBot="1">
      <c r="A31" s="42"/>
      <c r="B31" s="62" t="s">
        <v>293</v>
      </c>
      <c r="C31" s="63"/>
      <c r="D31" s="482">
        <v>44926</v>
      </c>
      <c r="E31" s="482">
        <f>EOMONTH(D31,12)</f>
        <v>45291</v>
      </c>
      <c r="F31" s="482">
        <f>EOMONTH(E31,12)</f>
        <v>45657</v>
      </c>
      <c r="G31" s="482">
        <f>EOMONTH(F31,12)</f>
        <v>46022</v>
      </c>
      <c r="H31" s="482">
        <f>EOMONTH(G31,12)</f>
        <v>46387</v>
      </c>
      <c r="I31" s="482">
        <f>EOMONTH(H31,12)</f>
        <v>46752</v>
      </c>
    </row>
    <row r="32" spans="1:12" ht="7.5" customHeight="1">
      <c r="A32" s="42"/>
      <c r="B32" s="40"/>
      <c r="C32" s="42"/>
      <c r="D32" s="48"/>
      <c r="E32" s="48"/>
      <c r="F32" s="48"/>
      <c r="G32" s="48"/>
      <c r="H32" s="48"/>
      <c r="I32" s="48"/>
    </row>
    <row r="33" spans="1:13">
      <c r="A33" s="42"/>
      <c r="B33" s="64" t="s">
        <v>14</v>
      </c>
      <c r="C33" s="65"/>
      <c r="D33" s="66">
        <f ca="1">INDEX(Financials!$29:$29,MATCH(D$31,Financials!$6:$6,0))</f>
        <v>22329</v>
      </c>
      <c r="E33" s="66">
        <f ca="1">INDEX(Financials!$29:$29,MATCH(E$31,Financials!$6:$6,0))</f>
        <v>10785.840699999993</v>
      </c>
      <c r="F33" s="66">
        <f ca="1">INDEX(Financials!$29:$29,MATCH(F$31,Financials!$6:$6,0))</f>
        <v>11109.415920999996</v>
      </c>
      <c r="G33" s="66">
        <f ca="1">INDEX(Financials!$29:$29,MATCH(G$31,Financials!$6:$6,0))</f>
        <v>11442.698398629997</v>
      </c>
      <c r="H33" s="66">
        <f ca="1">INDEX(Financials!$29:$29,MATCH(H$31,Financials!$6:$6,0))</f>
        <v>11785.979350588899</v>
      </c>
      <c r="I33" s="66">
        <f ca="1">INDEX(Financials!$29:$29,MATCH(I$31,Financials!$6:$6,0))</f>
        <v>12139.558731106565</v>
      </c>
    </row>
    <row r="34" spans="1:13">
      <c r="A34" s="42"/>
      <c r="B34" s="68" t="s">
        <v>130</v>
      </c>
      <c r="C34" s="42"/>
      <c r="D34" s="69">
        <f t="shared" ref="D34:I34" ca="1" si="0">MIN(0,-$C$17*D33)</f>
        <v>-4689.09</v>
      </c>
      <c r="E34" s="69">
        <f t="shared" ca="1" si="0"/>
        <v>-2265.0265469999986</v>
      </c>
      <c r="F34" s="69">
        <f t="shared" ca="1" si="0"/>
        <v>-2332.9773434099993</v>
      </c>
      <c r="G34" s="69">
        <f t="shared" ca="1" si="0"/>
        <v>-2402.9666637122991</v>
      </c>
      <c r="H34" s="69">
        <f t="shared" ca="1" si="0"/>
        <v>-2475.0556636236688</v>
      </c>
      <c r="I34" s="69">
        <f t="shared" ca="1" si="0"/>
        <v>-2549.3073335323784</v>
      </c>
    </row>
    <row r="35" spans="1:13">
      <c r="A35" s="42"/>
      <c r="B35" s="64" t="s">
        <v>131</v>
      </c>
      <c r="C35" s="65"/>
      <c r="D35" s="66">
        <f t="shared" ref="D35:I35" ca="1" si="1">D33+D34</f>
        <v>17639.91</v>
      </c>
      <c r="E35" s="66">
        <f t="shared" ca="1" si="1"/>
        <v>8520.8141529999957</v>
      </c>
      <c r="F35" s="66">
        <f t="shared" ca="1" si="1"/>
        <v>8776.4385775899973</v>
      </c>
      <c r="G35" s="66">
        <f t="shared" ca="1" si="1"/>
        <v>9039.7317349176974</v>
      </c>
      <c r="H35" s="66">
        <f t="shared" ca="1" si="1"/>
        <v>9310.9236869652304</v>
      </c>
      <c r="I35" s="66">
        <f t="shared" ca="1" si="1"/>
        <v>9590.2513975741858</v>
      </c>
      <c r="L35" s="324"/>
    </row>
    <row r="36" spans="1:13">
      <c r="A36" s="42"/>
      <c r="B36" s="67" t="s">
        <v>132</v>
      </c>
      <c r="C36" s="42"/>
      <c r="D36" s="69">
        <f ca="1">INDEX(Financials!$108:$108,MATCH(D$31,Financials!$6:$6,0))</f>
        <v>-1822</v>
      </c>
      <c r="E36" s="69">
        <f ca="1">INDEX(Financials!$108:$108,MATCH(E$31,Financials!$6:$6,0))</f>
        <v>-4477.5419315068502</v>
      </c>
      <c r="F36" s="69">
        <f ca="1">INDEX(Financials!$108:$108,MATCH(F$31,Financials!$6:$6,0))</f>
        <v>56.62374205479864</v>
      </c>
      <c r="G36" s="69">
        <f ca="1">INDEX(Financials!$108:$108,MATCH(G$31,Financials!$6:$6,0))</f>
        <v>58.322454316439689</v>
      </c>
      <c r="H36" s="69">
        <f ca="1">INDEX(Financials!$108:$108,MATCH(H$31,Financials!$6:$6,0))</f>
        <v>60.072127945924876</v>
      </c>
      <c r="I36" s="69">
        <f ca="1">INDEX(Financials!$108:$108,MATCH(I$31,Financials!$6:$6,0))</f>
        <v>61.874291784315574</v>
      </c>
    </row>
    <row r="37" spans="1:13">
      <c r="A37" s="42"/>
      <c r="B37" s="67" t="s">
        <v>133</v>
      </c>
      <c r="C37" s="42"/>
      <c r="D37" s="69">
        <f ca="1">INDEX(Financials!$109:$109,MATCH(D$31,Financials!$6:$6,0))</f>
        <v>4802</v>
      </c>
      <c r="E37" s="69">
        <f ca="1">INDEX(Financials!$109:$109,MATCH(E$31,Financials!$6:$6,0))</f>
        <v>2667</v>
      </c>
      <c r="F37" s="69">
        <f ca="1">INDEX(Financials!$109:$109,MATCH(F$31,Financials!$6:$6,0))</f>
        <v>2458.0871750623442</v>
      </c>
      <c r="G37" s="69">
        <f ca="1">INDEX(Financials!$109:$109,MATCH(G$31,Financials!$6:$6,0))</f>
        <v>2387.3683778453869</v>
      </c>
      <c r="H37" s="69">
        <f ca="1">INDEX(Financials!$109:$109,MATCH(H$31,Financials!$6:$6,0))</f>
        <v>2386.7587229463343</v>
      </c>
      <c r="I37" s="69">
        <f ca="1">INDEX(Financials!$109:$109,MATCH(I$31,Financials!$6:$6,0))</f>
        <v>2422.2461315175174</v>
      </c>
      <c r="L37" s="329"/>
    </row>
    <row r="38" spans="1:13">
      <c r="A38" s="42"/>
      <c r="B38" s="67" t="s">
        <v>134</v>
      </c>
      <c r="C38" s="42"/>
      <c r="D38" s="69">
        <f ca="1">INDEX(Financials!$113:$113,MATCH(D$31,Financials!$6:$6,0))</f>
        <v>-1860</v>
      </c>
      <c r="E38" s="69">
        <f ca="1">INDEX(Financials!$113:$113,MATCH(E$31,Financials!$6:$6,0))</f>
        <v>-2249.1743501246883</v>
      </c>
      <c r="F38" s="69">
        <f ca="1">INDEX(Financials!$113:$113,MATCH(F$31,Financials!$6:$6,0))</f>
        <v>-2316.6495806284292</v>
      </c>
      <c r="G38" s="69">
        <f ca="1">INDEX(Financials!$113:$113,MATCH(G$31,Financials!$6:$6,0))</f>
        <v>-2386.1490680472821</v>
      </c>
      <c r="H38" s="69">
        <f ca="1">INDEX(Financials!$113:$113,MATCH(H$31,Financials!$6:$6,0))</f>
        <v>-2457.7335400887009</v>
      </c>
      <c r="I38" s="69">
        <f ca="1">INDEX(Financials!$113:$113,MATCH(I$31,Financials!$6:$6,0))</f>
        <v>-2531.4655462913615</v>
      </c>
      <c r="L38" s="324"/>
      <c r="M38" s="324"/>
    </row>
    <row r="39" spans="1:13">
      <c r="A39" s="42"/>
      <c r="B39" s="70" t="s">
        <v>135</v>
      </c>
      <c r="C39" s="65"/>
      <c r="D39" s="66">
        <f t="shared" ref="D39:I39" ca="1" si="2">SUM(D35:D38)</f>
        <v>18759.91</v>
      </c>
      <c r="E39" s="66">
        <f t="shared" ca="1" si="2"/>
        <v>4461.0978713684572</v>
      </c>
      <c r="F39" s="66">
        <f t="shared" ca="1" si="2"/>
        <v>8974.4999140787113</v>
      </c>
      <c r="G39" s="66">
        <f t="shared" ca="1" si="2"/>
        <v>9099.2734990322424</v>
      </c>
      <c r="H39" s="66">
        <f t="shared" ca="1" si="2"/>
        <v>9300.02099776879</v>
      </c>
      <c r="I39" s="66">
        <f t="shared" ca="1" si="2"/>
        <v>9542.9062745846568</v>
      </c>
      <c r="L39" s="330"/>
    </row>
    <row r="40" spans="1:13" hidden="1">
      <c r="A40" s="42"/>
      <c r="B40" s="71" t="s">
        <v>136</v>
      </c>
      <c r="C40" s="42"/>
      <c r="D40" s="440">
        <f t="shared" ref="D40:I40" si="3">(1+$D$27)^D41</f>
        <v>1</v>
      </c>
      <c r="E40" s="440">
        <f t="shared" ca="1" si="3"/>
        <v>1.0188973964517622</v>
      </c>
      <c r="F40" s="440">
        <f t="shared" ca="1" si="3"/>
        <v>1.1029740891037283</v>
      </c>
      <c r="G40" s="440">
        <f t="shared" ca="1" si="3"/>
        <v>1.1939885659446716</v>
      </c>
      <c r="H40" s="440">
        <f t="shared" ca="1" si="3"/>
        <v>1.2925133144016616</v>
      </c>
      <c r="I40" s="440">
        <f t="shared" ca="1" si="3"/>
        <v>1.3991680620356814</v>
      </c>
    </row>
    <row r="41" spans="1:13" hidden="1">
      <c r="A41" s="42"/>
      <c r="B41" s="71" t="s">
        <v>137</v>
      </c>
      <c r="C41" s="42"/>
      <c r="D41" s="441">
        <v>0</v>
      </c>
      <c r="E41" s="441">
        <f ca="1">YEARFRAC(TODAY(),E$31)</f>
        <v>0.2361111111111111</v>
      </c>
      <c r="F41" s="441">
        <f ca="1">E41+1</f>
        <v>1.2361111111111112</v>
      </c>
      <c r="G41" s="441">
        <f ca="1">F41+1</f>
        <v>2.2361111111111112</v>
      </c>
      <c r="H41" s="441">
        <f ca="1">G41+1</f>
        <v>3.2361111111111112</v>
      </c>
      <c r="I41" s="441">
        <f ca="1">H41+1</f>
        <v>4.2361111111111107</v>
      </c>
    </row>
    <row r="42" spans="1:13" ht="6" customHeight="1">
      <c r="A42" s="42"/>
      <c r="B42" s="43"/>
      <c r="C42" s="42"/>
      <c r="D42" s="72"/>
      <c r="E42" s="72"/>
      <c r="F42" s="72"/>
      <c r="G42" s="72"/>
      <c r="H42" s="72"/>
      <c r="I42" s="72"/>
    </row>
    <row r="43" spans="1:13">
      <c r="A43" s="42"/>
      <c r="B43" s="73" t="s">
        <v>138</v>
      </c>
      <c r="C43" s="65"/>
      <c r="D43" s="74"/>
      <c r="E43" s="74">
        <f ca="1">E39/E40</f>
        <v>4378.3582987883892</v>
      </c>
      <c r="F43" s="74">
        <f ca="1">F39/F40</f>
        <v>8136.6371184397894</v>
      </c>
      <c r="G43" s="74">
        <f ca="1">G39/G40</f>
        <v>7620.905056015331</v>
      </c>
      <c r="H43" s="74">
        <f ca="1">H39/H40</f>
        <v>7195.2999587273216</v>
      </c>
      <c r="I43" s="74">
        <f ca="1">I39/I40</f>
        <v>6820.4145974433304</v>
      </c>
    </row>
    <row r="44" spans="1:13" ht="15">
      <c r="A44" s="42"/>
      <c r="B44" s="43"/>
      <c r="C44" s="42"/>
      <c r="D44" s="45"/>
      <c r="E44" s="75"/>
      <c r="F44" s="75"/>
      <c r="G44" s="75"/>
      <c r="H44" s="75"/>
      <c r="I44" s="76" t="s">
        <v>139</v>
      </c>
    </row>
    <row r="45" spans="1:13">
      <c r="A45" s="45"/>
      <c r="B45" s="181" t="s">
        <v>181</v>
      </c>
      <c r="C45" s="182" t="s">
        <v>147</v>
      </c>
      <c r="D45" s="183" t="s">
        <v>165</v>
      </c>
      <c r="E45" s="45"/>
      <c r="F45" s="45"/>
      <c r="G45" s="45"/>
      <c r="H45" s="45"/>
      <c r="I45" s="45"/>
    </row>
    <row r="46" spans="1:13">
      <c r="A46" s="45"/>
      <c r="B46" s="77" t="s">
        <v>140</v>
      </c>
      <c r="C46" s="338">
        <f>Terminal_Rate</f>
        <v>0.02</v>
      </c>
      <c r="D46" s="78"/>
      <c r="E46" s="45"/>
      <c r="F46" s="45"/>
      <c r="G46" s="45"/>
      <c r="H46" s="45"/>
      <c r="I46" s="45"/>
    </row>
    <row r="47" spans="1:13">
      <c r="A47" s="45"/>
      <c r="B47" s="77" t="s">
        <v>141</v>
      </c>
      <c r="C47" s="176">
        <f ca="1">(I39*(1+$C$46)/($D$27-$C$46))</f>
        <v>155697.058836112</v>
      </c>
      <c r="D47" s="192">
        <f ca="1">C47/Shares_Out</f>
        <v>170.90598219131732</v>
      </c>
      <c r="E47" s="169"/>
      <c r="F47" s="45"/>
      <c r="G47" s="45"/>
      <c r="H47" s="45"/>
      <c r="I47" s="45"/>
      <c r="L47" s="433"/>
    </row>
    <row r="48" spans="1:13">
      <c r="A48" s="45"/>
      <c r="B48" s="77" t="s">
        <v>142</v>
      </c>
      <c r="C48" s="176">
        <f ca="1">C47/I$40</f>
        <v>111278.3110626359</v>
      </c>
      <c r="D48" s="192">
        <f ca="1">C48/Shares_Out</f>
        <v>122.14828713475801</v>
      </c>
      <c r="E48" s="45"/>
      <c r="F48" s="45"/>
      <c r="G48" s="45"/>
      <c r="H48" s="45"/>
      <c r="I48" s="45"/>
    </row>
    <row r="49" spans="1:9">
      <c r="A49" s="45"/>
      <c r="B49" s="77" t="s">
        <v>143</v>
      </c>
      <c r="C49" s="176">
        <f ca="1">SUM(D$43:I$43)</f>
        <v>34151.615029414163</v>
      </c>
      <c r="D49" s="192">
        <f ca="1">C49/Shares_Out</f>
        <v>37.487640124053705</v>
      </c>
      <c r="E49" s="45"/>
      <c r="F49" s="45"/>
      <c r="G49" s="45"/>
      <c r="H49" s="45"/>
      <c r="I49" s="45"/>
    </row>
    <row r="50" spans="1:9">
      <c r="A50" s="45"/>
      <c r="B50" s="79" t="s">
        <v>144</v>
      </c>
      <c r="C50" s="177">
        <f ca="1">C48+C49</f>
        <v>145429.92609205007</v>
      </c>
      <c r="D50" s="193">
        <f ca="1">D48+D49</f>
        <v>159.63592725881171</v>
      </c>
      <c r="E50" s="169"/>
      <c r="F50" s="169"/>
      <c r="G50" s="45"/>
      <c r="H50" s="45"/>
      <c r="I50" s="45"/>
    </row>
    <row r="51" spans="1:9">
      <c r="A51" s="45"/>
      <c r="B51" s="110" t="s">
        <v>145</v>
      </c>
      <c r="C51" s="178">
        <f ca="1" xml:space="preserve"> SUMIF(BS_Start:BS_End,"NOA",OFFSET(BS_Start,0,MATCH($D$31,Financials!$6:$6,0)-COLUMN(BS_Start))) -
   SUMIF(BS_Start:BS_End,"NOL",OFFSET(BS_Start,0,MATCH($D$31,Financials!$6:$6,0)-COLUMN(BS_Start)))</f>
        <v>36561</v>
      </c>
      <c r="D51" s="194">
        <f ca="1">C51/Shares_Out</f>
        <v>40.132380544670198</v>
      </c>
      <c r="E51" s="45"/>
      <c r="F51" s="45"/>
      <c r="G51" s="45"/>
      <c r="H51" s="45"/>
      <c r="I51" s="45"/>
    </row>
    <row r="52" spans="1:9">
      <c r="A52" s="45"/>
      <c r="B52" s="172" t="s">
        <v>109</v>
      </c>
      <c r="C52" s="179">
        <f ca="1">C50+C51</f>
        <v>181990.92609205007</v>
      </c>
      <c r="D52" s="195">
        <f ca="1">D50+D51</f>
        <v>199.76830780348189</v>
      </c>
      <c r="E52" s="45"/>
      <c r="F52" s="45"/>
      <c r="G52" s="45"/>
      <c r="H52" s="45"/>
      <c r="I52" s="45"/>
    </row>
    <row r="53" spans="1:9" ht="13.5" thickBot="1">
      <c r="A53" s="45"/>
      <c r="B53" s="171" t="s">
        <v>180</v>
      </c>
      <c r="C53" s="178">
        <f ca="1" xml:space="preserve"> SUMIF(BS_Start:BS_End,"Cash",OFFSET(BS_Start,0,MATCH($D$31,Financials!$6:$6,0)-COLUMN(BS_Start))) -
   SUMIF(BS_Start:BS_End,"FC",OFFSET(BS_Start,0,MATCH($D$31,Financials!$6:$6,0)-COLUMN(BS_Start)))</f>
        <v>-44401</v>
      </c>
      <c r="D53" s="192">
        <f ca="1">C53/Shares_Out</f>
        <v>-48.738213631024905</v>
      </c>
      <c r="E53" s="45"/>
      <c r="F53" s="45"/>
      <c r="G53" s="45"/>
      <c r="H53" s="45"/>
      <c r="I53" s="45"/>
    </row>
    <row r="54" spans="1:9" ht="14.25" thickTop="1" thickBot="1">
      <c r="A54" s="45"/>
      <c r="B54" s="109" t="s">
        <v>248</v>
      </c>
      <c r="C54" s="180">
        <f ca="1">C52+C53</f>
        <v>137589.92609205007</v>
      </c>
      <c r="D54" s="196">
        <f ca="1">C54/Shares_Out</f>
        <v>151.03009417245701</v>
      </c>
      <c r="E54" s="45"/>
      <c r="F54" s="45"/>
      <c r="G54" s="45"/>
      <c r="H54" s="45"/>
      <c r="I54" s="45"/>
    </row>
    <row r="55" spans="1:9" ht="13.5" thickTop="1"/>
    <row r="56" spans="1:9">
      <c r="C56" s="331" t="s">
        <v>232</v>
      </c>
      <c r="D56" s="332"/>
      <c r="E56" s="332"/>
      <c r="F56" s="332"/>
      <c r="G56" s="333"/>
    </row>
    <row r="57" spans="1:9">
      <c r="B57" s="365">
        <f ca="1">$D$54</f>
        <v>151.03009417245701</v>
      </c>
      <c r="C57" s="339">
        <v>0.01</v>
      </c>
      <c r="D57" s="339">
        <f>C57+0.5%</f>
        <v>1.4999999999999999E-2</v>
      </c>
      <c r="E57" s="340">
        <f>Terminal_Rate</f>
        <v>0.02</v>
      </c>
      <c r="F57" s="339">
        <f>E57+0.5%</f>
        <v>2.5000000000000001E-2</v>
      </c>
      <c r="G57" s="339">
        <f>F57+0.5%</f>
        <v>3.0000000000000002E-2</v>
      </c>
      <c r="H57" s="334" t="s">
        <v>140</v>
      </c>
    </row>
    <row r="58" spans="1:9">
      <c r="B58" s="363">
        <f>B59-1%</f>
        <v>5.2517329953690343E-2</v>
      </c>
      <c r="C58" s="341">
        <f t="dataTable" ref="C58:G64" dt2D="1" dtr="1" r1="C46" r2="D27" ca="1"/>
        <v>231.80128121310906</v>
      </c>
      <c r="D58" s="342">
        <v>259.62359678171259</v>
      </c>
      <c r="E58" s="343">
        <v>296.00206244265991</v>
      </c>
      <c r="F58" s="342">
        <v>345.60072996264273</v>
      </c>
      <c r="G58" s="344">
        <v>417.22628416145858</v>
      </c>
    </row>
    <row r="59" spans="1:9">
      <c r="B59" s="363">
        <f>B60-1%</f>
        <v>6.2517329953690345E-2</v>
      </c>
      <c r="C59" s="345">
        <v>186.39088531944179</v>
      </c>
      <c r="D59" s="346">
        <v>203.63919564555223</v>
      </c>
      <c r="E59" s="347">
        <v>224.94427772682647</v>
      </c>
      <c r="F59" s="346">
        <v>251.9280907059476</v>
      </c>
      <c r="G59" s="348">
        <v>287.21019048092506</v>
      </c>
    </row>
    <row r="60" spans="1:9">
      <c r="B60" s="363">
        <f>B61-1%</f>
        <v>7.251732995369034E-2</v>
      </c>
      <c r="C60" s="345">
        <v>155.51232229765984</v>
      </c>
      <c r="D60" s="349">
        <v>167.12511376755825</v>
      </c>
      <c r="E60" s="350">
        <v>180.94913560277391</v>
      </c>
      <c r="F60" s="351">
        <v>197.68241640702007</v>
      </c>
      <c r="G60" s="348">
        <v>218.35133494356791</v>
      </c>
    </row>
    <row r="61" spans="1:9">
      <c r="B61" s="364">
        <f>WACC</f>
        <v>8.2517329953690335E-2</v>
      </c>
      <c r="C61" s="352">
        <v>133.15368601554923</v>
      </c>
      <c r="D61" s="353">
        <v>141.42997084419088</v>
      </c>
      <c r="E61" s="371">
        <v>151.03009417245701</v>
      </c>
      <c r="F61" s="354">
        <v>162.29930112056351</v>
      </c>
      <c r="G61" s="355">
        <v>175.71431535895752</v>
      </c>
    </row>
    <row r="62" spans="1:9">
      <c r="B62" s="363">
        <f>B61+1%</f>
        <v>9.251732995369033E-2</v>
      </c>
      <c r="C62" s="345">
        <v>116.21732947019343</v>
      </c>
      <c r="D62" s="356">
        <v>122.3666224563634</v>
      </c>
      <c r="E62" s="357">
        <v>129.36389109057464</v>
      </c>
      <c r="F62" s="358">
        <v>137.39752603829535</v>
      </c>
      <c r="G62" s="348">
        <v>146.7161862667937</v>
      </c>
    </row>
    <row r="63" spans="1:9">
      <c r="B63" s="363">
        <f>B62+1%</f>
        <v>0.10251732995369033</v>
      </c>
      <c r="C63" s="345">
        <v>102.94488423786612</v>
      </c>
      <c r="D63" s="346">
        <v>107.66167297614091</v>
      </c>
      <c r="E63" s="347">
        <v>112.95007360987115</v>
      </c>
      <c r="F63" s="346">
        <v>118.9206959657491</v>
      </c>
      <c r="G63" s="348">
        <v>125.71465563419649</v>
      </c>
    </row>
    <row r="64" spans="1:9">
      <c r="B64" s="363">
        <f>B63+1%</f>
        <v>0.11251732995369032</v>
      </c>
      <c r="C64" s="359">
        <v>92.264063936085719</v>
      </c>
      <c r="D64" s="360">
        <v>95.974240087542469</v>
      </c>
      <c r="E64" s="361">
        <v>100.08544123110765</v>
      </c>
      <c r="F64" s="360">
        <v>104.66640089515558</v>
      </c>
      <c r="G64" s="362">
        <v>109.80251178217922</v>
      </c>
    </row>
    <row r="65" spans="2:2">
      <c r="B65" s="366" t="s">
        <v>125</v>
      </c>
    </row>
  </sheetData>
  <pageMargins left="0.7" right="0.7" top="0.75" bottom="0.75" header="0.3" footer="0.3"/>
  <pageSetup scale="82" orientation="portrait" r:id="rId1"/>
  <cellWatches>
    <cellWatch r="C52"/>
  </cellWatche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600FD-228D-41F3-8790-5D73B4B74B78}">
  <sheetPr>
    <tabColor theme="9"/>
    <pageSetUpPr fitToPage="1"/>
  </sheetPr>
  <dimension ref="A1:Q35"/>
  <sheetViews>
    <sheetView showGridLines="0" zoomScale="115" zoomScaleNormal="115" workbookViewId="0">
      <pane xSplit="2" ySplit="5" topLeftCell="C6" activePane="bottomRight" state="frozen"/>
      <selection pane="topRight" activeCell="C1" sqref="C1"/>
      <selection pane="bottomLeft" activeCell="A6" sqref="A6"/>
      <selection pane="bottomRight" activeCell="S24" sqref="S24"/>
    </sheetView>
  </sheetViews>
  <sheetFormatPr defaultRowHeight="15"/>
  <cols>
    <col min="1" max="1" width="18.5703125" customWidth="1"/>
    <col min="2" max="2" width="8.28515625" customWidth="1"/>
    <col min="3" max="3" width="1.28515625" customWidth="1"/>
    <col min="4" max="5" width="11.28515625" customWidth="1"/>
    <col min="6" max="6" width="1.28515625" customWidth="1"/>
    <col min="7" max="8" width="11.28515625" customWidth="1"/>
    <col min="9" max="9" width="1.28515625" customWidth="1"/>
    <col min="10" max="11" width="11.28515625" customWidth="1"/>
    <col min="12" max="12" width="1.28515625" customWidth="1"/>
    <col min="13" max="14" width="11.28515625" customWidth="1"/>
    <col min="15" max="15" width="1.28515625" customWidth="1"/>
    <col min="16" max="17" width="11.28515625" customWidth="1"/>
  </cols>
  <sheetData>
    <row r="1" spans="1:17" ht="25.9" customHeight="1">
      <c r="A1" s="231" t="s">
        <v>207</v>
      </c>
      <c r="B1" s="232"/>
      <c r="C1" s="232"/>
      <c r="D1" s="232"/>
      <c r="E1" s="232"/>
      <c r="F1" s="232"/>
      <c r="G1" s="232"/>
      <c r="H1" s="232"/>
      <c r="I1" s="232"/>
      <c r="J1" s="232"/>
      <c r="K1" s="232"/>
      <c r="L1" s="232"/>
      <c r="M1" s="232"/>
      <c r="N1" s="232"/>
      <c r="O1" s="232"/>
      <c r="P1" s="232"/>
      <c r="Q1" s="232"/>
    </row>
    <row r="2" spans="1:17" ht="7.9" customHeight="1" thickBot="1">
      <c r="A2" s="236"/>
      <c r="B2" s="234"/>
      <c r="C2" s="235"/>
      <c r="D2" s="237"/>
      <c r="E2" s="237"/>
      <c r="F2" s="235"/>
      <c r="G2" s="237"/>
      <c r="H2" s="237"/>
      <c r="I2" s="235"/>
      <c r="J2" s="237"/>
      <c r="K2" s="237"/>
      <c r="L2" s="235"/>
      <c r="M2" s="237"/>
      <c r="N2" s="237"/>
      <c r="O2" s="235"/>
      <c r="P2" s="237"/>
      <c r="Q2" s="237"/>
    </row>
    <row r="3" spans="1:17" ht="15.75" thickBot="1">
      <c r="A3" s="280" t="s">
        <v>208</v>
      </c>
      <c r="B3" s="281"/>
      <c r="C3" s="279"/>
      <c r="D3" s="507" t="str">
        <f>Comp_Name</f>
        <v>International Business Machines Corporation</v>
      </c>
      <c r="E3" s="507"/>
      <c r="F3" s="279"/>
      <c r="G3" s="508" t="s">
        <v>299</v>
      </c>
      <c r="H3" s="508"/>
      <c r="I3" s="279"/>
      <c r="J3" s="508" t="s">
        <v>301</v>
      </c>
      <c r="K3" s="508"/>
      <c r="L3" s="279"/>
      <c r="M3" s="508" t="s">
        <v>300</v>
      </c>
      <c r="N3" s="508"/>
      <c r="O3" s="279"/>
      <c r="P3" s="496" t="s">
        <v>201</v>
      </c>
      <c r="Q3" s="496"/>
    </row>
    <row r="4" spans="1:17" ht="7.9" customHeight="1" thickBot="1">
      <c r="A4" s="236"/>
      <c r="B4" s="234"/>
      <c r="C4" s="235"/>
      <c r="D4" s="237"/>
      <c r="E4" s="237"/>
      <c r="F4" s="235"/>
      <c r="G4" s="237"/>
      <c r="H4" s="237"/>
      <c r="I4" s="235"/>
      <c r="J4" s="237"/>
      <c r="K4" s="237"/>
      <c r="L4" s="235"/>
      <c r="M4" s="237"/>
      <c r="N4" s="237"/>
      <c r="O4" s="235"/>
      <c r="P4" s="237"/>
      <c r="Q4" s="237"/>
    </row>
    <row r="5" spans="1:17" ht="15.75" thickBot="1">
      <c r="A5" s="276"/>
      <c r="B5" s="277" t="s">
        <v>197</v>
      </c>
      <c r="C5" s="278"/>
      <c r="D5" s="277" t="s">
        <v>105</v>
      </c>
      <c r="E5" s="277" t="s">
        <v>107</v>
      </c>
      <c r="F5" s="278"/>
      <c r="G5" s="277" t="s">
        <v>105</v>
      </c>
      <c r="H5" s="277" t="s">
        <v>107</v>
      </c>
      <c r="I5" s="278"/>
      <c r="J5" s="277" t="s">
        <v>105</v>
      </c>
      <c r="K5" s="277" t="s">
        <v>107</v>
      </c>
      <c r="L5" s="278"/>
      <c r="M5" s="277" t="s">
        <v>105</v>
      </c>
      <c r="N5" s="277" t="s">
        <v>107</v>
      </c>
      <c r="O5" s="278"/>
      <c r="P5" s="277" t="s">
        <v>105</v>
      </c>
      <c r="Q5" s="277" t="s">
        <v>107</v>
      </c>
    </row>
    <row r="6" spans="1:17" ht="7.9" customHeight="1" thickBot="1">
      <c r="A6" s="236"/>
      <c r="B6" s="234"/>
      <c r="C6" s="235"/>
      <c r="D6" s="237"/>
      <c r="E6" s="237"/>
      <c r="F6" s="235"/>
      <c r="G6" s="237"/>
      <c r="H6" s="237"/>
      <c r="I6" s="235"/>
      <c r="J6" s="237"/>
      <c r="K6" s="237"/>
      <c r="L6" s="235"/>
      <c r="M6" s="237"/>
      <c r="N6" s="237"/>
      <c r="O6" s="235"/>
      <c r="P6" s="237"/>
      <c r="Q6" s="237"/>
    </row>
    <row r="7" spans="1:17">
      <c r="A7" s="504" t="s">
        <v>209</v>
      </c>
      <c r="B7" s="483" cm="1">
        <f t="array" aca="1" ref="B7" ca="1">INDEX(Annual_Periods,1)</f>
        <v>43830</v>
      </c>
      <c r="C7" s="253"/>
      <c r="D7" s="254">
        <v>84.528999999999996</v>
      </c>
      <c r="E7" s="254">
        <v>118.495</v>
      </c>
      <c r="F7" s="255"/>
      <c r="G7" s="254">
        <v>41.061999999999998</v>
      </c>
      <c r="H7" s="254">
        <v>56.412999999999997</v>
      </c>
      <c r="I7" s="255"/>
      <c r="J7" s="254">
        <v>86.540999999999997</v>
      </c>
      <c r="K7" s="254">
        <v>130.583</v>
      </c>
      <c r="L7" s="255"/>
      <c r="M7" s="254">
        <v>92.477999999999994</v>
      </c>
      <c r="N7" s="254">
        <v>154.04599999999999</v>
      </c>
      <c r="O7" s="164"/>
      <c r="P7" s="238">
        <f>AVERAGE(D7,G7,J7,M7)</f>
        <v>76.152500000000003</v>
      </c>
      <c r="Q7" s="238">
        <f>AVERAGE(E7,H7,K7,N7)</f>
        <v>114.88424999999999</v>
      </c>
    </row>
    <row r="8" spans="1:17">
      <c r="A8" s="505"/>
      <c r="B8" s="484">
        <f ca="1">EOMONTH(B7,12)</f>
        <v>44196</v>
      </c>
      <c r="C8" s="256"/>
      <c r="D8" s="257">
        <v>72.576999999999998</v>
      </c>
      <c r="E8" s="257">
        <v>105.078</v>
      </c>
      <c r="F8" s="258"/>
      <c r="G8" s="257">
        <v>37.51</v>
      </c>
      <c r="H8" s="257">
        <v>63.35</v>
      </c>
      <c r="I8" s="258"/>
      <c r="J8" s="257">
        <v>83.058000000000007</v>
      </c>
      <c r="K8" s="257">
        <v>159.65199999999999</v>
      </c>
      <c r="L8" s="258"/>
      <c r="M8" s="257">
        <v>128.22900000000001</v>
      </c>
      <c r="N8" s="257">
        <v>226.619</v>
      </c>
      <c r="O8" s="164"/>
      <c r="P8" s="238">
        <f t="shared" ref="P8:P10" si="0">AVERAGE(D8,G8,J8,M8)</f>
        <v>80.343500000000006</v>
      </c>
      <c r="Q8" s="238">
        <f t="shared" ref="Q8:Q10" si="1">AVERAGE(E8,H8,K8,N8)</f>
        <v>138.67474999999999</v>
      </c>
    </row>
    <row r="9" spans="1:17">
      <c r="A9" s="505"/>
      <c r="B9" s="484">
        <f ca="1">EOMONTH(B8,12)</f>
        <v>44561</v>
      </c>
      <c r="C9" s="256"/>
      <c r="D9" s="257">
        <v>97.97</v>
      </c>
      <c r="E9" s="257">
        <v>130.72999999999999</v>
      </c>
      <c r="F9" s="258"/>
      <c r="G9" s="257">
        <v>57.389000000000003</v>
      </c>
      <c r="H9" s="257">
        <v>103.33</v>
      </c>
      <c r="I9" s="258"/>
      <c r="J9" s="257">
        <v>112.60899999999999</v>
      </c>
      <c r="K9" s="257">
        <v>144.78</v>
      </c>
      <c r="L9" s="258"/>
      <c r="M9" s="257">
        <v>206.803</v>
      </c>
      <c r="N9" s="257">
        <v>344.06099999999998</v>
      </c>
      <c r="O9" s="164"/>
      <c r="P9" s="238">
        <f t="shared" si="0"/>
        <v>118.69275</v>
      </c>
      <c r="Q9" s="238">
        <f t="shared" si="1"/>
        <v>180.72525000000002</v>
      </c>
    </row>
    <row r="10" spans="1:17" ht="15.75" thickBot="1">
      <c r="A10" s="506"/>
      <c r="B10" s="485">
        <f ca="1">EOMONTH(B9,12)</f>
        <v>44926</v>
      </c>
      <c r="C10" s="259"/>
      <c r="D10" s="260">
        <v>110.012</v>
      </c>
      <c r="E10" s="260">
        <v>147.613</v>
      </c>
      <c r="F10" s="261"/>
      <c r="G10" s="260">
        <v>59.78</v>
      </c>
      <c r="H10" s="260">
        <v>87.31</v>
      </c>
      <c r="I10" s="261"/>
      <c r="J10" s="260">
        <v>76.912999999999997</v>
      </c>
      <c r="K10" s="260">
        <v>135.41</v>
      </c>
      <c r="L10" s="261"/>
      <c r="M10" s="260">
        <v>211.38200000000001</v>
      </c>
      <c r="N10" s="260">
        <v>322.57799999999997</v>
      </c>
      <c r="O10" s="164"/>
      <c r="P10" s="238">
        <f t="shared" si="0"/>
        <v>114.52175</v>
      </c>
      <c r="Q10" s="238">
        <f t="shared" si="1"/>
        <v>173.22774999999999</v>
      </c>
    </row>
    <row r="11" spans="1:17" ht="7.9" customHeight="1" thickBot="1">
      <c r="A11" s="236"/>
      <c r="B11" s="486"/>
      <c r="C11" s="235"/>
      <c r="D11" s="237"/>
      <c r="E11" s="237"/>
      <c r="F11" s="235"/>
      <c r="G11" s="237"/>
      <c r="H11" s="237"/>
      <c r="I11" s="235"/>
      <c r="J11" s="237"/>
      <c r="K11" s="237"/>
      <c r="L11" s="235"/>
      <c r="M11" s="237"/>
      <c r="N11" s="237"/>
      <c r="O11" s="235"/>
      <c r="P11" s="239"/>
      <c r="Q11" s="239"/>
    </row>
    <row r="12" spans="1:17">
      <c r="A12" s="501" t="s">
        <v>198</v>
      </c>
      <c r="B12" s="483">
        <f ca="1">B7</f>
        <v>43830</v>
      </c>
      <c r="C12" s="253"/>
      <c r="D12" s="510">
        <v>10.18</v>
      </c>
      <c r="E12" s="510"/>
      <c r="F12" s="253"/>
      <c r="G12" s="510">
        <v>2.97</v>
      </c>
      <c r="H12" s="510"/>
      <c r="I12" s="253"/>
      <c r="J12" s="510">
        <v>3.11</v>
      </c>
      <c r="K12" s="510"/>
      <c r="L12" s="253"/>
      <c r="M12" s="510">
        <v>5.0599999999999996</v>
      </c>
      <c r="N12" s="510"/>
      <c r="O12" s="235"/>
      <c r="P12" s="497"/>
      <c r="Q12" s="497"/>
    </row>
    <row r="13" spans="1:17" ht="14.45" customHeight="1">
      <c r="A13" s="502"/>
      <c r="B13" s="484">
        <f ca="1">B8</f>
        <v>44196</v>
      </c>
      <c r="C13" s="256"/>
      <c r="D13" s="509">
        <v>6.82</v>
      </c>
      <c r="E13" s="509"/>
      <c r="F13" s="256"/>
      <c r="G13" s="509">
        <v>3.08</v>
      </c>
      <c r="H13" s="509"/>
      <c r="I13" s="256"/>
      <c r="J13" s="509">
        <v>4.97</v>
      </c>
      <c r="K13" s="509"/>
      <c r="L13" s="256"/>
      <c r="M13" s="509">
        <v>5.76</v>
      </c>
      <c r="N13" s="509"/>
      <c r="O13" s="235"/>
      <c r="P13" s="497"/>
      <c r="Q13" s="497"/>
    </row>
    <row r="14" spans="1:17">
      <c r="A14" s="502"/>
      <c r="B14" s="484">
        <f ca="1">B9</f>
        <v>44561</v>
      </c>
      <c r="C14" s="256"/>
      <c r="D14" s="509">
        <v>7.93</v>
      </c>
      <c r="E14" s="509"/>
      <c r="F14" s="256"/>
      <c r="G14" s="509">
        <v>4.55</v>
      </c>
      <c r="H14" s="509"/>
      <c r="I14" s="256"/>
      <c r="J14" s="509">
        <v>5.27</v>
      </c>
      <c r="K14" s="509"/>
      <c r="L14" s="256"/>
      <c r="M14" s="509">
        <v>8.0500000000000007</v>
      </c>
      <c r="N14" s="509"/>
      <c r="O14" s="235"/>
      <c r="P14" s="497"/>
      <c r="Q14" s="497"/>
    </row>
    <row r="15" spans="1:17" ht="15.75" thickBot="1">
      <c r="A15" s="503"/>
      <c r="B15" s="485">
        <f ca="1">B10</f>
        <v>44926</v>
      </c>
      <c r="C15" s="259"/>
      <c r="D15" s="511">
        <v>9.1300000000000008</v>
      </c>
      <c r="E15" s="511"/>
      <c r="F15" s="259"/>
      <c r="G15" s="511">
        <v>2.41</v>
      </c>
      <c r="H15" s="511"/>
      <c r="I15" s="259"/>
      <c r="J15" s="511">
        <v>2.04</v>
      </c>
      <c r="K15" s="511"/>
      <c r="L15" s="259"/>
      <c r="M15" s="511">
        <v>9.65</v>
      </c>
      <c r="N15" s="511"/>
      <c r="O15" s="235"/>
      <c r="P15" s="497"/>
      <c r="Q15" s="497"/>
    </row>
    <row r="16" spans="1:17" ht="7.9" customHeight="1" thickBot="1">
      <c r="A16" s="236"/>
      <c r="B16" s="486"/>
      <c r="C16" s="235"/>
      <c r="D16" s="237"/>
      <c r="E16" s="237"/>
      <c r="F16" s="235"/>
      <c r="G16" s="237"/>
      <c r="H16" s="237"/>
      <c r="I16" s="235"/>
      <c r="J16" s="237"/>
      <c r="K16" s="237"/>
      <c r="L16" s="235"/>
      <c r="M16" s="237"/>
      <c r="N16" s="237"/>
      <c r="O16" s="235"/>
      <c r="P16" s="237"/>
      <c r="Q16" s="237"/>
    </row>
    <row r="17" spans="1:17">
      <c r="A17" s="498" t="s">
        <v>199</v>
      </c>
      <c r="B17" s="483">
        <f ca="1">B7</f>
        <v>43830</v>
      </c>
      <c r="C17" s="253"/>
      <c r="D17" s="262">
        <f ca="1">IFERROR(IF(INDEX(D$7:D$10,MATCH($B17,$B$7:$B$10,0))/INDEX(D$12:D$15,MATCH($B17,$B$12:$B$15,0))&lt;0,"NM",INDEX(D$7:D$10,MATCH($B17,$B$7:$B$10,0))/INDEX(D$12:D$15,MATCH($B17,$B$12:$B$15,0))),"NA")</f>
        <v>8.3034381139489195</v>
      </c>
      <c r="E17" s="262">
        <f ca="1">IFERROR(IF(INDEX(E$7:E$10,MATCH($B17,$B$7:$B$10,0))/INDEX(D$12:D$15,MATCH($B17,$B$12:$B$15,0))&lt;0,"NM",INDEX(E$7:E$10,MATCH($B17,$B$7:$B$10,0))/INDEX(D$12:D$15,MATCH($B17,$B$12:$B$15,0))),"NA")</f>
        <v>11.639980353634579</v>
      </c>
      <c r="F17" s="263"/>
      <c r="G17" s="262">
        <f ca="1">IFERROR(IF(INDEX(G$7:G$10,MATCH($B17,$B$7:$B$10,0))/INDEX(G$12:G$15,MATCH($B17,$B$12:$B$15,0))&lt;0,"NM",INDEX(G$7:G$10,MATCH($B17,$B$7:$B$10,0))/INDEX(G$12:G$15,MATCH($B17,$B$12:$B$15,0))),"NA")</f>
        <v>13.825589225589225</v>
      </c>
      <c r="H17" s="262">
        <f ca="1">IFERROR(IF(INDEX(H$7:H$10,MATCH($B17,$B$7:$B$10,0))/INDEX(G$12:G$15,MATCH($B17,$B$12:$B$15,0))&lt;0,"NM",INDEX(H$7:H$10,MATCH($B17,$B$7:$B$10,0))/INDEX(G$12:G$15,MATCH($B17,$B$12:$B$15,0))),"NA")</f>
        <v>18.994276094276092</v>
      </c>
      <c r="I17" s="263"/>
      <c r="J17" s="262">
        <f ca="1">IFERROR(IF(INDEX(J$7:J$10,MATCH($B17,$B$7:$B$10,0))/INDEX(J$12:J$15,MATCH($B17,$B$12:$B$15,0))&lt;0,"NM",INDEX(J$7:J$10,MATCH($B17,$B$7:$B$10,0))/INDEX(J$12:J$15,MATCH($B17,$B$12:$B$15,0))),"NA")</f>
        <v>27.82668810289389</v>
      </c>
      <c r="K17" s="262">
        <f ca="1">IFERROR(IF(INDEX(K$7:K$10,MATCH($B17,$B$7:$B$10,0))/INDEX(J$12:J$15,MATCH($B17,$B$12:$B$15,0))&lt;0,"NM",INDEX(K$7:K$10,MATCH($B17,$B$7:$B$10,0))/INDEX(J$12:J$15,MATCH($B17,$B$12:$B$15,0))),"NA")</f>
        <v>41.988102893890677</v>
      </c>
      <c r="L17" s="263"/>
      <c r="M17" s="262">
        <f ca="1">IFERROR(IF(INDEX(M$7:M$10,MATCH($B17,$B$7:$B$10,0))/INDEX(M$12:M$15,MATCH($B17,$B$12:$B$15,0))&lt;0,"NM",INDEX(M$7:M$10,MATCH($B17,$B$7:$B$10,0))/INDEX(M$12:M$15,MATCH($B17,$B$12:$B$15,0))),"NA")</f>
        <v>18.276284584980239</v>
      </c>
      <c r="N17" s="262">
        <f ca="1">IFERROR(IF(INDEX(N$7:N$10,MATCH($B17,$B$7:$B$10,0))/INDEX(M$12:M$15,MATCH($B17,$B$12:$B$15,0))&lt;0,"NM",INDEX(N$7:N$10,MATCH($B17,$B$7:$B$10,0))/INDEX(M$12:M$15,MATCH($B17,$B$12:$B$15,0))),"NA")</f>
        <v>30.443873517786564</v>
      </c>
      <c r="O17" s="275"/>
      <c r="P17" s="269">
        <f t="shared" ref="P17:Q20" ca="1" si="2">IFERROR(AVERAGE(G17,J17,M17),"NA")</f>
        <v>19.976187304487784</v>
      </c>
      <c r="Q17" s="270">
        <f t="shared" ca="1" si="2"/>
        <v>30.475417501984442</v>
      </c>
    </row>
    <row r="18" spans="1:17">
      <c r="A18" s="499"/>
      <c r="B18" s="484">
        <f ca="1">B8</f>
        <v>44196</v>
      </c>
      <c r="C18" s="256"/>
      <c r="D18" s="264">
        <f ca="1">IFERROR(IF(INDEX(D$7:D$10,MATCH($B18,$B$7:$B$10,0))/INDEX(D$12:D$15,MATCH($B18,$B$12:$B$15,0))&lt;0,"NM",INDEX(D$7:D$10,MATCH($B18,$B$7:$B$10,0))/INDEX(D$12:D$15,MATCH($B18,$B$12:$B$15,0))),"NA")</f>
        <v>10.641788856304984</v>
      </c>
      <c r="E18" s="264">
        <f ca="1">IFERROR(IF(INDEX(E$7:E$10,MATCH($B18,$B$7:$B$10,0))/INDEX(D$12:D$15,MATCH($B18,$B$12:$B$15,0))&lt;0,"NM",INDEX(E$7:E$10,MATCH($B18,$B$7:$B$10,0))/INDEX(D$12:D$15,MATCH($B18,$B$12:$B$15,0))),"NA")</f>
        <v>15.407331378299119</v>
      </c>
      <c r="F18" s="265"/>
      <c r="G18" s="264">
        <f ca="1">IFERROR(IF(INDEX(G$7:G$10,MATCH($B18,$B$7:$B$10,0))/INDEX(G$12:G$15,MATCH($B18,$B$12:$B$15,0))&lt;0,"NM",INDEX(G$7:G$10,MATCH($B18,$B$7:$B$10,0))/INDEX(G$12:G$15,MATCH($B18,$B$12:$B$15,0))),"NA")</f>
        <v>12.178571428571427</v>
      </c>
      <c r="H18" s="264">
        <f ca="1">IFERROR(IF(INDEX(H$7:H$10,MATCH($B18,$B$7:$B$10,0))/INDEX(G$12:G$15,MATCH($B18,$B$12:$B$15,0))&lt;0,"NM",INDEX(H$7:H$10,MATCH($B18,$B$7:$B$10,0))/INDEX(G$12:G$15,MATCH($B18,$B$12:$B$15,0))),"NA")</f>
        <v>20.568181818181817</v>
      </c>
      <c r="I18" s="265"/>
      <c r="J18" s="264">
        <f ca="1">IFERROR(IF(INDEX(J$7:J$10,MATCH($B18,$B$7:$B$10,0))/INDEX(J$12:J$15,MATCH($B18,$B$12:$B$15,0))&lt;0,"NM",INDEX(J$7:J$10,MATCH($B18,$B$7:$B$10,0))/INDEX(J$12:J$15,MATCH($B18,$B$12:$B$15,0))),"NA")</f>
        <v>16.711871227364188</v>
      </c>
      <c r="K18" s="264">
        <f ca="1">IFERROR(IF(INDEX(K$7:K$10,MATCH($B18,$B$7:$B$10,0))/INDEX(J$12:J$15,MATCH($B18,$B$12:$B$15,0))&lt;0,"NM",INDEX(K$7:K$10,MATCH($B18,$B$7:$B$10,0))/INDEX(J$12:J$15,MATCH($B18,$B$12:$B$15,0))),"NA")</f>
        <v>32.123138832997988</v>
      </c>
      <c r="L18" s="265"/>
      <c r="M18" s="264">
        <f ca="1">IFERROR(IF(INDEX(M$7:M$10,MATCH($B18,$B$7:$B$10,0))/INDEX(M$12:M$15,MATCH($B18,$B$12:$B$15,0))&lt;0,"NM",INDEX(M$7:M$10,MATCH($B18,$B$7:$B$10,0))/INDEX(M$12:M$15,MATCH($B18,$B$12:$B$15,0))),"NA")</f>
        <v>22.26197916666667</v>
      </c>
      <c r="N18" s="264">
        <f ca="1">IFERROR(IF(INDEX(N$7:N$10,MATCH($B18,$B$7:$B$10,0))/INDEX(M$12:M$15,MATCH($B18,$B$12:$B$15,0))&lt;0,"NM",INDEX(N$7:N$10,MATCH($B18,$B$7:$B$10,0))/INDEX(M$12:M$15,MATCH($B18,$B$12:$B$15,0))),"NA")</f>
        <v>39.343576388888891</v>
      </c>
      <c r="O18" s="275"/>
      <c r="P18" s="271">
        <f t="shared" ca="1" si="2"/>
        <v>17.050807274200761</v>
      </c>
      <c r="Q18" s="272">
        <f t="shared" ca="1" si="2"/>
        <v>30.678299013356234</v>
      </c>
    </row>
    <row r="19" spans="1:17">
      <c r="A19" s="499"/>
      <c r="B19" s="484">
        <f ca="1">B9</f>
        <v>44561</v>
      </c>
      <c r="C19" s="256"/>
      <c r="D19" s="264">
        <f ca="1">IFERROR(IF(INDEX(D$7:D$10,MATCH($B19,$B$7:$B$10,0))/INDEX(D$12:D$15,MATCH($B19,$B$12:$B$15,0))&lt;0,"NM",INDEX(D$7:D$10,MATCH($B19,$B$7:$B$10,0))/INDEX(D$12:D$15,MATCH($B19,$B$12:$B$15,0))),"NA")</f>
        <v>12.354350567465321</v>
      </c>
      <c r="E19" s="264">
        <f ca="1">IFERROR(IF(INDEX(E$7:E$10,MATCH($B19,$B$7:$B$10,0))/INDEX(D$12:D$15,MATCH($B19,$B$12:$B$15,0))&lt;0,"NM",INDEX(E$7:E$10,MATCH($B19,$B$7:$B$10,0))/INDEX(D$12:D$15,MATCH($B19,$B$12:$B$15,0))),"NA")</f>
        <v>16.485498108448926</v>
      </c>
      <c r="F19" s="265"/>
      <c r="G19" s="264">
        <f ca="1">IFERROR(IF(INDEX(G$7:G$10,MATCH($B19,$B$7:$B$10,0))/INDEX(G$12:G$15,MATCH($B19,$B$12:$B$15,0))&lt;0,"NM",INDEX(G$7:G$10,MATCH($B19,$B$7:$B$10,0))/INDEX(G$12:G$15,MATCH($B19,$B$12:$B$15,0))),"NA")</f>
        <v>12.612967032967035</v>
      </c>
      <c r="H19" s="264">
        <f ca="1">IFERROR(IF(INDEX(H$7:H$10,MATCH($B19,$B$7:$B$10,0))/INDEX(G$12:G$15,MATCH($B19,$B$12:$B$15,0))&lt;0,"NM",INDEX(H$7:H$10,MATCH($B19,$B$7:$B$10,0))/INDEX(G$12:G$15,MATCH($B19,$B$12:$B$15,0))),"NA")</f>
        <v>22.709890109890111</v>
      </c>
      <c r="I19" s="265"/>
      <c r="J19" s="264">
        <f ca="1">IFERROR(IF(INDEX(J$7:J$10,MATCH($B19,$B$7:$B$10,0))/INDEX(J$12:J$15,MATCH($B19,$B$12:$B$15,0))&lt;0,"NM",INDEX(J$7:J$10,MATCH($B19,$B$7:$B$10,0))/INDEX(J$12:J$15,MATCH($B19,$B$12:$B$15,0))),"NA")</f>
        <v>21.367931688804553</v>
      </c>
      <c r="K19" s="264">
        <f ca="1">IFERROR(IF(INDEX(K$7:K$10,MATCH($B19,$B$7:$B$10,0))/INDEX(J$12:J$15,MATCH($B19,$B$12:$B$15,0))&lt;0,"NM",INDEX(K$7:K$10,MATCH($B19,$B$7:$B$10,0))/INDEX(J$12:J$15,MATCH($B19,$B$12:$B$15,0))),"NA")</f>
        <v>27.472485768500952</v>
      </c>
      <c r="L19" s="265"/>
      <c r="M19" s="264">
        <f ca="1">IFERROR(IF(INDEX(M$7:M$10,MATCH($B19,$B$7:$B$10,0))/INDEX(M$12:M$15,MATCH($B19,$B$12:$B$15,0))&lt;0,"NM",INDEX(M$7:M$10,MATCH($B19,$B$7:$B$10,0))/INDEX(M$12:M$15,MATCH($B19,$B$12:$B$15,0))),"NA")</f>
        <v>25.689813664596272</v>
      </c>
      <c r="N19" s="264">
        <f ca="1">IFERROR(IF(INDEX(N$7:N$10,MATCH($B19,$B$7:$B$10,0))/INDEX(M$12:M$15,MATCH($B19,$B$12:$B$15,0))&lt;0,"NM",INDEX(N$7:N$10,MATCH($B19,$B$7:$B$10,0))/INDEX(M$12:M$15,MATCH($B19,$B$12:$B$15,0))),"NA")</f>
        <v>42.740496894409929</v>
      </c>
      <c r="O19" s="275"/>
      <c r="P19" s="271">
        <f t="shared" ca="1" si="2"/>
        <v>19.89023746212262</v>
      </c>
      <c r="Q19" s="272">
        <f t="shared" ca="1" si="2"/>
        <v>30.974290924266995</v>
      </c>
    </row>
    <row r="20" spans="1:17">
      <c r="A20" s="499"/>
      <c r="B20" s="484">
        <f ca="1">B10</f>
        <v>44926</v>
      </c>
      <c r="C20" s="256"/>
      <c r="D20" s="264">
        <f ca="1">IFERROR(IF(INDEX(D$7:D$10,MATCH($B20,$B$7:$B$10,0))/INDEX(D$12:D$15,MATCH($B20,$B$12:$B$15,0))&lt;0,"NM",INDEX(D$7:D$10,MATCH($B20,$B$7:$B$10,0))/INDEX(D$12:D$15,MATCH($B20,$B$12:$B$15,0))),"NA")</f>
        <v>12.049507119386636</v>
      </c>
      <c r="E20" s="264">
        <f ca="1">IFERROR(IF(INDEX(E$7:E$10,MATCH($B20,$B$7:$B$10,0))/INDEX(D$12:D$15,MATCH($B20,$B$12:$B$15,0))&lt;0,"NM",INDEX(E$7:E$10,MATCH($B20,$B$7:$B$10,0))/INDEX(D$12:D$15,MATCH($B20,$B$12:$B$15,0))),"NA")</f>
        <v>16.167907995618837</v>
      </c>
      <c r="F20" s="265"/>
      <c r="G20" s="264">
        <f ca="1">IFERROR(IF(INDEX(G$7:G$10,MATCH($B20,$B$7:$B$10,0))/INDEX(G$12:G$15,MATCH($B20,$B$12:$B$15,0))&lt;0,"NM",INDEX(G$7:G$10,MATCH($B20,$B$7:$B$10,0))/INDEX(G$12:G$15,MATCH($B20,$B$12:$B$15,0))),"NA")</f>
        <v>24.804979253112034</v>
      </c>
      <c r="H20" s="264">
        <f ca="1">IFERROR(IF(INDEX(H$7:H$10,MATCH($B20,$B$7:$B$10,0))/INDEX(G$12:G$15,MATCH($B20,$B$12:$B$15,0))&lt;0,"NM",INDEX(H$7:H$10,MATCH($B20,$B$7:$B$10,0))/INDEX(G$12:G$15,MATCH($B20,$B$12:$B$15,0))),"NA")</f>
        <v>36.22821576763485</v>
      </c>
      <c r="I20" s="265"/>
      <c r="J20" s="264">
        <f ca="1">IFERROR(IF(INDEX(J$7:J$10,MATCH($B20,$B$7:$B$10,0))/INDEX(J$12:J$15,MATCH($B20,$B$12:$B$15,0))&lt;0,"NM",INDEX(J$7:J$10,MATCH($B20,$B$7:$B$10,0))/INDEX(J$12:J$15,MATCH($B20,$B$12:$B$15,0))),"NA")</f>
        <v>37.702450980392157</v>
      </c>
      <c r="K20" s="264">
        <f ca="1">IFERROR(IF(INDEX(K$7:K$10,MATCH($B20,$B$7:$B$10,0))/INDEX(J$12:J$15,MATCH($B20,$B$12:$B$15,0))&lt;0,"NM",INDEX(K$7:K$10,MATCH($B20,$B$7:$B$10,0))/INDEX(J$12:J$15,MATCH($B20,$B$12:$B$15,0))),"NA")</f>
        <v>66.377450980392155</v>
      </c>
      <c r="L20" s="265"/>
      <c r="M20" s="264">
        <f ca="1">IFERROR(IF(INDEX(M$7:M$10,MATCH($B20,$B$7:$B$10,0))/INDEX(M$12:M$15,MATCH($B20,$B$12:$B$15,0))&lt;0,"NM",INDEX(M$7:M$10,MATCH($B20,$B$7:$B$10,0))/INDEX(M$12:M$15,MATCH($B20,$B$12:$B$15,0))),"NA")</f>
        <v>21.904870466321242</v>
      </c>
      <c r="N20" s="264">
        <f ca="1">IFERROR(IF(INDEX(N$7:N$10,MATCH($B20,$B$7:$B$10,0))/INDEX(M$12:M$15,MATCH($B20,$B$12:$B$15,0))&lt;0,"NM",INDEX(N$7:N$10,MATCH($B20,$B$7:$B$10,0))/INDEX(M$12:M$15,MATCH($B20,$B$12:$B$15,0))),"NA")</f>
        <v>33.427772020725385</v>
      </c>
      <c r="O20" s="275"/>
      <c r="P20" s="271">
        <f t="shared" ca="1" si="2"/>
        <v>28.137433566608479</v>
      </c>
      <c r="Q20" s="272">
        <f t="shared" ca="1" si="2"/>
        <v>45.344479589584125</v>
      </c>
    </row>
    <row r="21" spans="1:17" ht="15.75" thickBot="1">
      <c r="A21" s="500"/>
      <c r="B21" s="266" t="s">
        <v>200</v>
      </c>
      <c r="C21" s="259"/>
      <c r="D21" s="267">
        <f ca="1">IFERROR(AVERAGE(D17:D20),"NA")</f>
        <v>10.837271164276466</v>
      </c>
      <c r="E21" s="267">
        <f ca="1">IFERROR(AVERAGE(E17:E20),"NA")</f>
        <v>14.925179459000365</v>
      </c>
      <c r="F21" s="268"/>
      <c r="G21" s="267">
        <f ca="1">IFERROR(AVERAGE(G17:G20),"NA")</f>
        <v>15.855526735059929</v>
      </c>
      <c r="H21" s="267">
        <f ca="1">IFERROR(AVERAGE(H17:H20),"NA")</f>
        <v>24.625140947495716</v>
      </c>
      <c r="I21" s="268"/>
      <c r="J21" s="267">
        <f ca="1">IFERROR(AVERAGE(J17:J20),"NA")</f>
        <v>25.902235499863696</v>
      </c>
      <c r="K21" s="267">
        <f ca="1">IFERROR(AVERAGE(K17:K20),"NA")</f>
        <v>41.990294618945441</v>
      </c>
      <c r="L21" s="268"/>
      <c r="M21" s="267">
        <f ca="1">IFERROR(AVERAGE(M17:M20),"NA")</f>
        <v>22.033236970641106</v>
      </c>
      <c r="N21" s="267">
        <f ca="1">IFERROR(AVERAGE(N17:N20),"NA")</f>
        <v>36.488929705452691</v>
      </c>
      <c r="O21" s="275"/>
      <c r="P21" s="273">
        <f ca="1">IFERROR(AVERAGE(P17:P20),"NA")</f>
        <v>21.263666401854913</v>
      </c>
      <c r="Q21" s="274">
        <f ca="1">IFERROR(AVERAGE(Q17:Q20),"NA")</f>
        <v>34.368121757297949</v>
      </c>
    </row>
    <row r="22" spans="1:17" ht="7.9" customHeight="1">
      <c r="A22" s="236"/>
      <c r="B22" s="234"/>
      <c r="C22" s="235"/>
      <c r="D22" s="237"/>
      <c r="E22" s="237"/>
      <c r="F22" s="235"/>
      <c r="G22" s="237"/>
      <c r="H22" s="237"/>
      <c r="I22" s="235"/>
      <c r="J22" s="237"/>
      <c r="K22" s="237"/>
      <c r="L22" s="235"/>
      <c r="M22" s="237"/>
      <c r="N22" s="237"/>
      <c r="O22" s="235"/>
      <c r="P22" s="237"/>
      <c r="Q22" s="237"/>
    </row>
    <row r="23" spans="1:17">
      <c r="A23" s="242" t="s">
        <v>202</v>
      </c>
      <c r="B23" s="243"/>
      <c r="C23" s="244"/>
      <c r="D23" s="244"/>
      <c r="E23" s="243"/>
      <c r="F23" s="244"/>
      <c r="G23" s="243"/>
      <c r="H23" s="243"/>
      <c r="I23" s="244"/>
      <c r="J23" s="243"/>
      <c r="K23" s="244"/>
      <c r="L23" s="244"/>
      <c r="M23" s="244"/>
      <c r="N23" s="244"/>
      <c r="O23" s="244"/>
      <c r="P23" s="244"/>
      <c r="Q23" s="244"/>
    </row>
    <row r="24" spans="1:17">
      <c r="A24" s="245" t="s">
        <v>203</v>
      </c>
      <c r="B24" s="229"/>
      <c r="D24" s="246">
        <f ca="1">AVERAGE($P$21:$Q$21)</f>
        <v>27.815894079576431</v>
      </c>
      <c r="E24" s="229"/>
      <c r="H24" s="247"/>
      <c r="J24" s="229"/>
    </row>
    <row r="25" spans="1:17">
      <c r="A25" s="245" t="s">
        <v>204</v>
      </c>
      <c r="B25" s="229"/>
      <c r="D25" s="248">
        <f ca="1">AVERAGE($D$21:$E$21)</f>
        <v>12.881225311638415</v>
      </c>
      <c r="E25" s="229"/>
      <c r="J25" s="229"/>
    </row>
    <row r="26" spans="1:17" ht="7.9" customHeight="1">
      <c r="A26" s="229"/>
      <c r="B26" s="249"/>
      <c r="D26" s="250"/>
      <c r="E26" s="250"/>
      <c r="G26" s="250"/>
      <c r="H26" s="250"/>
      <c r="J26" s="250"/>
      <c r="K26" s="250"/>
      <c r="M26" s="250"/>
      <c r="N26" s="250"/>
      <c r="P26" s="250"/>
      <c r="Q26" s="250"/>
    </row>
    <row r="27" spans="1:17">
      <c r="A27" s="245" t="s">
        <v>205</v>
      </c>
      <c r="B27" s="229"/>
      <c r="D27" s="251">
        <f ca="1">AVERAGE(D25,D24)</f>
        <v>20.348559695607424</v>
      </c>
      <c r="E27" s="229"/>
      <c r="J27" s="229"/>
    </row>
    <row r="28" spans="1:17">
      <c r="A28" s="245" t="s">
        <v>214</v>
      </c>
      <c r="B28" s="229"/>
      <c r="D28" s="252">
        <f ca="1">Summary!$L$25</f>
        <v>9.5081199317241243</v>
      </c>
      <c r="E28" s="229"/>
      <c r="J28" s="229"/>
    </row>
    <row r="29" spans="1:17" ht="7.9" customHeight="1" thickBot="1">
      <c r="A29" s="229"/>
      <c r="B29" s="249"/>
      <c r="D29" s="250"/>
      <c r="E29" s="250"/>
      <c r="G29" s="250"/>
      <c r="H29" s="250"/>
      <c r="J29" s="250"/>
      <c r="K29" s="250"/>
      <c r="M29" s="250"/>
      <c r="N29" s="250"/>
      <c r="P29" s="250"/>
      <c r="Q29" s="250"/>
    </row>
    <row r="30" spans="1:17" ht="15.75" thickBot="1">
      <c r="A30" s="282" t="s">
        <v>206</v>
      </c>
      <c r="B30" s="240"/>
      <c r="C30" s="241"/>
      <c r="D30" s="283">
        <f ca="1">D27*D28</f>
        <v>193.47654602368311</v>
      </c>
      <c r="E30" s="240"/>
      <c r="F30" s="241"/>
      <c r="G30" s="241"/>
      <c r="H30" s="241"/>
      <c r="I30" s="241"/>
      <c r="J30" s="240"/>
      <c r="K30" s="240"/>
      <c r="L30" s="241"/>
      <c r="M30" s="240"/>
      <c r="N30" s="240"/>
      <c r="O30" s="241"/>
      <c r="P30" s="240"/>
      <c r="Q30" s="240"/>
    </row>
    <row r="31" spans="1:17" ht="15.75" thickBot="1">
      <c r="A31" s="233"/>
      <c r="B31" s="229"/>
      <c r="E31" s="230"/>
      <c r="J31" s="229"/>
      <c r="K31" s="229"/>
      <c r="M31" s="229"/>
      <c r="N31" s="229"/>
      <c r="P31" s="229"/>
      <c r="Q31" s="229"/>
    </row>
    <row r="32" spans="1:17">
      <c r="A32" s="284" t="s">
        <v>213</v>
      </c>
      <c r="B32" s="285"/>
      <c r="C32" s="285"/>
      <c r="D32" s="285"/>
      <c r="E32" s="285"/>
      <c r="F32" s="285"/>
      <c r="G32" s="285"/>
      <c r="H32" s="285"/>
      <c r="I32" s="285"/>
      <c r="J32" s="285"/>
      <c r="K32" s="285"/>
      <c r="L32" s="285"/>
      <c r="M32" s="285"/>
      <c r="N32" s="285"/>
      <c r="O32" s="285"/>
      <c r="P32" s="285"/>
      <c r="Q32" s="285"/>
    </row>
    <row r="33" spans="1:17">
      <c r="A33" s="287" t="s">
        <v>210</v>
      </c>
    </row>
    <row r="34" spans="1:17">
      <c r="A34" s="287" t="s">
        <v>211</v>
      </c>
    </row>
    <row r="35" spans="1:17" ht="15.75" thickBot="1">
      <c r="A35" s="288" t="s">
        <v>212</v>
      </c>
      <c r="B35" s="286"/>
      <c r="C35" s="286"/>
      <c r="D35" s="286"/>
      <c r="E35" s="286"/>
      <c r="F35" s="286"/>
      <c r="G35" s="286"/>
      <c r="H35" s="286"/>
      <c r="I35" s="286"/>
      <c r="J35" s="286"/>
      <c r="K35" s="286"/>
      <c r="L35" s="286"/>
      <c r="M35" s="286"/>
      <c r="N35" s="286"/>
      <c r="O35" s="286"/>
      <c r="P35" s="286"/>
      <c r="Q35" s="286"/>
    </row>
  </sheetData>
  <mergeCells count="28">
    <mergeCell ref="J14:K14"/>
    <mergeCell ref="M14:N14"/>
    <mergeCell ref="D15:E15"/>
    <mergeCell ref="G15:H15"/>
    <mergeCell ref="J15:K15"/>
    <mergeCell ref="M15:N15"/>
    <mergeCell ref="J3:K3"/>
    <mergeCell ref="M3:N3"/>
    <mergeCell ref="D12:E12"/>
    <mergeCell ref="G13:H13"/>
    <mergeCell ref="G12:H12"/>
    <mergeCell ref="J12:K12"/>
    <mergeCell ref="M12:N12"/>
    <mergeCell ref="D13:E13"/>
    <mergeCell ref="J13:K13"/>
    <mergeCell ref="M13:N13"/>
    <mergeCell ref="A17:A21"/>
    <mergeCell ref="A12:A15"/>
    <mergeCell ref="A7:A10"/>
    <mergeCell ref="D3:E3"/>
    <mergeCell ref="G3:H3"/>
    <mergeCell ref="D14:E14"/>
    <mergeCell ref="G14:H14"/>
    <mergeCell ref="P3:Q3"/>
    <mergeCell ref="P12:Q12"/>
    <mergeCell ref="P13:Q13"/>
    <mergeCell ref="P14:Q14"/>
    <mergeCell ref="P15:Q15"/>
  </mergeCells>
  <phoneticPr fontId="1" type="noConversion"/>
  <printOptions horizontalCentered="1"/>
  <pageMargins left="0.7" right="0.7" top="0.75" bottom="0.75" header="0.3" footer="0.3"/>
  <pageSetup scale="83"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B8336-A1BB-443A-844B-5CA5E78C7B0C}">
  <sheetPr>
    <tabColor theme="9"/>
  </sheetPr>
  <dimension ref="A1:G19"/>
  <sheetViews>
    <sheetView showGridLines="0" zoomScaleNormal="100" zoomScaleSheetLayoutView="130" workbookViewId="0">
      <pane ySplit="19" topLeftCell="A20" activePane="bottomLeft" state="frozen"/>
      <selection pane="bottomLeft" activeCell="H17" sqref="H17"/>
    </sheetView>
  </sheetViews>
  <sheetFormatPr defaultRowHeight="15"/>
  <cols>
    <col min="1" max="1" width="32.7109375" customWidth="1"/>
  </cols>
  <sheetData>
    <row r="1" spans="1:7">
      <c r="A1" s="205" t="s">
        <v>174</v>
      </c>
      <c r="B1" s="206"/>
      <c r="C1" s="206"/>
      <c r="D1" s="206"/>
      <c r="E1" s="206"/>
      <c r="F1" s="206"/>
    </row>
    <row r="2" spans="1:7" ht="6" customHeight="1"/>
    <row r="3" spans="1:7">
      <c r="A3" s="211" t="s">
        <v>192</v>
      </c>
      <c r="B3" s="212">
        <f>Cost_of_Equity</f>
        <v>9.7960000000000005E-2</v>
      </c>
      <c r="C3" s="213"/>
      <c r="D3" s="213"/>
      <c r="E3" s="213"/>
      <c r="F3" s="213"/>
    </row>
    <row r="4" spans="1:7">
      <c r="A4" s="211" t="s">
        <v>193</v>
      </c>
      <c r="B4" s="212">
        <f>Terminal_Rate</f>
        <v>0.02</v>
      </c>
      <c r="C4" s="213"/>
      <c r="D4" s="213"/>
      <c r="E4" s="213"/>
      <c r="F4" s="213"/>
    </row>
    <row r="5" spans="1:7" ht="18">
      <c r="A5" s="211" t="s">
        <v>191</v>
      </c>
      <c r="B5" s="218">
        <v>6.62</v>
      </c>
      <c r="C5" s="213"/>
      <c r="D5" s="213"/>
      <c r="E5" s="213"/>
      <c r="F5" s="213"/>
    </row>
    <row r="7" spans="1:7" ht="15.75" thickBot="1">
      <c r="A7" s="62" t="s">
        <v>129</v>
      </c>
      <c r="B7" s="487" cm="1">
        <f t="array" ref="B7:F7">DCF!$E$31:$I$31</f>
        <v>45291</v>
      </c>
      <c r="C7" s="487">
        <v>45657</v>
      </c>
      <c r="D7" s="487">
        <v>46022</v>
      </c>
      <c r="E7" s="487">
        <v>46387</v>
      </c>
      <c r="F7" s="487">
        <v>46752</v>
      </c>
    </row>
    <row r="8" spans="1:7">
      <c r="A8" s="161" t="s">
        <v>183</v>
      </c>
      <c r="B8" s="217">
        <v>6.0000000000000001E-3</v>
      </c>
      <c r="C8" s="217">
        <v>6.0000000000000001E-3</v>
      </c>
      <c r="D8" s="217">
        <v>6.0000000000000001E-3</v>
      </c>
      <c r="E8" s="217">
        <v>6.0000000000000001E-3</v>
      </c>
      <c r="F8" s="217">
        <v>6.0000000000000001E-3</v>
      </c>
    </row>
    <row r="9" spans="1:7">
      <c r="A9" s="161" t="s">
        <v>184</v>
      </c>
      <c r="B9" s="204">
        <f>$B$5*(1+B8)</f>
        <v>6.6597200000000001</v>
      </c>
      <c r="C9" s="204">
        <f>$B$9*(1+C8)</f>
        <v>6.6996783200000003</v>
      </c>
      <c r="D9" s="204">
        <f>$B$9*(1+D8)</f>
        <v>6.6996783200000003</v>
      </c>
      <c r="E9" s="204">
        <f>$B$9*(1+E8)</f>
        <v>6.6996783200000003</v>
      </c>
      <c r="F9" s="204">
        <f>$B$9*(1+F8)</f>
        <v>6.6996783200000003</v>
      </c>
    </row>
    <row r="10" spans="1:7">
      <c r="A10" s="161" t="s">
        <v>141</v>
      </c>
      <c r="B10" s="204"/>
      <c r="C10" s="204"/>
      <c r="D10" s="204"/>
      <c r="E10" s="204"/>
      <c r="F10" s="204">
        <f>IFERROR(F9*(1+$B$4)/(B3-B4),"NA")</f>
        <v>87.656129892252437</v>
      </c>
    </row>
    <row r="11" spans="1:7">
      <c r="A11" s="219" t="s">
        <v>185</v>
      </c>
      <c r="B11" s="220">
        <f>SUM(B9:B10)</f>
        <v>6.6597200000000001</v>
      </c>
      <c r="C11" s="220">
        <f>SUM(C9:C10)</f>
        <v>6.6996783200000003</v>
      </c>
      <c r="D11" s="220">
        <f>SUM(D9:D10)</f>
        <v>6.6996783200000003</v>
      </c>
      <c r="E11" s="220">
        <f>SUM(E9:E10)</f>
        <v>6.6996783200000003</v>
      </c>
      <c r="F11" s="220">
        <f>SUM(F9:F10)</f>
        <v>94.355808212252441</v>
      </c>
    </row>
    <row r="12" spans="1:7" ht="6" customHeight="1"/>
    <row r="13" spans="1:7" ht="15.75" thickBot="1">
      <c r="A13" s="221" t="s">
        <v>186</v>
      </c>
      <c r="B13" s="222"/>
      <c r="C13" s="222"/>
      <c r="D13" s="222"/>
      <c r="E13" s="222"/>
      <c r="F13" s="228">
        <f>NPV($B$3,B$11:F$11)</f>
        <v>80.428643747091854</v>
      </c>
    </row>
    <row r="14" spans="1:7" ht="15.75" thickBot="1">
      <c r="A14" s="221" t="s">
        <v>194</v>
      </c>
      <c r="B14" s="222"/>
      <c r="C14" s="222"/>
      <c r="D14" s="222"/>
      <c r="E14" s="222"/>
      <c r="F14" s="216">
        <f>F13*(1+$B$3)</f>
        <v>88.307433688556969</v>
      </c>
    </row>
    <row r="16" spans="1:7">
      <c r="A16" s="207" t="s">
        <v>187</v>
      </c>
      <c r="B16" s="208"/>
      <c r="C16" s="208"/>
      <c r="D16" s="208"/>
      <c r="E16" s="208"/>
      <c r="F16" s="208"/>
      <c r="G16" s="208"/>
    </row>
    <row r="17" spans="1:7">
      <c r="A17" s="512" t="s">
        <v>188</v>
      </c>
      <c r="B17" s="512"/>
      <c r="C17" s="512"/>
      <c r="D17" s="512"/>
      <c r="E17" s="512"/>
      <c r="F17" s="512"/>
      <c r="G17" s="512"/>
    </row>
    <row r="18" spans="1:7">
      <c r="A18" s="209" t="s">
        <v>189</v>
      </c>
      <c r="B18" s="210"/>
      <c r="C18" s="210"/>
      <c r="D18" s="210"/>
      <c r="E18" s="210"/>
      <c r="F18" s="210"/>
      <c r="G18" s="210"/>
    </row>
    <row r="19" spans="1:7">
      <c r="A19" s="209" t="s">
        <v>190</v>
      </c>
      <c r="B19" s="210"/>
      <c r="C19" s="210"/>
      <c r="D19" s="210"/>
      <c r="E19" s="210"/>
      <c r="F19" s="210"/>
      <c r="G19" s="210"/>
    </row>
  </sheetData>
  <mergeCells count="1">
    <mergeCell ref="A17:G17"/>
  </mergeCells>
  <printOptions horizontalCentered="1"/>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50F5E-0263-43FA-9A49-BC47D00A981B}">
  <sheetPr>
    <tabColor theme="3"/>
  </sheetPr>
  <dimension ref="B1:L35"/>
  <sheetViews>
    <sheetView showGridLines="0" tabSelected="1" view="pageBreakPreview" zoomScaleNormal="100" zoomScaleSheetLayoutView="100" workbookViewId="0">
      <selection activeCell="P22" sqref="P22"/>
    </sheetView>
  </sheetViews>
  <sheetFormatPr defaultRowHeight="15"/>
  <cols>
    <col min="1" max="1" width="1.140625" customWidth="1"/>
    <col min="2" max="2" width="2.7109375" customWidth="1"/>
    <col min="3" max="3" width="29" customWidth="1"/>
    <col min="5" max="7" width="10.5703125" customWidth="1"/>
    <col min="9" max="9" width="4.7109375" customWidth="1"/>
    <col min="10" max="10" width="16.7109375" customWidth="1"/>
    <col min="13" max="13" width="3.85546875" customWidth="1"/>
    <col min="14" max="14" width="20.140625" customWidth="1"/>
    <col min="15" max="15" width="17.28515625" customWidth="1"/>
    <col min="16" max="16" width="13.5703125" customWidth="1"/>
  </cols>
  <sheetData>
    <row r="1" spans="2:12" ht="10.9" customHeight="1">
      <c r="B1" s="162"/>
      <c r="C1" s="163"/>
      <c r="D1" s="163"/>
      <c r="E1" s="163"/>
      <c r="F1" s="130"/>
      <c r="G1" s="130"/>
      <c r="H1" s="130"/>
      <c r="I1" s="130"/>
      <c r="J1" s="130"/>
      <c r="K1" s="130"/>
      <c r="L1" s="130"/>
    </row>
    <row r="2" spans="2:12" ht="9" customHeight="1">
      <c r="B2" s="131"/>
      <c r="C2" s="131"/>
      <c r="D2" s="131"/>
      <c r="E2" s="131"/>
      <c r="F2" s="131"/>
      <c r="G2" s="131"/>
      <c r="H2" s="131"/>
      <c r="I2" s="131"/>
      <c r="J2" s="131"/>
      <c r="K2" s="131"/>
      <c r="L2" s="131"/>
    </row>
    <row r="3" spans="2:12" ht="38.450000000000003" customHeight="1" thickBot="1">
      <c r="B3" s="132"/>
      <c r="C3" s="292" t="str">
        <f>Comp_Name</f>
        <v>International Business Machines Corporation</v>
      </c>
      <c r="D3" s="184" t="s">
        <v>255</v>
      </c>
      <c r="E3" s="132"/>
      <c r="F3" s="132"/>
      <c r="G3" s="132"/>
      <c r="H3" s="132"/>
      <c r="I3" s="132"/>
      <c r="J3" s="132"/>
      <c r="K3" s="132"/>
      <c r="L3" s="132"/>
    </row>
    <row r="4" spans="2:12" ht="9" customHeight="1">
      <c r="B4" s="133"/>
      <c r="C4" s="133"/>
      <c r="D4" s="133"/>
      <c r="E4" s="133"/>
      <c r="F4" s="133"/>
      <c r="G4" s="133"/>
      <c r="H4" s="133"/>
      <c r="I4" s="133"/>
      <c r="J4" s="133"/>
      <c r="K4" s="133"/>
      <c r="L4" s="133"/>
    </row>
    <row r="5" spans="2:12" ht="6" customHeight="1">
      <c r="B5" s="162"/>
      <c r="C5" s="163"/>
      <c r="D5" s="163"/>
      <c r="E5" s="163"/>
      <c r="F5" s="130"/>
      <c r="G5" s="130"/>
      <c r="H5" s="130"/>
      <c r="I5" s="130"/>
      <c r="J5" s="130"/>
      <c r="K5" s="130"/>
      <c r="L5" s="130"/>
    </row>
    <row r="6" spans="2:12" ht="15.75">
      <c r="B6" s="134"/>
      <c r="C6" s="135"/>
      <c r="D6" s="135"/>
      <c r="E6" s="135"/>
      <c r="F6" s="136"/>
      <c r="G6" s="136"/>
      <c r="H6" s="136"/>
      <c r="I6" s="136"/>
      <c r="J6" s="136"/>
      <c r="K6" s="137"/>
      <c r="L6" s="137"/>
    </row>
    <row r="7" spans="2:12">
      <c r="B7" s="138"/>
      <c r="C7" s="139"/>
      <c r="D7" s="139"/>
      <c r="E7" s="140"/>
      <c r="F7" s="139"/>
      <c r="G7" s="139"/>
      <c r="H7" s="139"/>
      <c r="I7" s="139"/>
      <c r="J7" s="139"/>
      <c r="K7" s="141"/>
      <c r="L7" s="141"/>
    </row>
    <row r="8" spans="2:12">
      <c r="B8" s="138"/>
      <c r="C8" s="139"/>
      <c r="D8" s="139"/>
      <c r="E8" s="140"/>
      <c r="F8" s="139"/>
      <c r="G8" s="139"/>
      <c r="H8" s="139"/>
      <c r="I8" s="139"/>
      <c r="J8" s="139"/>
      <c r="K8" s="141"/>
      <c r="L8" s="141"/>
    </row>
    <row r="9" spans="2:12">
      <c r="B9" s="138"/>
      <c r="C9" s="139"/>
      <c r="D9" s="139"/>
      <c r="E9" s="140"/>
      <c r="F9" s="139"/>
      <c r="G9" s="139"/>
      <c r="H9" s="139"/>
      <c r="I9" s="139"/>
      <c r="J9" s="139"/>
      <c r="K9" s="141"/>
      <c r="L9" s="141"/>
    </row>
    <row r="10" spans="2:12">
      <c r="B10" s="138"/>
      <c r="C10" s="139"/>
      <c r="D10" s="139"/>
      <c r="E10" s="140"/>
      <c r="F10" s="139"/>
      <c r="G10" s="139"/>
      <c r="H10" s="139"/>
      <c r="I10" s="139"/>
      <c r="J10" s="139"/>
      <c r="K10" s="141"/>
      <c r="L10" s="141"/>
    </row>
    <row r="11" spans="2:12">
      <c r="B11" s="138"/>
      <c r="C11" s="139"/>
      <c r="D11" s="139"/>
      <c r="E11" s="140"/>
      <c r="F11" s="139"/>
      <c r="G11" s="139"/>
      <c r="H11" s="139"/>
      <c r="I11" s="139"/>
      <c r="J11" s="139"/>
      <c r="K11" s="141"/>
      <c r="L11" s="141"/>
    </row>
    <row r="12" spans="2:12">
      <c r="B12" s="138"/>
      <c r="C12" s="139"/>
      <c r="D12" s="139"/>
      <c r="E12" s="140"/>
      <c r="F12" s="139"/>
      <c r="G12" s="139"/>
      <c r="H12" s="139"/>
      <c r="I12" s="139"/>
      <c r="J12" s="139"/>
      <c r="K12" s="141"/>
      <c r="L12" s="141"/>
    </row>
    <row r="13" spans="2:12">
      <c r="B13" s="138"/>
      <c r="C13" s="139"/>
      <c r="D13" s="139"/>
      <c r="E13" s="140"/>
      <c r="F13" s="139"/>
      <c r="G13" s="139"/>
      <c r="H13" s="139"/>
      <c r="I13" s="139"/>
      <c r="J13" s="139"/>
      <c r="K13" s="141"/>
      <c r="L13" s="141"/>
    </row>
    <row r="14" spans="2:12">
      <c r="B14" s="138"/>
      <c r="C14" s="139"/>
      <c r="D14" s="139"/>
      <c r="E14" s="140"/>
      <c r="F14" s="139"/>
      <c r="G14" s="139"/>
      <c r="H14" s="139"/>
      <c r="I14" s="139"/>
      <c r="J14" s="139"/>
      <c r="K14" s="141"/>
      <c r="L14" s="141"/>
    </row>
    <row r="15" spans="2:12">
      <c r="B15" s="138"/>
      <c r="C15" s="139"/>
      <c r="D15" s="139"/>
      <c r="E15" s="140"/>
      <c r="F15" s="139"/>
      <c r="G15" s="139"/>
      <c r="H15" s="139"/>
      <c r="I15" s="139"/>
      <c r="J15" s="139"/>
      <c r="K15" s="141"/>
      <c r="L15" s="141"/>
    </row>
    <row r="16" spans="2:12">
      <c r="B16" s="138"/>
      <c r="C16" s="139"/>
      <c r="D16" s="139"/>
      <c r="E16" s="140"/>
      <c r="F16" s="139"/>
      <c r="G16" s="139"/>
      <c r="H16" s="139"/>
      <c r="I16" s="139"/>
      <c r="J16" s="139"/>
      <c r="K16" s="141"/>
      <c r="L16" s="141"/>
    </row>
    <row r="17" spans="2:12">
      <c r="B17" s="138"/>
      <c r="C17" s="139"/>
      <c r="D17" s="139"/>
      <c r="E17" s="140"/>
      <c r="F17" s="139"/>
      <c r="G17" s="139"/>
      <c r="H17" s="139"/>
      <c r="I17" s="139"/>
      <c r="J17" s="139"/>
      <c r="K17" s="141"/>
      <c r="L17" s="141"/>
    </row>
    <row r="18" spans="2:12" ht="26.45" customHeight="1">
      <c r="B18" s="138"/>
      <c r="C18" s="139"/>
      <c r="D18" s="139"/>
      <c r="E18" s="140"/>
      <c r="F18" s="139"/>
      <c r="G18" s="139"/>
      <c r="H18" s="139"/>
      <c r="I18" s="139"/>
      <c r="J18" s="139"/>
      <c r="K18" s="141"/>
      <c r="L18" s="141"/>
    </row>
    <row r="19" spans="2:12" ht="15.75">
      <c r="B19" s="134" t="s">
        <v>104</v>
      </c>
      <c r="C19" s="135"/>
      <c r="D19" s="135"/>
      <c r="E19" s="135"/>
      <c r="F19" s="136"/>
      <c r="G19" s="136"/>
      <c r="H19" s="136"/>
      <c r="I19" s="136"/>
      <c r="J19" s="136"/>
      <c r="K19" s="137"/>
      <c r="L19" s="137"/>
    </row>
    <row r="20" spans="2:12">
      <c r="B20" s="138"/>
      <c r="C20" s="139"/>
      <c r="D20" s="139"/>
      <c r="E20" s="140"/>
      <c r="F20" s="139"/>
      <c r="G20" s="139"/>
      <c r="H20" s="139"/>
      <c r="I20" s="139"/>
      <c r="J20" s="139"/>
      <c r="K20" s="141"/>
      <c r="L20" s="141"/>
    </row>
    <row r="21" spans="2:12">
      <c r="B21" s="142" t="s">
        <v>218</v>
      </c>
      <c r="C21" s="142"/>
      <c r="D21" s="142"/>
      <c r="E21" s="200" t="s">
        <v>178</v>
      </c>
      <c r="F21" s="201" t="s">
        <v>106</v>
      </c>
      <c r="G21" s="202" t="s">
        <v>179</v>
      </c>
      <c r="H21" s="203" t="s">
        <v>108</v>
      </c>
      <c r="I21" s="139"/>
      <c r="J21" s="187" t="s">
        <v>176</v>
      </c>
      <c r="K21" s="489">
        <f>DCF!$E$31</f>
        <v>45291</v>
      </c>
      <c r="L21" s="214" t="s">
        <v>177</v>
      </c>
    </row>
    <row r="22" spans="2:12">
      <c r="B22" s="143" t="s">
        <v>172</v>
      </c>
      <c r="C22" s="144"/>
      <c r="D22" s="145"/>
      <c r="E22" s="146">
        <f ca="1">IFERROR(F22*0.9,"--")</f>
        <v>149.24250197783184</v>
      </c>
      <c r="F22" s="224">
        <f ca="1">IFERROR(MAX(DCF_Equity_Value_PerShare*(1+Cost_of_Equity),0),"--")</f>
        <v>165.82500219759092</v>
      </c>
      <c r="G22" s="146">
        <f ca="1">IFERROR(F22*1.1,"--")</f>
        <v>182.40750241735003</v>
      </c>
      <c r="H22" s="198">
        <v>0.4</v>
      </c>
      <c r="I22" s="141"/>
      <c r="J22" s="188" t="s">
        <v>146</v>
      </c>
      <c r="K22" s="147">
        <f ca="1">INDEX(Financials!$12:$12,MATCH(K$21,Financials!$6:$6,0))*Scaler/(10^9)</f>
        <v>62.3459</v>
      </c>
      <c r="L22" s="215">
        <f ca="1">K22/Shares_Out*(10^9)/Scaler</f>
        <v>68.43602155849004</v>
      </c>
    </row>
    <row r="23" spans="2:12">
      <c r="B23" s="185" t="s">
        <v>173</v>
      </c>
      <c r="C23" s="148"/>
      <c r="D23" s="141"/>
      <c r="E23" s="146">
        <f ca="1">IFERROR(F23*0.9,"--")</f>
        <v>174.12889142131482</v>
      </c>
      <c r="F23" s="225">
        <f ca="1">IFERROR(Multiples!$D$30,"--")</f>
        <v>193.47654602368311</v>
      </c>
      <c r="G23" s="146">
        <f ca="1">IFERROR(F23*1.1,"--")</f>
        <v>212.82420062605144</v>
      </c>
      <c r="H23" s="199">
        <v>0.5</v>
      </c>
      <c r="I23" s="141"/>
      <c r="J23" s="189" t="s">
        <v>152</v>
      </c>
      <c r="K23" s="147">
        <f ca="1">INDEX(Financials!$19:$19,MATCH(K$21,Financials!$6:$6,0))*Scaler/(10^9)</f>
        <v>34.290244999999999</v>
      </c>
      <c r="L23" s="215">
        <f ca="1">K23/Shares_Out*(10^9)/Scaler</f>
        <v>37.639811857169512</v>
      </c>
    </row>
    <row r="24" spans="2:12">
      <c r="B24" s="185" t="s">
        <v>174</v>
      </c>
      <c r="C24" s="149"/>
      <c r="D24" s="139"/>
      <c r="E24" s="146">
        <f>IFERROR(F24*0.9,"--")</f>
        <v>79.476690319701277</v>
      </c>
      <c r="F24" s="226">
        <f>IFERROR(DDM!$F$14,"--")</f>
        <v>88.307433688556969</v>
      </c>
      <c r="G24" s="146">
        <f>IFERROR(F24*1.1,"--")</f>
        <v>97.138177057412676</v>
      </c>
      <c r="H24" s="199">
        <v>0.1</v>
      </c>
      <c r="I24" s="150"/>
      <c r="J24" s="189" t="s">
        <v>175</v>
      </c>
      <c r="K24" s="147">
        <f ca="1">INDEX(Financials!$29:$29,MATCH(K$21,Financials!$6:$6,0))*Scaler/(10^9)</f>
        <v>10.785840699999994</v>
      </c>
      <c r="L24" s="215">
        <f ca="1">K24/Shares_Out*(10^9)/Scaler</f>
        <v>11.839431729618768</v>
      </c>
    </row>
    <row r="25" spans="2:12">
      <c r="B25" s="151" t="s">
        <v>219</v>
      </c>
      <c r="C25" s="152"/>
      <c r="D25" s="152"/>
      <c r="E25" s="227">
        <f ca="1">SUMPRODUCT(E22:E24,$H$22:$H$24)</f>
        <v>154.70911553376027</v>
      </c>
      <c r="F25" s="153">
        <f ca="1">SUMPRODUCT(F22:F24,$H$22:$H$24)</f>
        <v>171.89901725973365</v>
      </c>
      <c r="G25" s="227">
        <f ca="1">SUMPRODUCT(G22:G24,$H$22:$H$24)</f>
        <v>189.08891898570701</v>
      </c>
      <c r="H25" s="154">
        <f>SUM(H22:H24)</f>
        <v>1</v>
      </c>
      <c r="I25" s="150"/>
      <c r="J25" s="189" t="s">
        <v>23</v>
      </c>
      <c r="K25" s="147">
        <f ca="1">INDEX(Financials!$42:$42,MATCH(K$21,Financials!$6:$6,0))*Scaler/(10^9)</f>
        <v>8.661992338999994</v>
      </c>
      <c r="L25" s="215">
        <f ca="1">K25/Shares_Out*(10^9)/Scaler</f>
        <v>9.5081199317241243</v>
      </c>
    </row>
    <row r="26" spans="2:12" ht="15.75" thickBot="1">
      <c r="B26" s="294"/>
      <c r="C26" s="294"/>
      <c r="D26" s="294"/>
      <c r="E26" s="294"/>
      <c r="F26" s="294"/>
      <c r="G26" s="294"/>
      <c r="H26" s="294"/>
      <c r="I26" s="294"/>
      <c r="J26" s="295"/>
      <c r="K26" s="296"/>
      <c r="L26" s="296"/>
    </row>
    <row r="27" spans="2:12">
      <c r="B27" s="297" t="s">
        <v>215</v>
      </c>
      <c r="C27" s="297"/>
      <c r="D27" s="297"/>
      <c r="E27" s="297"/>
      <c r="F27" s="298">
        <f>Current_Price</f>
        <v>142.03</v>
      </c>
      <c r="G27" s="297"/>
      <c r="H27" s="297"/>
      <c r="I27" s="294"/>
      <c r="J27" s="295"/>
      <c r="K27" s="296"/>
      <c r="L27" s="296"/>
    </row>
    <row r="28" spans="2:12">
      <c r="B28" s="299" t="s">
        <v>216</v>
      </c>
      <c r="C28" s="299"/>
      <c r="D28" s="299"/>
      <c r="E28" s="299"/>
      <c r="F28" s="300">
        <f ca="1">F25/F27-1</f>
        <v>0.21030076223145566</v>
      </c>
      <c r="G28" s="299"/>
      <c r="H28" s="299"/>
      <c r="I28" s="294"/>
      <c r="J28" s="294"/>
      <c r="K28" s="294"/>
      <c r="L28" s="294"/>
    </row>
    <row r="29" spans="2:12" ht="15.75" thickBot="1">
      <c r="B29" s="301" t="s">
        <v>217</v>
      </c>
      <c r="C29" s="301"/>
      <c r="D29" s="301"/>
      <c r="E29" s="301"/>
      <c r="F29" s="302">
        <f ca="1">F28-Cost_of_Equity</f>
        <v>0.11234076223145566</v>
      </c>
      <c r="G29" s="301"/>
      <c r="H29" s="301"/>
      <c r="I29" s="294"/>
      <c r="J29" s="294"/>
      <c r="K29" s="294"/>
      <c r="L29" s="294"/>
    </row>
    <row r="30" spans="2:12">
      <c r="B30" s="197"/>
      <c r="C30" s="197"/>
      <c r="D30" s="197"/>
      <c r="E30" s="197"/>
      <c r="F30" s="197"/>
      <c r="G30" s="197"/>
      <c r="H30" s="197"/>
      <c r="I30" s="186"/>
      <c r="J30" s="186"/>
      <c r="K30" s="186"/>
      <c r="L30" s="186"/>
    </row>
    <row r="31" spans="2:12" ht="15.75">
      <c r="B31" s="155" t="s">
        <v>110</v>
      </c>
      <c r="C31" s="156"/>
      <c r="D31" s="156"/>
      <c r="E31" s="156"/>
      <c r="F31" s="157"/>
      <c r="G31" s="157"/>
      <c r="H31" s="157"/>
      <c r="J31" s="186"/>
      <c r="K31" s="186"/>
      <c r="L31" s="186"/>
    </row>
    <row r="32" spans="2:12">
      <c r="B32" s="158"/>
      <c r="C32" s="159"/>
      <c r="D32" s="166" t="s">
        <v>105</v>
      </c>
      <c r="E32" s="166" t="s">
        <v>106</v>
      </c>
      <c r="F32" s="291" t="s">
        <v>111</v>
      </c>
      <c r="G32" s="166" t="s">
        <v>107</v>
      </c>
      <c r="H32" s="166" t="s">
        <v>112</v>
      </c>
    </row>
    <row r="33" spans="2:8">
      <c r="B33" s="303" t="str">
        <f>B22&amp;" "&amp;TEXT(H22,"(0%)")</f>
        <v>Discounted Cash Flow (40%)</v>
      </c>
      <c r="C33" s="159"/>
      <c r="D33" s="165">
        <f ca="1">E22</f>
        <v>149.24250197783184</v>
      </c>
      <c r="E33" s="165">
        <f ca="1">IFERROR(F22-D33,"NA")</f>
        <v>16.582500219759083</v>
      </c>
      <c r="F33" s="289">
        <f ca="1">0.025*$F$25</f>
        <v>4.2974754314933419</v>
      </c>
      <c r="G33" s="165">
        <f ca="1">IFERROR(G22-D33-E33-F33,"NA")</f>
        <v>12.285024788265769</v>
      </c>
      <c r="H33" s="165">
        <f ca="1">$F$25</f>
        <v>171.89901725973365</v>
      </c>
    </row>
    <row r="34" spans="2:8">
      <c r="B34" s="303" t="str">
        <f>B23&amp;" "&amp;TEXT(H23,"(0%)")</f>
        <v>Market Multiples: Price to Earnings (50%)</v>
      </c>
      <c r="C34" s="159"/>
      <c r="D34" s="165">
        <f ca="1">E23</f>
        <v>174.12889142131482</v>
      </c>
      <c r="E34" s="165">
        <f ca="1">IFERROR(F23-D34,"NA")</f>
        <v>19.347654602368294</v>
      </c>
      <c r="F34" s="290">
        <f ca="1">F$33</f>
        <v>4.2974754314933419</v>
      </c>
      <c r="G34" s="165">
        <f ca="1">IFERROR(G23-D34-E34-F34,"NA")</f>
        <v>15.05017917087498</v>
      </c>
      <c r="H34" s="165">
        <f ca="1">$F$25</f>
        <v>171.89901725973365</v>
      </c>
    </row>
    <row r="35" spans="2:8">
      <c r="B35" s="303" t="str">
        <f>B24&amp;" "&amp;TEXT(H24,"(0%)")</f>
        <v>Dividend Discount Model (10%)</v>
      </c>
      <c r="C35" s="160"/>
      <c r="D35" s="165">
        <f>E24</f>
        <v>79.476690319701277</v>
      </c>
      <c r="E35" s="165">
        <f>IFERROR(F24-D35,"NA")</f>
        <v>8.8307433688556927</v>
      </c>
      <c r="F35" s="290">
        <f ca="1">F$33</f>
        <v>4.2974754314933419</v>
      </c>
      <c r="G35" s="165">
        <f ca="1">IFERROR(G24-D35-E35-F35,"NA")</f>
        <v>4.533267937362365</v>
      </c>
      <c r="H35" s="165">
        <f ca="1">$F$25</f>
        <v>171.89901725973365</v>
      </c>
    </row>
  </sheetData>
  <pageMargins left="0.7" right="0.7" top="0.75" bottom="0.75" header="0.3" footer="0.3"/>
  <pageSetup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3782B-B920-46DB-ADA7-4EA87917571E}">
  <sheetPr>
    <tabColor theme="4"/>
    <pageSetUpPr fitToPage="1"/>
  </sheetPr>
  <dimension ref="A1:N18"/>
  <sheetViews>
    <sheetView showGridLines="0" view="pageBreakPreview" zoomScale="115" zoomScaleNormal="100" zoomScaleSheetLayoutView="115" workbookViewId="0">
      <pane ySplit="4" topLeftCell="A7" activePane="bottomLeft" state="frozen"/>
      <selection activeCell="Q21" sqref="Q21"/>
      <selection pane="bottomLeft"/>
    </sheetView>
  </sheetViews>
  <sheetFormatPr defaultRowHeight="15"/>
  <cols>
    <col min="1" max="1" width="25.7109375" bestFit="1" customWidth="1"/>
    <col min="2" max="8" width="10.42578125" bestFit="1" customWidth="1"/>
    <col min="9" max="10" width="10.42578125" customWidth="1"/>
    <col min="11" max="11" width="0.7109375" customWidth="1"/>
    <col min="12" max="12" width="9.28515625" customWidth="1"/>
    <col min="13" max="13" width="3" customWidth="1"/>
  </cols>
  <sheetData>
    <row r="1" spans="1:14" ht="26.25" customHeight="1">
      <c r="A1" s="111" t="str">
        <f>"Financials Summary ($"&amp;Scale_Symbol&amp;")"</f>
        <v>Financials Summary ($M)</v>
      </c>
      <c r="B1" s="112"/>
      <c r="C1" s="112"/>
      <c r="D1" s="112"/>
      <c r="E1" s="113"/>
      <c r="F1" s="113"/>
      <c r="G1" s="113"/>
      <c r="H1" s="113"/>
      <c r="I1" s="113"/>
      <c r="J1" s="113"/>
      <c r="K1" s="164"/>
      <c r="L1" s="113"/>
      <c r="N1" s="223" t="s">
        <v>196</v>
      </c>
    </row>
    <row r="2" spans="1:14">
      <c r="A2" s="114" t="e">
        <f>"Sales Growth Assumption: "&amp;TEXT(#REF!,"0.0%")</f>
        <v>#REF!</v>
      </c>
      <c r="B2" s="115" t="s">
        <v>127</v>
      </c>
      <c r="C2" s="61"/>
      <c r="D2" s="61"/>
      <c r="E2" s="61"/>
      <c r="F2" s="115" t="s">
        <v>128</v>
      </c>
      <c r="G2" s="61"/>
      <c r="H2" s="115"/>
      <c r="I2" s="115"/>
      <c r="J2" s="61"/>
      <c r="K2" s="164"/>
      <c r="L2" s="164"/>
    </row>
    <row r="3" spans="1:14" ht="15.75" thickBot="1">
      <c r="A3" s="170" t="s">
        <v>292</v>
      </c>
      <c r="B3" s="488" cm="1">
        <f t="array" aca="1" ref="B3:J3" ca="1">Annual_Periods</f>
        <v>43830</v>
      </c>
      <c r="C3" s="488">
        <f ca="1"/>
        <v>44196</v>
      </c>
      <c r="D3" s="488">
        <f ca="1"/>
        <v>44561</v>
      </c>
      <c r="E3" s="488">
        <f ca="1"/>
        <v>44926</v>
      </c>
      <c r="F3" s="488">
        <f ca="1"/>
        <v>45291</v>
      </c>
      <c r="G3" s="488">
        <f ca="1"/>
        <v>45657</v>
      </c>
      <c r="H3" s="488">
        <f ca="1"/>
        <v>46022</v>
      </c>
      <c r="I3" s="488">
        <f ca="1"/>
        <v>46387</v>
      </c>
      <c r="J3" s="488">
        <f ca="1"/>
        <v>46752</v>
      </c>
      <c r="K3" s="164"/>
      <c r="L3" s="116"/>
    </row>
    <row r="4" spans="1:14" ht="9" customHeight="1">
      <c r="A4" s="117"/>
      <c r="B4" s="118"/>
      <c r="C4" s="118"/>
      <c r="D4" s="118"/>
      <c r="E4" s="118"/>
      <c r="F4" s="118"/>
      <c r="G4" s="118"/>
      <c r="H4" s="118"/>
      <c r="I4" s="118"/>
      <c r="J4" s="118"/>
      <c r="K4" s="173"/>
      <c r="L4" s="118"/>
    </row>
    <row r="5" spans="1:14" hidden="1">
      <c r="A5" s="119" t="s">
        <v>148</v>
      </c>
      <c r="B5" s="120" t="e">
        <f ca="1">INDEX(#REF!,MATCH(B$3,#REF!,0))</f>
        <v>#REF!</v>
      </c>
      <c r="C5" s="120" t="e">
        <f ca="1">INDEX(#REF!,MATCH(C$3,#REF!,0))</f>
        <v>#REF!</v>
      </c>
      <c r="D5" s="120" t="e">
        <f ca="1">INDEX(#REF!,MATCH(D$3,#REF!,0))</f>
        <v>#REF!</v>
      </c>
      <c r="E5" s="120" t="e">
        <f ca="1">INDEX(#REF!,MATCH(E$3,#REF!,0))</f>
        <v>#REF!</v>
      </c>
      <c r="F5" s="120" t="e">
        <f ca="1">INDEX(#REF!,MATCH(F$3,#REF!,0))</f>
        <v>#REF!</v>
      </c>
      <c r="G5" s="120" t="e">
        <f ca="1">INDEX(#REF!,MATCH(G$3,#REF!,0))</f>
        <v>#REF!</v>
      </c>
      <c r="H5" s="120" t="e">
        <f ca="1">INDEX(#REF!,MATCH(H$3,#REF!,0))</f>
        <v>#REF!</v>
      </c>
      <c r="I5" s="120" t="e">
        <f ca="1">INDEX(#REF!,MATCH(I$3,#REF!,0))</f>
        <v>#REF!</v>
      </c>
      <c r="J5" s="120" t="e">
        <f ca="1">INDEX(#REF!,MATCH(J$3,#REF!,0))</f>
        <v>#REF!</v>
      </c>
      <c r="K5" s="164"/>
      <c r="L5" s="121" t="e">
        <f ca="1">_xlfn.RRI(COUNT(OFFSET($A$3,0,1):OFFSET($L$3,0,-1))-1,$B5,$F5)</f>
        <v>#REF!</v>
      </c>
    </row>
    <row r="6" spans="1:14" hidden="1">
      <c r="A6" s="122" t="s">
        <v>149</v>
      </c>
      <c r="B6" s="66" t="e">
        <f ca="1">INDEX(#REF!,MATCH(B$3,#REF!,0))</f>
        <v>#REF!</v>
      </c>
      <c r="C6" s="66" t="e">
        <f ca="1">INDEX(#REF!,MATCH(C$3,#REF!,0))</f>
        <v>#REF!</v>
      </c>
      <c r="D6" s="66" t="e">
        <f ca="1">INDEX(#REF!,MATCH(D$3,#REF!,0))</f>
        <v>#REF!</v>
      </c>
      <c r="E6" s="66" t="e">
        <f ca="1">INDEX(#REF!,MATCH(E$3,#REF!,0))</f>
        <v>#REF!</v>
      </c>
      <c r="F6" s="66" t="e">
        <f ca="1">INDEX(#REF!,MATCH(F$3,#REF!,0))</f>
        <v>#REF!</v>
      </c>
      <c r="G6" s="66" t="e">
        <f ca="1">INDEX(#REF!,MATCH(G$3,#REF!,0))</f>
        <v>#REF!</v>
      </c>
      <c r="H6" s="66" t="e">
        <f ca="1">INDEX(#REF!,MATCH(H$3,#REF!,0))</f>
        <v>#REF!</v>
      </c>
      <c r="I6" s="66" t="e">
        <f ca="1">INDEX(#REF!,MATCH(I$3,#REF!,0))</f>
        <v>#REF!</v>
      </c>
      <c r="J6" s="66" t="e">
        <f ca="1">INDEX(#REF!,MATCH(J$3,#REF!,0))</f>
        <v>#REF!</v>
      </c>
      <c r="K6" s="173"/>
      <c r="L6" s="118"/>
    </row>
    <row r="7" spans="1:14" ht="25.5" customHeight="1">
      <c r="A7" s="119" t="s">
        <v>150</v>
      </c>
      <c r="B7" s="167">
        <f ca="1">INDEX(Financials!$12:$12,MATCH(B$3,Financials!$6:$6,0))</f>
        <v>77147</v>
      </c>
      <c r="C7" s="167">
        <f ca="1">INDEX(Financials!$12:$12,MATCH(C$3,Financials!$6:$6,0))</f>
        <v>73620</v>
      </c>
      <c r="D7" s="167">
        <f ca="1">INDEX(Financials!$12:$12,MATCH(D$3,Financials!$6:$6,0))</f>
        <v>57350</v>
      </c>
      <c r="E7" s="167">
        <f ca="1">INDEX(Financials!$12:$12,MATCH(E$3,Financials!$6:$6,0))</f>
        <v>60530</v>
      </c>
      <c r="F7" s="167">
        <f ca="1">INDEX(Financials!$12:$12,MATCH(F$3,Financials!$6:$6,0))</f>
        <v>62345.9</v>
      </c>
      <c r="G7" s="167">
        <f ca="1">INDEX(Financials!$12:$12,MATCH(G$3,Financials!$6:$6,0))</f>
        <v>64216.277000000002</v>
      </c>
      <c r="H7" s="167">
        <f ca="1">INDEX(Financials!$12:$12,MATCH(H$3,Financials!$6:$6,0))</f>
        <v>66142.765310000003</v>
      </c>
      <c r="I7" s="167">
        <f ca="1">INDEX(Financials!$12:$12,MATCH(I$3,Financials!$6:$6,0))</f>
        <v>68127.048269300009</v>
      </c>
      <c r="J7" s="167">
        <f ca="1">INDEX(Financials!$12:$12,MATCH(J$3,Financials!$6:$6,0))</f>
        <v>70170.859717379004</v>
      </c>
      <c r="K7" s="164"/>
      <c r="L7" s="121">
        <f ca="1">_xlfn.RRI(5,E7,J7)</f>
        <v>3.0000000000000027E-2</v>
      </c>
    </row>
    <row r="8" spans="1:14" ht="25.5" customHeight="1">
      <c r="A8" s="122" t="s">
        <v>151</v>
      </c>
      <c r="B8" s="168">
        <f ca="1">INDEX(Financials!$18:$18,MATCH(B$3,Financials!$6:$6,0))</f>
        <v>-40112</v>
      </c>
      <c r="C8" s="168">
        <f ca="1">INDEX(Financials!$18:$18,MATCH(C$3,Financials!$6:$6,0))</f>
        <v>-42029</v>
      </c>
      <c r="D8" s="168">
        <f ca="1">INDEX(Financials!$18:$18,MATCH(D$3,Financials!$6:$6,0))</f>
        <v>-23980</v>
      </c>
      <c r="E8" s="168">
        <f ca="1">INDEX(Financials!$18:$18,MATCH(E$3,Financials!$6:$6,0))</f>
        <v>-27160</v>
      </c>
      <c r="F8" s="168">
        <f ca="1">INDEX(Financials!$18:$18,MATCH(F$3,Financials!$6:$6,0))</f>
        <v>-28055.655000000002</v>
      </c>
      <c r="G8" s="168">
        <f ca="1">INDEX(Financials!$18:$18,MATCH(G$3,Financials!$6:$6,0))</f>
        <v>-28897.324650000002</v>
      </c>
      <c r="H8" s="168">
        <f ca="1">INDEX(Financials!$18:$18,MATCH(H$3,Financials!$6:$6,0))</f>
        <v>-29764.244389500003</v>
      </c>
      <c r="I8" s="168">
        <f ca="1">INDEX(Financials!$18:$18,MATCH(I$3,Financials!$6:$6,0))</f>
        <v>-30657.171721185005</v>
      </c>
      <c r="J8" s="168">
        <f ca="1">INDEX(Financials!$18:$18,MATCH(J$3,Financials!$6:$6,0))</f>
        <v>-31576.886872820553</v>
      </c>
      <c r="K8" s="164"/>
      <c r="L8" s="66"/>
    </row>
    <row r="9" spans="1:14" ht="25.5" customHeight="1">
      <c r="A9" s="119" t="s">
        <v>8</v>
      </c>
      <c r="B9" s="167">
        <f ca="1">B7+B8</f>
        <v>37035</v>
      </c>
      <c r="C9" s="167">
        <f t="shared" ref="C9:J9" ca="1" si="0">C7+C8</f>
        <v>31591</v>
      </c>
      <c r="D9" s="167">
        <f t="shared" ca="1" si="0"/>
        <v>33370</v>
      </c>
      <c r="E9" s="167">
        <f t="shared" ca="1" si="0"/>
        <v>33370</v>
      </c>
      <c r="F9" s="167">
        <f t="shared" ca="1" si="0"/>
        <v>34290.244999999995</v>
      </c>
      <c r="G9" s="167">
        <f t="shared" ca="1" si="0"/>
        <v>35318.95235</v>
      </c>
      <c r="H9" s="167">
        <f t="shared" ca="1" si="0"/>
        <v>36378.520920499999</v>
      </c>
      <c r="I9" s="167">
        <f t="shared" ca="1" si="0"/>
        <v>37469.876548115004</v>
      </c>
      <c r="J9" s="167">
        <f t="shared" ca="1" si="0"/>
        <v>38593.972844558448</v>
      </c>
      <c r="K9" s="164"/>
      <c r="L9" s="121"/>
    </row>
    <row r="10" spans="1:14" ht="25.5" customHeight="1">
      <c r="A10" s="123" t="s">
        <v>153</v>
      </c>
      <c r="B10" s="124">
        <f ca="1">IFERROR(B9/B$7,"NA")</f>
        <v>0.48005755246477505</v>
      </c>
      <c r="C10" s="124">
        <f t="shared" ref="C10:J10" ca="1" si="1">IFERROR(C9/C$7,"NA")</f>
        <v>0.4291089377886444</v>
      </c>
      <c r="D10" s="124">
        <f t="shared" ca="1" si="1"/>
        <v>0.58186573670444641</v>
      </c>
      <c r="E10" s="124">
        <f t="shared" ca="1" si="1"/>
        <v>0.55129687758136459</v>
      </c>
      <c r="F10" s="124">
        <f t="shared" ca="1" si="1"/>
        <v>0.54999999999999993</v>
      </c>
      <c r="G10" s="124">
        <f t="shared" ca="1" si="1"/>
        <v>0.54999999999999993</v>
      </c>
      <c r="H10" s="124">
        <f t="shared" ca="1" si="1"/>
        <v>0.54999999999999993</v>
      </c>
      <c r="I10" s="124">
        <f t="shared" ca="1" si="1"/>
        <v>0.55000000000000004</v>
      </c>
      <c r="J10" s="124">
        <f t="shared" ca="1" si="1"/>
        <v>0.54999999999999993</v>
      </c>
      <c r="K10" s="164"/>
      <c r="L10" s="125"/>
    </row>
    <row r="11" spans="1:14" ht="8.25" customHeight="1">
      <c r="A11" s="126"/>
      <c r="B11" s="127"/>
      <c r="C11" s="127"/>
      <c r="D11" s="127"/>
      <c r="E11" s="127"/>
      <c r="F11" s="127"/>
      <c r="G11" s="127"/>
      <c r="H11" s="127"/>
      <c r="I11" s="127"/>
      <c r="J11" s="127"/>
      <c r="K11" s="173"/>
      <c r="L11" s="128"/>
    </row>
    <row r="12" spans="1:14" ht="25.5" customHeight="1">
      <c r="A12" s="122" t="s">
        <v>154</v>
      </c>
      <c r="B12" s="168">
        <f ca="1">-INDEX(Financials!$28:$28,MATCH(B$3,Financials!$6:$6,0))</f>
        <v>-24848</v>
      </c>
      <c r="C12" s="168">
        <f ca="1">-INDEX(Financials!$28:$28,MATCH(C$3,Financials!$6:$6,0))</f>
        <v>-23268</v>
      </c>
      <c r="D12" s="168">
        <f ca="1">-INDEX(Financials!$28:$28,MATCH(D$3,Financials!$6:$6,0))</f>
        <v>-24618</v>
      </c>
      <c r="E12" s="168">
        <f ca="1">-INDEX(Financials!$28:$28,MATCH(E$3,Financials!$6:$6,0))</f>
        <v>-11041</v>
      </c>
      <c r="F12" s="168">
        <f ca="1">-INDEX(Financials!$28:$28,MATCH(F$3,Financials!$6:$6,0))</f>
        <v>-23504.404300000002</v>
      </c>
      <c r="G12" s="168">
        <f ca="1">-INDEX(Financials!$28:$28,MATCH(G$3,Financials!$6:$6,0))</f>
        <v>-24209.536429000003</v>
      </c>
      <c r="H12" s="168">
        <f ca="1">-INDEX(Financials!$28:$28,MATCH(H$3,Financials!$6:$6,0))</f>
        <v>-24935.822521870003</v>
      </c>
      <c r="I12" s="168">
        <f ca="1">-INDEX(Financials!$28:$28,MATCH(I$3,Financials!$6:$6,0))</f>
        <v>-25683.897197526105</v>
      </c>
      <c r="J12" s="168">
        <f ca="1">-INDEX(Financials!$28:$28,MATCH(J$3,Financials!$6:$6,0))</f>
        <v>-26454.414113451883</v>
      </c>
      <c r="K12" s="164"/>
      <c r="L12" s="66"/>
      <c r="N12" s="129"/>
    </row>
    <row r="13" spans="1:14" ht="25.5" customHeight="1">
      <c r="A13" s="119" t="s">
        <v>14</v>
      </c>
      <c r="B13" s="167">
        <f ca="1">B9+B12</f>
        <v>12187</v>
      </c>
      <c r="C13" s="167">
        <f t="shared" ref="C13:J13" ca="1" si="2">C9+C12</f>
        <v>8323</v>
      </c>
      <c r="D13" s="167">
        <f t="shared" ca="1" si="2"/>
        <v>8752</v>
      </c>
      <c r="E13" s="167">
        <f t="shared" ca="1" si="2"/>
        <v>22329</v>
      </c>
      <c r="F13" s="167">
        <f t="shared" ca="1" si="2"/>
        <v>10785.840699999993</v>
      </c>
      <c r="G13" s="167">
        <f t="shared" ca="1" si="2"/>
        <v>11109.415920999996</v>
      </c>
      <c r="H13" s="167">
        <f t="shared" ca="1" si="2"/>
        <v>11442.698398629997</v>
      </c>
      <c r="I13" s="167">
        <f t="shared" ca="1" si="2"/>
        <v>11785.979350588899</v>
      </c>
      <c r="J13" s="167">
        <f t="shared" ca="1" si="2"/>
        <v>12139.558731106565</v>
      </c>
      <c r="K13" s="164"/>
      <c r="L13" s="120"/>
      <c r="N13" s="129"/>
    </row>
    <row r="14" spans="1:14" ht="25.5" customHeight="1">
      <c r="A14" s="123" t="s">
        <v>155</v>
      </c>
      <c r="B14" s="124">
        <f ca="1">IFERROR(B13/B$7,"NA")</f>
        <v>0.15797114599401144</v>
      </c>
      <c r="C14" s="124">
        <f t="shared" ref="C14:J14" ca="1" si="3">IFERROR(C13/C$7,"NA")</f>
        <v>0.113053518065743</v>
      </c>
      <c r="D14" s="124">
        <f t="shared" ca="1" si="3"/>
        <v>0.15260680034873583</v>
      </c>
      <c r="E14" s="124">
        <f t="shared" ca="1" si="3"/>
        <v>0.36889145878076984</v>
      </c>
      <c r="F14" s="124">
        <f t="shared" ca="1" si="3"/>
        <v>0.17299999999999988</v>
      </c>
      <c r="G14" s="124">
        <f t="shared" ca="1" si="3"/>
        <v>0.17299999999999993</v>
      </c>
      <c r="H14" s="124">
        <f t="shared" ca="1" si="3"/>
        <v>0.17299999999999993</v>
      </c>
      <c r="I14" s="124">
        <f t="shared" ca="1" si="3"/>
        <v>0.17299999999999996</v>
      </c>
      <c r="J14" s="124">
        <f t="shared" ca="1" si="3"/>
        <v>0.17299999999999996</v>
      </c>
      <c r="K14" s="164"/>
      <c r="L14" s="125"/>
    </row>
    <row r="15" spans="1:14" ht="7.5" customHeight="1">
      <c r="A15" s="126"/>
      <c r="B15" s="127"/>
      <c r="C15" s="127"/>
      <c r="D15" s="127"/>
      <c r="E15" s="127"/>
      <c r="F15" s="127"/>
      <c r="G15" s="127"/>
      <c r="H15" s="127"/>
      <c r="I15" s="127"/>
      <c r="J15" s="127"/>
      <c r="K15" s="173"/>
      <c r="L15" s="128"/>
    </row>
    <row r="16" spans="1:14" ht="25.5" customHeight="1">
      <c r="A16" s="119" t="s">
        <v>23</v>
      </c>
      <c r="B16" s="167">
        <f ca="1">INDEX(Financials!$42:$42,MATCH(B$3,Financials!$6:$6,0))</f>
        <v>11436</v>
      </c>
      <c r="C16" s="167">
        <f ca="1">INDEX(Financials!$42:$42,MATCH(C$3,Financials!$6:$6,0))</f>
        <v>8290</v>
      </c>
      <c r="D16" s="167">
        <f ca="1">INDEX(Financials!$42:$42,MATCH(D$3,Financials!$6:$6,0))</f>
        <v>7175</v>
      </c>
      <c r="E16" s="167">
        <f ca="1">INDEX(Financials!$42:$42,MATCH(E$3,Financials!$6:$6,0))</f>
        <v>8326</v>
      </c>
      <c r="F16" s="167">
        <f ca="1">INDEX(Financials!$42:$42,MATCH(F$3,Financials!$6:$6,0))</f>
        <v>8661.9923389999949</v>
      </c>
      <c r="G16" s="167">
        <f ca="1">INDEX(Financials!$42:$42,MATCH(G$3,Financials!$6:$6,0))</f>
        <v>9014.0557591699962</v>
      </c>
      <c r="H16" s="167">
        <f ca="1">INDEX(Financials!$42:$42,MATCH(H$3,Financials!$6:$6,0))</f>
        <v>9270.683266945096</v>
      </c>
      <c r="I16" s="167">
        <f ca="1">INDEX(Financials!$42:$42,MATCH(I$3,Financials!$6:$6,0))</f>
        <v>9535.0095999534515</v>
      </c>
      <c r="J16" s="167">
        <f ca="1">INDEX(Financials!$42:$42,MATCH(J$3,Financials!$6:$6,0))</f>
        <v>9807.2657229520555</v>
      </c>
      <c r="K16" s="164"/>
      <c r="L16" s="121"/>
    </row>
    <row r="17" spans="1:12" ht="25.5" customHeight="1">
      <c r="A17" s="123" t="s">
        <v>24</v>
      </c>
      <c r="B17" s="124">
        <f t="shared" ref="B17:J17" ca="1" si="4">IFERROR(B16/B$7,"NA")</f>
        <v>0.1482364835962513</v>
      </c>
      <c r="C17" s="124">
        <f t="shared" ca="1" si="4"/>
        <v>0.11260527030698179</v>
      </c>
      <c r="D17" s="124">
        <f t="shared" ca="1" si="4"/>
        <v>0.12510897994768963</v>
      </c>
      <c r="E17" s="124">
        <f t="shared" ca="1" si="4"/>
        <v>0.13755162729225179</v>
      </c>
      <c r="F17" s="124">
        <f t="shared" ca="1" si="4"/>
        <v>0.13893443416487683</v>
      </c>
      <c r="G17" s="124">
        <f t="shared" ca="1" si="4"/>
        <v>0.14037026405579375</v>
      </c>
      <c r="H17" s="124">
        <f t="shared" ca="1" si="4"/>
        <v>0.14016171267552793</v>
      </c>
      <c r="I17" s="124">
        <f t="shared" ca="1" si="4"/>
        <v>0.13995923560730869</v>
      </c>
      <c r="J17" s="124">
        <f t="shared" ca="1" si="4"/>
        <v>0.13976265592942594</v>
      </c>
      <c r="K17" s="164"/>
      <c r="L17" s="125"/>
    </row>
    <row r="18" spans="1:12" ht="9.6" customHeight="1"/>
  </sheetData>
  <printOptions horizontalCentered="1"/>
  <pageMargins left="0.7" right="0.7" top="0.75" bottom="0.75" header="0.3" footer="0.3"/>
  <pageSetup fitToHeight="0" orientation="landscape" r:id="rId1"/>
  <rowBreaks count="1" manualBreakCount="1">
    <brk id="18" max="11"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033DE-76CC-4E63-82C6-AD927851C400}">
  <sheetPr>
    <tabColor theme="1"/>
  </sheetPr>
  <dimension ref="A1"/>
  <sheetViews>
    <sheetView showGridLines="0"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F914E-6D68-4CC7-824F-E77B16A975E9}">
  <sheetPr>
    <tabColor rgb="FFFFFFCC"/>
  </sheetPr>
  <dimension ref="A1:X63"/>
  <sheetViews>
    <sheetView workbookViewId="0">
      <selection activeCell="Z46" sqref="Z46"/>
    </sheetView>
  </sheetViews>
  <sheetFormatPr defaultRowHeight="15"/>
  <cols>
    <col min="1" max="2" width="11.5703125" customWidth="1"/>
    <col min="3" max="3" width="13.42578125" bestFit="1" customWidth="1"/>
    <col min="4" max="4" width="1.140625" customWidth="1"/>
    <col min="6" max="6" width="16.42578125" customWidth="1"/>
    <col min="7" max="7" width="1.140625" customWidth="1"/>
    <col min="8" max="8" width="11.28515625" bestFit="1" customWidth="1"/>
    <col min="10" max="10" width="1.140625" customWidth="1"/>
    <col min="13" max="13" width="1.140625" customWidth="1"/>
    <col min="16" max="16" width="1.140625" customWidth="1"/>
    <col min="18" max="18" width="10" bestFit="1" customWidth="1"/>
    <col min="19" max="19" width="1.140625" customWidth="1"/>
    <col min="21" max="21" width="12.7109375" bestFit="1" customWidth="1"/>
    <col min="22" max="22" width="1.140625" customWidth="1"/>
    <col min="24" max="24" width="14.28515625" customWidth="1"/>
  </cols>
  <sheetData>
    <row r="1" spans="1:24">
      <c r="A1" s="515" t="s">
        <v>220</v>
      </c>
      <c r="B1" s="516"/>
      <c r="C1" s="517"/>
      <c r="E1" s="513" t="s">
        <v>221</v>
      </c>
      <c r="F1" s="514"/>
      <c r="H1" s="513" t="s">
        <v>199</v>
      </c>
      <c r="I1" s="514"/>
      <c r="K1" s="513" t="s">
        <v>222</v>
      </c>
      <c r="L1" s="514"/>
      <c r="N1" s="513" t="s">
        <v>223</v>
      </c>
      <c r="O1" s="514"/>
      <c r="Q1" s="513" t="s">
        <v>224</v>
      </c>
      <c r="R1" s="514"/>
      <c r="T1" s="513" t="s">
        <v>225</v>
      </c>
      <c r="U1" s="514"/>
      <c r="W1" s="513" t="s">
        <v>229</v>
      </c>
      <c r="X1" s="514"/>
    </row>
    <row r="2" spans="1:24" s="308" customFormat="1">
      <c r="A2" s="305" t="s">
        <v>226</v>
      </c>
      <c r="B2" s="306" t="s">
        <v>227</v>
      </c>
      <c r="C2" s="307" t="s">
        <v>231</v>
      </c>
      <c r="E2" s="305" t="s">
        <v>226</v>
      </c>
      <c r="F2" s="307" t="s">
        <v>221</v>
      </c>
      <c r="H2" s="305" t="s">
        <v>226</v>
      </c>
      <c r="I2" s="307" t="s">
        <v>199</v>
      </c>
      <c r="K2" s="305" t="s">
        <v>197</v>
      </c>
      <c r="L2" s="307" t="s">
        <v>222</v>
      </c>
      <c r="N2" s="305" t="s">
        <v>226</v>
      </c>
      <c r="O2" s="307" t="s">
        <v>223</v>
      </c>
      <c r="Q2" s="305" t="s">
        <v>226</v>
      </c>
      <c r="R2" s="307" t="s">
        <v>228</v>
      </c>
      <c r="T2" s="305" t="s">
        <v>226</v>
      </c>
      <c r="U2" s="307" t="s">
        <v>225</v>
      </c>
      <c r="W2" s="305" t="s">
        <v>197</v>
      </c>
      <c r="X2" s="307" t="s">
        <v>230</v>
      </c>
    </row>
    <row r="3" spans="1:24">
      <c r="A3" s="304"/>
      <c r="B3" s="309"/>
      <c r="C3" s="310"/>
      <c r="F3" s="312"/>
      <c r="I3" s="311"/>
      <c r="L3" s="311"/>
      <c r="O3" s="311"/>
      <c r="R3" s="312"/>
      <c r="U3" s="311"/>
    </row>
    <row r="4" spans="1:24">
      <c r="A4" s="304"/>
      <c r="B4" s="309"/>
      <c r="C4" s="310"/>
      <c r="F4" s="312"/>
      <c r="I4" s="311"/>
      <c r="O4" s="311"/>
      <c r="R4" s="312"/>
      <c r="U4" s="311"/>
    </row>
    <row r="5" spans="1:24">
      <c r="A5" s="304"/>
      <c r="B5" s="309"/>
      <c r="C5" s="310"/>
      <c r="F5" s="312"/>
      <c r="I5" s="311"/>
      <c r="L5" s="311"/>
      <c r="O5" s="311"/>
      <c r="R5" s="312"/>
      <c r="U5" s="311"/>
    </row>
    <row r="6" spans="1:24">
      <c r="A6" s="304"/>
      <c r="B6" s="309"/>
      <c r="C6" s="310"/>
      <c r="F6" s="312"/>
      <c r="I6" s="311"/>
      <c r="L6" s="311"/>
      <c r="O6" s="311"/>
      <c r="R6" s="312"/>
      <c r="U6" s="311"/>
    </row>
    <row r="7" spans="1:24">
      <c r="A7" s="304"/>
      <c r="B7" s="309"/>
      <c r="C7" s="310"/>
      <c r="F7" s="312"/>
      <c r="I7" s="311"/>
      <c r="L7" s="311"/>
      <c r="O7" s="311"/>
      <c r="R7" s="312"/>
      <c r="U7" s="311"/>
    </row>
    <row r="8" spans="1:24">
      <c r="A8" s="304"/>
      <c r="B8" s="309"/>
      <c r="C8" s="310"/>
      <c r="F8" s="312"/>
      <c r="I8" s="311"/>
      <c r="L8" s="311"/>
      <c r="O8" s="311"/>
      <c r="R8" s="312"/>
      <c r="U8" s="311"/>
    </row>
    <row r="9" spans="1:24">
      <c r="A9" s="304"/>
      <c r="B9" s="309"/>
      <c r="C9" s="310"/>
      <c r="F9" s="312"/>
      <c r="I9" s="311"/>
      <c r="L9" s="311"/>
      <c r="O9" s="311"/>
      <c r="R9" s="312"/>
      <c r="U9" s="311"/>
    </row>
    <row r="10" spans="1:24">
      <c r="A10" s="304"/>
      <c r="B10" s="309"/>
      <c r="C10" s="310"/>
      <c r="F10" s="312"/>
      <c r="I10" s="311"/>
      <c r="L10" s="311"/>
      <c r="O10" s="311"/>
      <c r="R10" s="312"/>
      <c r="U10" s="311"/>
    </row>
    <row r="11" spans="1:24">
      <c r="A11" s="304"/>
      <c r="B11" s="309"/>
      <c r="C11" s="310"/>
      <c r="F11" s="312"/>
      <c r="I11" s="311"/>
      <c r="L11" s="311"/>
      <c r="O11" s="311"/>
      <c r="R11" s="312"/>
      <c r="U11" s="311"/>
    </row>
    <row r="12" spans="1:24">
      <c r="A12" s="304"/>
      <c r="B12" s="309"/>
      <c r="C12" s="310"/>
      <c r="F12" s="312"/>
      <c r="I12" s="311"/>
      <c r="L12" s="311"/>
      <c r="O12" s="311"/>
      <c r="R12" s="312"/>
      <c r="U12" s="311"/>
    </row>
    <row r="13" spans="1:24">
      <c r="A13" s="304"/>
      <c r="B13" s="309"/>
      <c r="C13" s="310"/>
      <c r="F13" s="312"/>
      <c r="I13" s="311"/>
      <c r="L13" s="311"/>
      <c r="O13" s="311"/>
      <c r="R13" s="312"/>
      <c r="U13" s="311"/>
    </row>
    <row r="14" spans="1:24">
      <c r="A14" s="304"/>
      <c r="B14" s="309"/>
      <c r="C14" s="310"/>
      <c r="F14" s="312"/>
      <c r="I14" s="311"/>
      <c r="L14" s="311"/>
      <c r="O14" s="311"/>
      <c r="R14" s="312"/>
      <c r="U14" s="311"/>
    </row>
    <row r="15" spans="1:24">
      <c r="A15" s="304"/>
      <c r="B15" s="309"/>
      <c r="C15" s="310"/>
      <c r="F15" s="312"/>
      <c r="I15" s="311"/>
      <c r="L15" s="311"/>
      <c r="O15" s="311"/>
      <c r="R15" s="312"/>
      <c r="U15" s="311"/>
    </row>
    <row r="16" spans="1:24">
      <c r="A16" s="304"/>
      <c r="B16" s="309"/>
      <c r="C16" s="310"/>
      <c r="F16" s="312"/>
      <c r="I16" s="311"/>
      <c r="L16" s="311"/>
      <c r="O16" s="311"/>
      <c r="R16" s="312"/>
      <c r="U16" s="311"/>
    </row>
    <row r="17" spans="1:21">
      <c r="A17" s="304"/>
      <c r="B17" s="309"/>
      <c r="C17" s="310"/>
      <c r="F17" s="312"/>
      <c r="I17" s="311"/>
      <c r="L17" s="311"/>
      <c r="O17" s="311"/>
      <c r="R17" s="312"/>
      <c r="U17" s="311"/>
    </row>
    <row r="18" spans="1:21">
      <c r="A18" s="304"/>
      <c r="B18" s="309"/>
      <c r="C18" s="310"/>
      <c r="F18" s="312"/>
      <c r="I18" s="311"/>
      <c r="L18" s="311"/>
      <c r="O18" s="311"/>
      <c r="R18" s="312"/>
      <c r="U18" s="311"/>
    </row>
    <row r="19" spans="1:21">
      <c r="A19" s="304"/>
      <c r="B19" s="309"/>
      <c r="C19" s="310"/>
      <c r="I19" s="311"/>
    </row>
    <row r="20" spans="1:21">
      <c r="A20" s="304"/>
      <c r="B20" s="309"/>
      <c r="C20" s="310"/>
      <c r="I20" s="311"/>
    </row>
    <row r="21" spans="1:21">
      <c r="A21" s="304"/>
      <c r="B21" s="309"/>
      <c r="C21" s="310"/>
    </row>
    <row r="22" spans="1:21">
      <c r="A22" s="304"/>
      <c r="B22" s="309"/>
      <c r="C22" s="310"/>
    </row>
    <row r="23" spans="1:21">
      <c r="A23" s="304"/>
      <c r="B23" s="309"/>
      <c r="C23" s="310"/>
    </row>
    <row r="24" spans="1:21">
      <c r="A24" s="304"/>
      <c r="B24" s="309"/>
      <c r="C24" s="310"/>
    </row>
    <row r="25" spans="1:21">
      <c r="A25" s="304"/>
      <c r="B25" s="309"/>
      <c r="C25" s="310"/>
    </row>
    <row r="26" spans="1:21">
      <c r="A26" s="304"/>
      <c r="B26" s="309"/>
      <c r="C26" s="310"/>
    </row>
    <row r="27" spans="1:21">
      <c r="A27" s="304"/>
      <c r="B27" s="309"/>
      <c r="C27" s="310"/>
    </row>
    <row r="28" spans="1:21">
      <c r="A28" s="304"/>
      <c r="B28" s="309"/>
      <c r="C28" s="310"/>
    </row>
    <row r="29" spans="1:21">
      <c r="A29" s="304"/>
      <c r="B29" s="309"/>
      <c r="C29" s="310"/>
    </row>
    <row r="30" spans="1:21">
      <c r="A30" s="304"/>
      <c r="B30" s="309"/>
      <c r="C30" s="310"/>
    </row>
    <row r="31" spans="1:21">
      <c r="A31" s="304"/>
      <c r="B31" s="309"/>
      <c r="C31" s="310"/>
    </row>
    <row r="32" spans="1:21">
      <c r="A32" s="304"/>
      <c r="B32" s="309"/>
      <c r="C32" s="310"/>
    </row>
    <row r="33" spans="1:3">
      <c r="A33" s="304"/>
      <c r="B33" s="309"/>
      <c r="C33" s="310"/>
    </row>
    <row r="34" spans="1:3">
      <c r="A34" s="304"/>
      <c r="B34" s="309"/>
      <c r="C34" s="310"/>
    </row>
    <row r="35" spans="1:3">
      <c r="A35" s="304"/>
      <c r="B35" s="309"/>
      <c r="C35" s="310"/>
    </row>
    <row r="36" spans="1:3">
      <c r="A36" s="304"/>
      <c r="B36" s="309"/>
      <c r="C36" s="310"/>
    </row>
    <row r="37" spans="1:3">
      <c r="A37" s="304"/>
      <c r="B37" s="309"/>
      <c r="C37" s="310"/>
    </row>
    <row r="38" spans="1:3">
      <c r="A38" s="304"/>
      <c r="B38" s="309"/>
      <c r="C38" s="310"/>
    </row>
    <row r="39" spans="1:3">
      <c r="A39" s="304"/>
      <c r="B39" s="309"/>
      <c r="C39" s="310"/>
    </row>
    <row r="40" spans="1:3">
      <c r="A40" s="304"/>
      <c r="B40" s="309"/>
      <c r="C40" s="310"/>
    </row>
    <row r="41" spans="1:3">
      <c r="A41" s="304"/>
      <c r="B41" s="309"/>
      <c r="C41" s="310"/>
    </row>
    <row r="42" spans="1:3">
      <c r="A42" s="304"/>
      <c r="B42" s="309"/>
      <c r="C42" s="310"/>
    </row>
    <row r="43" spans="1:3">
      <c r="A43" s="304"/>
      <c r="B43" s="309"/>
      <c r="C43" s="310"/>
    </row>
    <row r="44" spans="1:3">
      <c r="A44" s="304"/>
      <c r="B44" s="309"/>
      <c r="C44" s="310"/>
    </row>
    <row r="45" spans="1:3">
      <c r="A45" s="304"/>
      <c r="B45" s="309"/>
      <c r="C45" s="310"/>
    </row>
    <row r="46" spans="1:3">
      <c r="A46" s="304"/>
      <c r="B46" s="309"/>
      <c r="C46" s="310"/>
    </row>
    <row r="47" spans="1:3">
      <c r="A47" s="304"/>
      <c r="B47" s="309"/>
      <c r="C47" s="310"/>
    </row>
    <row r="48" spans="1:3">
      <c r="A48" s="304"/>
      <c r="B48" s="309"/>
      <c r="C48" s="310"/>
    </row>
    <row r="49" spans="1:3">
      <c r="A49" s="304"/>
      <c r="B49" s="309"/>
      <c r="C49" s="310"/>
    </row>
    <row r="50" spans="1:3">
      <c r="A50" s="304"/>
      <c r="B50" s="309"/>
      <c r="C50" s="310"/>
    </row>
    <row r="51" spans="1:3">
      <c r="A51" s="304"/>
      <c r="B51" s="309"/>
      <c r="C51" s="310"/>
    </row>
    <row r="52" spans="1:3">
      <c r="A52" s="304"/>
      <c r="B52" s="309"/>
      <c r="C52" s="310"/>
    </row>
    <row r="53" spans="1:3">
      <c r="A53" s="304"/>
      <c r="B53" s="309"/>
      <c r="C53" s="310"/>
    </row>
    <row r="54" spans="1:3">
      <c r="A54" s="304"/>
      <c r="B54" s="309"/>
      <c r="C54" s="310"/>
    </row>
    <row r="55" spans="1:3">
      <c r="A55" s="304"/>
      <c r="B55" s="309"/>
      <c r="C55" s="310"/>
    </row>
    <row r="56" spans="1:3">
      <c r="A56" s="304"/>
      <c r="B56" s="309"/>
      <c r="C56" s="310"/>
    </row>
    <row r="57" spans="1:3">
      <c r="A57" s="304"/>
      <c r="B57" s="309"/>
      <c r="C57" s="310"/>
    </row>
    <row r="58" spans="1:3">
      <c r="A58" s="304"/>
      <c r="B58" s="309"/>
      <c r="C58" s="310"/>
    </row>
    <row r="59" spans="1:3">
      <c r="A59" s="304"/>
      <c r="B59" s="309"/>
      <c r="C59" s="310"/>
    </row>
    <row r="60" spans="1:3">
      <c r="A60" s="304"/>
      <c r="B60" s="309"/>
      <c r="C60" s="310"/>
    </row>
    <row r="61" spans="1:3">
      <c r="A61" s="304"/>
      <c r="B61" s="309"/>
      <c r="C61" s="310"/>
    </row>
    <row r="62" spans="1:3">
      <c r="A62" s="304"/>
      <c r="B62" s="309"/>
      <c r="C62" s="310"/>
    </row>
    <row r="63" spans="1:3">
      <c r="A63" s="304"/>
      <c r="B63" s="309"/>
      <c r="C63" s="310"/>
    </row>
  </sheetData>
  <mergeCells count="8">
    <mergeCell ref="W1:X1"/>
    <mergeCell ref="T1:U1"/>
    <mergeCell ref="A1:C1"/>
    <mergeCell ref="E1:F1"/>
    <mergeCell ref="H1:I1"/>
    <mergeCell ref="K1:L1"/>
    <mergeCell ref="N1:O1"/>
    <mergeCell ref="Q1:R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D99E6-DCE5-49D3-83A6-2A34AB7EDA62}">
  <sheetPr>
    <tabColor theme="4" tint="0.79998168889431442"/>
  </sheetPr>
  <dimension ref="A1"/>
  <sheetViews>
    <sheetView showGridLines="0" workbookViewId="0">
      <selection activeCell="AB33" sqref="AB33"/>
    </sheetView>
  </sheetViews>
  <sheetFormatPr defaultRowHeight="15"/>
  <cols>
    <col min="1" max="14" width="9.42578125" customWidth="1"/>
  </cols>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EC20D39E19AF438255778717AB351F" ma:contentTypeVersion="2" ma:contentTypeDescription="Create a new document." ma:contentTypeScope="" ma:versionID="52ab916eb480264494e951e699fecdc9">
  <xsd:schema xmlns:xsd="http://www.w3.org/2001/XMLSchema" xmlns:xs="http://www.w3.org/2001/XMLSchema" xmlns:p="http://schemas.microsoft.com/office/2006/metadata/properties" xmlns:ns2="3ba32736-562b-4d50-a4f9-c89ebbc5a6a8" targetNamespace="http://schemas.microsoft.com/office/2006/metadata/properties" ma:root="true" ma:fieldsID="0ad847858e6c4d15f57ce379220a4543" ns2:_="">
    <xsd:import namespace="3ba32736-562b-4d50-a4f9-c89ebbc5a6a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32736-562b-4d50-a4f9-c89ebbc5a6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0C763C-A70A-4AF6-8DFB-1DD4D1D1A83C}">
  <ds:schemaRefs>
    <ds:schemaRef ds:uri="http://purl.org/dc/terms/"/>
    <ds:schemaRef ds:uri="http://schemas.microsoft.com/office/2006/metadata/properties"/>
    <ds:schemaRef ds:uri="http://schemas.openxmlformats.org/package/2006/metadata/core-properties"/>
    <ds:schemaRef ds:uri="http://purl.org/dc/dcmitype/"/>
    <ds:schemaRef ds:uri="http://purl.org/dc/elements/1.1/"/>
    <ds:schemaRef ds:uri="http://schemas.microsoft.com/office/2006/documentManagement/types"/>
    <ds:schemaRef ds:uri="http://schemas.microsoft.com/office/infopath/2007/PartnerControls"/>
    <ds:schemaRef ds:uri="3ba32736-562b-4d50-a4f9-c89ebbc5a6a8"/>
    <ds:schemaRef ds:uri="http://www.w3.org/XML/1998/namespace"/>
  </ds:schemaRefs>
</ds:datastoreItem>
</file>

<file path=customXml/itemProps2.xml><?xml version="1.0" encoding="utf-8"?>
<ds:datastoreItem xmlns:ds="http://schemas.openxmlformats.org/officeDocument/2006/customXml" ds:itemID="{E943D832-C7DE-4E74-9F67-93983F84FE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a32736-562b-4d50-a4f9-c89ebbc5a6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F1B1A6-1B6D-4105-8A1E-0D0EDECEB6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31</vt:i4>
      </vt:variant>
    </vt:vector>
  </HeadingPairs>
  <TitlesOfParts>
    <vt:vector size="42" baseType="lpstr">
      <vt:lpstr>Valuation--&gt;</vt:lpstr>
      <vt:lpstr>Assumptions</vt:lpstr>
      <vt:lpstr>Financials</vt:lpstr>
      <vt:lpstr>DCF</vt:lpstr>
      <vt:lpstr>Multiples</vt:lpstr>
      <vt:lpstr>DDM</vt:lpstr>
      <vt:lpstr>Summary</vt:lpstr>
      <vt:lpstr>IS Summary</vt:lpstr>
      <vt:lpstr>Addtl Support--&gt;</vt:lpstr>
      <vt:lpstr>Data_Input</vt:lpstr>
      <vt:lpstr>Data Visualisation</vt:lpstr>
      <vt:lpstr>BS_End</vt:lpstr>
      <vt:lpstr>BS_Start</vt:lpstr>
      <vt:lpstr>Comp_Name</vt:lpstr>
      <vt:lpstr>Cost_of_Debt</vt:lpstr>
      <vt:lpstr>Cost_of_Equity</vt:lpstr>
      <vt:lpstr>Country_RP</vt:lpstr>
      <vt:lpstr>Current_Price</vt:lpstr>
      <vt:lpstr>DCF_Enterprise_Value</vt:lpstr>
      <vt:lpstr>DCF_Enterprise_Value_PerShare</vt:lpstr>
      <vt:lpstr>DCF_Equity_Value</vt:lpstr>
      <vt:lpstr>DCF_Equity_Value_PerShare</vt:lpstr>
      <vt:lpstr>Debt_Adj_Factor</vt:lpstr>
      <vt:lpstr>Debt_MV</vt:lpstr>
      <vt:lpstr>Equity_Beta</vt:lpstr>
      <vt:lpstr>Equity_MV</vt:lpstr>
      <vt:lpstr>Equity_Risk_Premium</vt:lpstr>
      <vt:lpstr>DCF!Print_Area</vt:lpstr>
      <vt:lpstr>DDM!Print_Area</vt:lpstr>
      <vt:lpstr>'IS Summary'!Print_Area</vt:lpstr>
      <vt:lpstr>Multiples!Print_Area</vt:lpstr>
      <vt:lpstr>Summary!Print_Area</vt:lpstr>
      <vt:lpstr>Risk_Free_Rate</vt:lpstr>
      <vt:lpstr>Scale_Symbol</vt:lpstr>
      <vt:lpstr>Scaler</vt:lpstr>
      <vt:lpstr>Shares_Out</vt:lpstr>
      <vt:lpstr>Size_RP</vt:lpstr>
      <vt:lpstr>Tax_Rate</vt:lpstr>
      <vt:lpstr>Terminal_Rate</vt:lpstr>
      <vt:lpstr>Total_Capitalization</vt:lpstr>
      <vt:lpstr>WACC</vt:lpstr>
      <vt:lpstr>WACC_Override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Douglas</dc:creator>
  <cp:keywords/>
  <dc:description/>
  <cp:lastModifiedBy>Weiqiang Wu</cp:lastModifiedBy>
  <cp:revision/>
  <cp:lastPrinted>2023-02-24T01:14:59Z</cp:lastPrinted>
  <dcterms:created xsi:type="dcterms:W3CDTF">2022-11-10T18:42:52Z</dcterms:created>
  <dcterms:modified xsi:type="dcterms:W3CDTF">2023-10-06T23:15:52Z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0x01010027EC20D39E19AF438255778717AB351F</vt:lpwstr>
  </property>
</Properties>
</file>