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ganishkar/Dropbox/Mac/Desktop/"/>
    </mc:Choice>
  </mc:AlternateContent>
  <xr:revisionPtr revIDLastSave="0" documentId="13_ncr:1_{E784A6B8-821E-2C4D-85F4-70E6EBBA01D1}" xr6:coauthVersionLast="47" xr6:coauthVersionMax="47" xr10:uidLastSave="{00000000-0000-0000-0000-000000000000}"/>
  <bookViews>
    <workbookView xWindow="0" yWindow="0" windowWidth="33600" windowHeight="21000" activeTab="2" xr2:uid="{7C7F3B5E-01E6-9649-8361-380F26F0996B}"/>
  </bookViews>
  <sheets>
    <sheet name="Sheet1" sheetId="1" r:id="rId1"/>
    <sheet name="Sheet4" sheetId="4" r:id="rId2"/>
    <sheet name="TARGET at PuertoRico" sheetId="3" r:id="rId3"/>
    <sheet name="TARGET at US V I" sheetId="5" r:id="rId4"/>
    <sheet name="Puerto Rico" sheetId="6" r:id="rId5"/>
    <sheet name="US Virgin Island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8" l="1"/>
  <c r="F55" i="8"/>
  <c r="G55" i="8"/>
  <c r="G54" i="8"/>
  <c r="E53" i="8"/>
  <c r="F59" i="8"/>
  <c r="G58" i="8"/>
  <c r="G59" i="8" s="1"/>
  <c r="G56" i="8"/>
  <c r="F56" i="8"/>
  <c r="F37" i="8"/>
  <c r="F54" i="8"/>
  <c r="O42" i="8" s="1"/>
  <c r="E54" i="8"/>
  <c r="D53" i="8"/>
  <c r="D54" i="8" s="1"/>
  <c r="D55" i="8" s="1"/>
  <c r="H43" i="8"/>
  <c r="G43" i="8"/>
  <c r="H42" i="8"/>
  <c r="G42" i="8"/>
  <c r="H41" i="8"/>
  <c r="G41" i="8"/>
  <c r="H40" i="8"/>
  <c r="G40" i="8"/>
  <c r="H39" i="8"/>
  <c r="G39" i="8"/>
  <c r="H38" i="8"/>
  <c r="G38" i="8"/>
  <c r="O37" i="8"/>
  <c r="H37" i="8"/>
  <c r="G37" i="8"/>
  <c r="H36" i="8"/>
  <c r="G36" i="8"/>
  <c r="O35" i="8"/>
  <c r="H35" i="8"/>
  <c r="G35" i="8"/>
  <c r="O34" i="8"/>
  <c r="H34" i="8"/>
  <c r="G34" i="8"/>
  <c r="H33" i="8"/>
  <c r="G33" i="8"/>
  <c r="H32" i="8"/>
  <c r="G32" i="8"/>
  <c r="H31" i="8"/>
  <c r="G31" i="8"/>
  <c r="H30" i="8"/>
  <c r="G30" i="8"/>
  <c r="O29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O21" i="8"/>
  <c r="H21" i="8"/>
  <c r="G21" i="8"/>
  <c r="H20" i="8"/>
  <c r="G20" i="8"/>
  <c r="H19" i="8"/>
  <c r="G19" i="8"/>
  <c r="H18" i="8"/>
  <c r="G18" i="8"/>
  <c r="H17" i="8"/>
  <c r="G17" i="8"/>
  <c r="O16" i="8"/>
  <c r="H16" i="8"/>
  <c r="G16" i="8"/>
  <c r="H15" i="8"/>
  <c r="G15" i="8"/>
  <c r="H14" i="8"/>
  <c r="G14" i="8"/>
  <c r="H13" i="8"/>
  <c r="G13" i="8"/>
  <c r="H12" i="8"/>
  <c r="G12" i="8"/>
  <c r="O11" i="8"/>
  <c r="H11" i="8"/>
  <c r="G11" i="8"/>
  <c r="H10" i="8"/>
  <c r="G10" i="8"/>
  <c r="O9" i="8"/>
  <c r="H9" i="8"/>
  <c r="G9" i="8"/>
  <c r="H8" i="8"/>
  <c r="G8" i="8"/>
  <c r="H7" i="8"/>
  <c r="G7" i="8"/>
  <c r="O6" i="8"/>
  <c r="H6" i="8"/>
  <c r="G6" i="8"/>
  <c r="O5" i="8"/>
  <c r="H5" i="8"/>
  <c r="G5" i="8"/>
  <c r="O4" i="8"/>
  <c r="P4" i="8" s="1"/>
  <c r="P5" i="8" s="1"/>
  <c r="H4" i="8"/>
  <c r="I4" i="8" s="1"/>
  <c r="I5" i="8" s="1"/>
  <c r="I6" i="8" s="1"/>
  <c r="G4" i="8"/>
  <c r="S45" i="6"/>
  <c r="S44" i="6"/>
  <c r="S49" i="6"/>
  <c r="S48" i="6"/>
  <c r="S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F3" i="6"/>
  <c r="G43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" i="6"/>
  <c r="F56" i="6"/>
  <c r="F54" i="6"/>
  <c r="F55" i="6" s="1"/>
  <c r="F43" i="6" s="1"/>
  <c r="F27" i="8" l="1"/>
  <c r="F5" i="8"/>
  <c r="L5" i="8" s="1"/>
  <c r="F10" i="8"/>
  <c r="O14" i="8"/>
  <c r="O19" i="8"/>
  <c r="O24" i="8"/>
  <c r="O32" i="8"/>
  <c r="O40" i="8"/>
  <c r="O43" i="8"/>
  <c r="P6" i="8"/>
  <c r="F12" i="8"/>
  <c r="L12" i="8" s="1"/>
  <c r="O7" i="8"/>
  <c r="F15" i="8"/>
  <c r="L15" i="8" s="1"/>
  <c r="O27" i="8"/>
  <c r="O12" i="8"/>
  <c r="O17" i="8"/>
  <c r="O22" i="8"/>
  <c r="O30" i="8"/>
  <c r="O38" i="8"/>
  <c r="O10" i="8"/>
  <c r="O20" i="8"/>
  <c r="O33" i="8"/>
  <c r="O41" i="8"/>
  <c r="C3" i="8"/>
  <c r="O8" i="8"/>
  <c r="O15" i="8"/>
  <c r="F21" i="8"/>
  <c r="L21" i="8" s="1"/>
  <c r="O28" i="8"/>
  <c r="O36" i="8"/>
  <c r="O13" i="8"/>
  <c r="O18" i="8"/>
  <c r="O23" i="8"/>
  <c r="O26" i="8"/>
  <c r="O31" i="8"/>
  <c r="O39" i="8"/>
  <c r="L37" i="8"/>
  <c r="J6" i="8"/>
  <c r="J5" i="8"/>
  <c r="J4" i="8"/>
  <c r="I7" i="8"/>
  <c r="I8" i="8" s="1"/>
  <c r="I9" i="8" s="1"/>
  <c r="I10" i="8" s="1"/>
  <c r="L27" i="8"/>
  <c r="O25" i="8"/>
  <c r="L10" i="8"/>
  <c r="F6" i="8"/>
  <c r="F13" i="8"/>
  <c r="L13" i="8" s="1"/>
  <c r="F19" i="8"/>
  <c r="L19" i="8" s="1"/>
  <c r="F23" i="8"/>
  <c r="F29" i="8"/>
  <c r="L29" i="8" s="1"/>
  <c r="F35" i="8"/>
  <c r="L35" i="8" s="1"/>
  <c r="F36" i="8"/>
  <c r="L36" i="8" s="1"/>
  <c r="F42" i="8"/>
  <c r="L42" i="8" s="1"/>
  <c r="F34" i="8"/>
  <c r="F26" i="8"/>
  <c r="F18" i="8"/>
  <c r="F41" i="8"/>
  <c r="F33" i="8"/>
  <c r="F25" i="8"/>
  <c r="F17" i="8"/>
  <c r="F11" i="8"/>
  <c r="F7" i="8"/>
  <c r="F31" i="8"/>
  <c r="F40" i="8"/>
  <c r="F32" i="8"/>
  <c r="F24" i="8"/>
  <c r="L24" i="8" s="1"/>
  <c r="F16" i="8"/>
  <c r="F39" i="8"/>
  <c r="F38" i="8"/>
  <c r="F30" i="8"/>
  <c r="F22" i="8"/>
  <c r="L22" i="8" s="1"/>
  <c r="F14" i="8"/>
  <c r="F28" i="8"/>
  <c r="L28" i="8" s="1"/>
  <c r="F43" i="8"/>
  <c r="L43" i="8" s="1"/>
  <c r="S3" i="8"/>
  <c r="F8" i="8"/>
  <c r="L8" i="8" s="1"/>
  <c r="F4" i="8"/>
  <c r="L4" i="8" s="1"/>
  <c r="F9" i="8"/>
  <c r="L9" i="8" s="1"/>
  <c r="F20" i="8"/>
  <c r="L20" i="8" s="1"/>
  <c r="L43" i="6"/>
  <c r="O40" i="6"/>
  <c r="O17" i="6"/>
  <c r="O9" i="6"/>
  <c r="O8" i="6"/>
  <c r="O41" i="6"/>
  <c r="O34" i="6"/>
  <c r="O35" i="6"/>
  <c r="O26" i="6"/>
  <c r="O18" i="6"/>
  <c r="O43" i="6"/>
  <c r="O25" i="6"/>
  <c r="O24" i="6"/>
  <c r="O42" i="6"/>
  <c r="O22" i="6"/>
  <c r="O4" i="6"/>
  <c r="P4" i="6" s="1"/>
  <c r="O33" i="6"/>
  <c r="O16" i="6"/>
  <c r="O32" i="6"/>
  <c r="O10" i="6"/>
  <c r="O39" i="6"/>
  <c r="O31" i="6"/>
  <c r="O23" i="6"/>
  <c r="O15" i="6"/>
  <c r="O7" i="6"/>
  <c r="F59" i="6"/>
  <c r="O30" i="6"/>
  <c r="O6" i="6"/>
  <c r="O37" i="6"/>
  <c r="O13" i="6"/>
  <c r="O36" i="6"/>
  <c r="O28" i="6"/>
  <c r="O20" i="6"/>
  <c r="O12" i="6"/>
  <c r="O38" i="6"/>
  <c r="O14" i="6"/>
  <c r="O29" i="6"/>
  <c r="O21" i="6"/>
  <c r="O5" i="6"/>
  <c r="O27" i="6"/>
  <c r="O19" i="6"/>
  <c r="O11" i="6"/>
  <c r="C3" i="6"/>
  <c r="J9" i="8" l="1"/>
  <c r="P7" i="8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J10" i="8"/>
  <c r="I11" i="8"/>
  <c r="J7" i="8"/>
  <c r="J8" i="8"/>
  <c r="L7" i="8"/>
  <c r="T3" i="8"/>
  <c r="L14" i="8"/>
  <c r="L40" i="8"/>
  <c r="L18" i="8"/>
  <c r="L23" i="8"/>
  <c r="L6" i="8"/>
  <c r="L26" i="8"/>
  <c r="L38" i="8"/>
  <c r="L11" i="8"/>
  <c r="L39" i="8"/>
  <c r="L17" i="8"/>
  <c r="L30" i="8"/>
  <c r="L16" i="8"/>
  <c r="L25" i="8"/>
  <c r="L33" i="8"/>
  <c r="L31" i="8"/>
  <c r="L34" i="8"/>
  <c r="L32" i="8"/>
  <c r="L41" i="8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I4" i="6"/>
  <c r="I5" i="6" s="1"/>
  <c r="I6" i="6" s="1"/>
  <c r="F10" i="6"/>
  <c r="L10" i="6" s="1"/>
  <c r="F18" i="6"/>
  <c r="L18" i="6" s="1"/>
  <c r="F26" i="6"/>
  <c r="L26" i="6" s="1"/>
  <c r="F34" i="6"/>
  <c r="L34" i="6" s="1"/>
  <c r="F4" i="6"/>
  <c r="L4" i="6" s="1"/>
  <c r="F5" i="6"/>
  <c r="L5" i="6" s="1"/>
  <c r="F13" i="6"/>
  <c r="L13" i="6" s="1"/>
  <c r="F21" i="6"/>
  <c r="L21" i="6" s="1"/>
  <c r="F29" i="6"/>
  <c r="L29" i="6" s="1"/>
  <c r="F37" i="6"/>
  <c r="L37" i="6" s="1"/>
  <c r="F14" i="6"/>
  <c r="L14" i="6" s="1"/>
  <c r="F22" i="6"/>
  <c r="L22" i="6" s="1"/>
  <c r="F38" i="6"/>
  <c r="L38" i="6" s="1"/>
  <c r="F7" i="6"/>
  <c r="L7" i="6" s="1"/>
  <c r="F23" i="6"/>
  <c r="L23" i="6" s="1"/>
  <c r="F31" i="6"/>
  <c r="L31" i="6" s="1"/>
  <c r="F39" i="6"/>
  <c r="L39" i="6" s="1"/>
  <c r="F16" i="6"/>
  <c r="L16" i="6" s="1"/>
  <c r="F40" i="6"/>
  <c r="L40" i="6" s="1"/>
  <c r="F9" i="6"/>
  <c r="L9" i="6" s="1"/>
  <c r="F33" i="6"/>
  <c r="L33" i="6" s="1"/>
  <c r="F11" i="6"/>
  <c r="L11" i="6" s="1"/>
  <c r="F19" i="6"/>
  <c r="L19" i="6" s="1"/>
  <c r="F27" i="6"/>
  <c r="L27" i="6" s="1"/>
  <c r="F35" i="6"/>
  <c r="L35" i="6" s="1"/>
  <c r="F25" i="6"/>
  <c r="L25" i="6" s="1"/>
  <c r="F42" i="6"/>
  <c r="L42" i="6" s="1"/>
  <c r="F12" i="6"/>
  <c r="L12" i="6" s="1"/>
  <c r="F20" i="6"/>
  <c r="L20" i="6" s="1"/>
  <c r="F28" i="6"/>
  <c r="L28" i="6" s="1"/>
  <c r="F36" i="6"/>
  <c r="L36" i="6" s="1"/>
  <c r="F6" i="6"/>
  <c r="L6" i="6" s="1"/>
  <c r="F30" i="6"/>
  <c r="L30" i="6" s="1"/>
  <c r="F15" i="6"/>
  <c r="L15" i="6" s="1"/>
  <c r="F8" i="6"/>
  <c r="L8" i="6" s="1"/>
  <c r="F24" i="6"/>
  <c r="L24" i="6" s="1"/>
  <c r="F32" i="6"/>
  <c r="L32" i="6" s="1"/>
  <c r="F17" i="6"/>
  <c r="L17" i="6" s="1"/>
  <c r="F41" i="6"/>
  <c r="L41" i="6" s="1"/>
  <c r="I12" i="8" l="1"/>
  <c r="J11" i="8"/>
  <c r="J5" i="6"/>
  <c r="J6" i="6"/>
  <c r="I7" i="6"/>
  <c r="J4" i="6"/>
  <c r="I13" i="8" l="1"/>
  <c r="J12" i="8"/>
  <c r="I8" i="6"/>
  <c r="J7" i="6"/>
  <c r="I14" i="8" l="1"/>
  <c r="J13" i="8"/>
  <c r="J8" i="6"/>
  <c r="I9" i="6"/>
  <c r="J14" i="8" l="1"/>
  <c r="I15" i="8"/>
  <c r="J9" i="6"/>
  <c r="I10" i="6"/>
  <c r="I16" i="8" l="1"/>
  <c r="J15" i="8"/>
  <c r="J10" i="6"/>
  <c r="I11" i="6"/>
  <c r="J16" i="8" l="1"/>
  <c r="I17" i="8"/>
  <c r="I12" i="6"/>
  <c r="J11" i="6"/>
  <c r="I18" i="8" l="1"/>
  <c r="J17" i="8"/>
  <c r="J12" i="6"/>
  <c r="I13" i="6"/>
  <c r="J18" i="8" l="1"/>
  <c r="I19" i="8"/>
  <c r="I14" i="6"/>
  <c r="J13" i="6"/>
  <c r="I20" i="8" l="1"/>
  <c r="J19" i="8"/>
  <c r="I15" i="6"/>
  <c r="J14" i="6"/>
  <c r="I21" i="8" l="1"/>
  <c r="J20" i="8"/>
  <c r="I16" i="6"/>
  <c r="J15" i="6"/>
  <c r="J21" i="8" l="1"/>
  <c r="I22" i="8"/>
  <c r="I17" i="6"/>
  <c r="J16" i="6"/>
  <c r="J22" i="8" l="1"/>
  <c r="I23" i="8"/>
  <c r="J17" i="6"/>
  <c r="I18" i="6"/>
  <c r="I24" i="8" l="1"/>
  <c r="J23" i="8"/>
  <c r="I19" i="6"/>
  <c r="J18" i="6"/>
  <c r="I25" i="8" l="1"/>
  <c r="J24" i="8"/>
  <c r="I20" i="6"/>
  <c r="J19" i="6"/>
  <c r="J25" i="8" l="1"/>
  <c r="I26" i="8"/>
  <c r="I21" i="6"/>
  <c r="J20" i="6"/>
  <c r="I27" i="8" l="1"/>
  <c r="J26" i="8"/>
  <c r="I22" i="6"/>
  <c r="J21" i="6"/>
  <c r="I28" i="8" l="1"/>
  <c r="J27" i="8"/>
  <c r="J22" i="6"/>
  <c r="I23" i="6"/>
  <c r="I29" i="8" l="1"/>
  <c r="J28" i="8"/>
  <c r="J23" i="6"/>
  <c r="I24" i="6"/>
  <c r="I30" i="8" l="1"/>
  <c r="J29" i="8"/>
  <c r="I25" i="6"/>
  <c r="J24" i="6"/>
  <c r="I31" i="8" l="1"/>
  <c r="J30" i="8"/>
  <c r="I26" i="6"/>
  <c r="J25" i="6"/>
  <c r="J31" i="8" l="1"/>
  <c r="I32" i="8"/>
  <c r="J26" i="6"/>
  <c r="I27" i="6"/>
  <c r="I33" i="8" l="1"/>
  <c r="J32" i="8"/>
  <c r="I28" i="6"/>
  <c r="J27" i="6"/>
  <c r="J33" i="8" l="1"/>
  <c r="I34" i="8"/>
  <c r="I29" i="6"/>
  <c r="J28" i="6"/>
  <c r="I35" i="8" l="1"/>
  <c r="J34" i="8"/>
  <c r="J29" i="6"/>
  <c r="I30" i="6"/>
  <c r="J35" i="8" l="1"/>
  <c r="I36" i="8"/>
  <c r="J30" i="6"/>
  <c r="I31" i="6"/>
  <c r="I37" i="8" l="1"/>
  <c r="J36" i="8"/>
  <c r="J31" i="6"/>
  <c r="I32" i="6"/>
  <c r="I38" i="8" l="1"/>
  <c r="J37" i="8"/>
  <c r="I33" i="6"/>
  <c r="J32" i="6"/>
  <c r="J38" i="8" l="1"/>
  <c r="I39" i="8"/>
  <c r="I34" i="6"/>
  <c r="J33" i="6"/>
  <c r="I40" i="8" l="1"/>
  <c r="J39" i="8"/>
  <c r="I35" i="6"/>
  <c r="J34" i="6"/>
  <c r="J40" i="8" l="1"/>
  <c r="I41" i="8"/>
  <c r="I36" i="6"/>
  <c r="J35" i="6"/>
  <c r="I42" i="8" l="1"/>
  <c r="J41" i="8"/>
  <c r="I37" i="6"/>
  <c r="J36" i="6"/>
  <c r="I43" i="8" l="1"/>
  <c r="J43" i="8" s="1"/>
  <c r="J42" i="8"/>
  <c r="I38" i="6"/>
  <c r="J37" i="6"/>
  <c r="I39" i="6" l="1"/>
  <c r="J38" i="6"/>
  <c r="J39" i="6" l="1"/>
  <c r="I40" i="6"/>
  <c r="I41" i="6" l="1"/>
  <c r="J40" i="6"/>
  <c r="I42" i="6" l="1"/>
  <c r="J41" i="6"/>
  <c r="J42" i="6" l="1"/>
  <c r="I43" i="6"/>
  <c r="J43" i="6" s="1"/>
  <c r="E53" i="6" l="1"/>
  <c r="E54" i="6" s="1"/>
  <c r="E55" i="6" s="1"/>
  <c r="D53" i="6"/>
  <c r="D54" i="6" s="1"/>
  <c r="D55" i="6" s="1"/>
  <c r="I16" i="5" l="1"/>
  <c r="I15" i="5"/>
  <c r="O16" i="5"/>
  <c r="P16" i="5"/>
  <c r="D16" i="5"/>
  <c r="D15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16" i="5"/>
  <c r="G51" i="5"/>
  <c r="H18" i="5"/>
  <c r="H19" i="5" s="1"/>
  <c r="H20" i="5" s="1"/>
  <c r="H21" i="5" s="1"/>
  <c r="I17" i="5"/>
  <c r="F16" i="5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E16" i="5"/>
  <c r="E17" i="5" s="1"/>
  <c r="F15" i="5"/>
  <c r="E15" i="5"/>
  <c r="AA9" i="5"/>
  <c r="AA13" i="5" s="1"/>
  <c r="AA17" i="5" s="1"/>
  <c r="D15" i="3"/>
  <c r="E8" i="4"/>
  <c r="E7" i="4"/>
  <c r="E6" i="4"/>
  <c r="E4" i="4"/>
  <c r="E3" i="4"/>
  <c r="E5" i="4"/>
  <c r="D7" i="4"/>
  <c r="D6" i="4"/>
  <c r="D5" i="4"/>
  <c r="D4" i="4"/>
  <c r="D3" i="4"/>
  <c r="O17" i="3"/>
  <c r="O16" i="3"/>
  <c r="E18" i="5" l="1"/>
  <c r="I18" i="5"/>
  <c r="S17" i="5"/>
  <c r="T17" i="5" s="1"/>
  <c r="I21" i="5"/>
  <c r="H22" i="5"/>
  <c r="E19" i="5"/>
  <c r="I19" i="5"/>
  <c r="Q16" i="5"/>
  <c r="R16" i="5" s="1"/>
  <c r="S16" i="5" s="1"/>
  <c r="T16" i="5" s="1"/>
  <c r="I20" i="5"/>
  <c r="K16" i="5" l="1"/>
  <c r="J16" i="5"/>
  <c r="D17" i="5"/>
  <c r="S18" i="5"/>
  <c r="T18" i="5" s="1"/>
  <c r="E20" i="5"/>
  <c r="I22" i="5"/>
  <c r="H23" i="5"/>
  <c r="E21" i="5" l="1"/>
  <c r="I23" i="5"/>
  <c r="H24" i="5"/>
  <c r="J17" i="5"/>
  <c r="K17" i="5"/>
  <c r="D18" i="5"/>
  <c r="S19" i="5"/>
  <c r="T19" i="5" s="1"/>
  <c r="H25" i="5" l="1"/>
  <c r="I24" i="5"/>
  <c r="S20" i="5"/>
  <c r="T20" i="5" s="1"/>
  <c r="E22" i="5"/>
  <c r="D19" i="5"/>
  <c r="K18" i="5"/>
  <c r="J18" i="5"/>
  <c r="S21" i="5" l="1"/>
  <c r="T21" i="5" s="1"/>
  <c r="D20" i="5"/>
  <c r="J19" i="5"/>
  <c r="K19" i="5"/>
  <c r="E23" i="5"/>
  <c r="I25" i="5"/>
  <c r="H26" i="5"/>
  <c r="E24" i="5" l="1"/>
  <c r="I26" i="5"/>
  <c r="H27" i="5"/>
  <c r="D21" i="5"/>
  <c r="K20" i="5"/>
  <c r="J20" i="5"/>
  <c r="S22" i="5"/>
  <c r="T22" i="5" s="1"/>
  <c r="J21" i="5" l="1"/>
  <c r="K21" i="5"/>
  <c r="D22" i="5"/>
  <c r="I27" i="5"/>
  <c r="H28" i="5"/>
  <c r="S23" i="5"/>
  <c r="T23" i="5" s="1"/>
  <c r="E25" i="5"/>
  <c r="H29" i="5" l="1"/>
  <c r="I28" i="5"/>
  <c r="D23" i="5"/>
  <c r="K22" i="5"/>
  <c r="J22" i="5"/>
  <c r="S24" i="5"/>
  <c r="T24" i="5" s="1"/>
  <c r="E26" i="5"/>
  <c r="K23" i="5" l="1"/>
  <c r="D24" i="5"/>
  <c r="J23" i="5"/>
  <c r="E27" i="5"/>
  <c r="S25" i="5"/>
  <c r="T25" i="5" s="1"/>
  <c r="I29" i="5"/>
  <c r="H30" i="5"/>
  <c r="S26" i="5" l="1"/>
  <c r="T26" i="5" s="1"/>
  <c r="E28" i="5"/>
  <c r="I30" i="5"/>
  <c r="H31" i="5"/>
  <c r="D25" i="5"/>
  <c r="K24" i="5"/>
  <c r="J24" i="5"/>
  <c r="H32" i="5" l="1"/>
  <c r="I31" i="5"/>
  <c r="S27" i="5"/>
  <c r="T27" i="5" s="1"/>
  <c r="E29" i="5"/>
  <c r="J25" i="5"/>
  <c r="K25" i="5"/>
  <c r="D26" i="5"/>
  <c r="E30" i="5" l="1"/>
  <c r="S28" i="5"/>
  <c r="T28" i="5" s="1"/>
  <c r="D27" i="5"/>
  <c r="K26" i="5"/>
  <c r="J26" i="5"/>
  <c r="H33" i="5"/>
  <c r="I32" i="5"/>
  <c r="D28" i="5" l="1"/>
  <c r="J27" i="5"/>
  <c r="K27" i="5"/>
  <c r="I33" i="5"/>
  <c r="H34" i="5"/>
  <c r="S29" i="5"/>
  <c r="T29" i="5" s="1"/>
  <c r="E31" i="5"/>
  <c r="I34" i="5" l="1"/>
  <c r="H35" i="5"/>
  <c r="S30" i="5"/>
  <c r="T30" i="5" s="1"/>
  <c r="E32" i="5"/>
  <c r="D29" i="5"/>
  <c r="K28" i="5"/>
  <c r="J28" i="5"/>
  <c r="S31" i="5" l="1"/>
  <c r="T31" i="5" s="1"/>
  <c r="E33" i="5"/>
  <c r="I35" i="5"/>
  <c r="H36" i="5"/>
  <c r="J29" i="5"/>
  <c r="D30" i="5"/>
  <c r="K29" i="5"/>
  <c r="D31" i="5" l="1"/>
  <c r="K30" i="5"/>
  <c r="J30" i="5"/>
  <c r="S32" i="5"/>
  <c r="T32" i="5" s="1"/>
  <c r="H37" i="5"/>
  <c r="I36" i="5"/>
  <c r="J15" i="5"/>
  <c r="E34" i="5"/>
  <c r="I37" i="5" l="1"/>
  <c r="H38" i="5"/>
  <c r="S33" i="5"/>
  <c r="T33" i="5" s="1"/>
  <c r="E35" i="5"/>
  <c r="D32" i="5"/>
  <c r="K31" i="5"/>
  <c r="J31" i="5"/>
  <c r="E36" i="5" l="1"/>
  <c r="S34" i="5"/>
  <c r="T34" i="5" s="1"/>
  <c r="I38" i="5"/>
  <c r="H39" i="5"/>
  <c r="K32" i="5"/>
  <c r="D33" i="5"/>
  <c r="J32" i="5"/>
  <c r="I39" i="5" l="1"/>
  <c r="H40" i="5"/>
  <c r="J33" i="5"/>
  <c r="K33" i="5"/>
  <c r="D34" i="5"/>
  <c r="S35" i="5"/>
  <c r="T35" i="5" s="1"/>
  <c r="E37" i="5"/>
  <c r="D35" i="5" l="1"/>
  <c r="K34" i="5"/>
  <c r="J34" i="5"/>
  <c r="S36" i="5"/>
  <c r="T36" i="5" s="1"/>
  <c r="E38" i="5"/>
  <c r="H41" i="5"/>
  <c r="I40" i="5"/>
  <c r="I41" i="5" l="1"/>
  <c r="H42" i="5"/>
  <c r="S37" i="5"/>
  <c r="T37" i="5" s="1"/>
  <c r="E39" i="5"/>
  <c r="D36" i="5"/>
  <c r="K35" i="5"/>
  <c r="J35" i="5"/>
  <c r="S38" i="5" l="1"/>
  <c r="T38" i="5" s="1"/>
  <c r="E40" i="5"/>
  <c r="I42" i="5"/>
  <c r="H43" i="5"/>
  <c r="D37" i="5"/>
  <c r="K36" i="5"/>
  <c r="J36" i="5"/>
  <c r="I43" i="5" l="1"/>
  <c r="H44" i="5"/>
  <c r="J37" i="5"/>
  <c r="K37" i="5"/>
  <c r="D38" i="5"/>
  <c r="S39" i="5"/>
  <c r="T39" i="5" s="1"/>
  <c r="E41" i="5"/>
  <c r="P17" i="3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P16" i="3"/>
  <c r="AA9" i="3"/>
  <c r="AA13" i="3" s="1"/>
  <c r="AA17" i="3" s="1"/>
  <c r="G51" i="3"/>
  <c r="H18" i="3"/>
  <c r="I18" i="3" s="1"/>
  <c r="I17" i="3"/>
  <c r="I16" i="3"/>
  <c r="F16" i="3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E16" i="3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F15" i="3"/>
  <c r="E15" i="3"/>
  <c r="D16" i="3"/>
  <c r="D39" i="5" l="1"/>
  <c r="K38" i="5"/>
  <c r="J38" i="5"/>
  <c r="S40" i="5"/>
  <c r="T40" i="5" s="1"/>
  <c r="E42" i="5"/>
  <c r="H45" i="5"/>
  <c r="I44" i="5"/>
  <c r="K16" i="3"/>
  <c r="L35" i="3"/>
  <c r="E36" i="3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L54" i="3" s="1"/>
  <c r="D17" i="3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L32" i="3"/>
  <c r="L24" i="3"/>
  <c r="L21" i="3"/>
  <c r="L31" i="3"/>
  <c r="L22" i="3"/>
  <c r="L27" i="3"/>
  <c r="L19" i="3"/>
  <c r="L16" i="3"/>
  <c r="Q16" i="3" s="1"/>
  <c r="R16" i="3" s="1"/>
  <c r="L28" i="3"/>
  <c r="L20" i="3"/>
  <c r="L34" i="3"/>
  <c r="L26" i="3"/>
  <c r="L18" i="3"/>
  <c r="L23" i="3"/>
  <c r="L30" i="3"/>
  <c r="L29" i="3"/>
  <c r="L33" i="3"/>
  <c r="L25" i="3"/>
  <c r="L17" i="3"/>
  <c r="H19" i="3"/>
  <c r="I19" i="3" s="1"/>
  <c r="J16" i="3"/>
  <c r="S41" i="5" l="1"/>
  <c r="T41" i="5" s="1"/>
  <c r="I45" i="5"/>
  <c r="H46" i="5"/>
  <c r="E43" i="5"/>
  <c r="D40" i="5"/>
  <c r="K39" i="5"/>
  <c r="J39" i="5"/>
  <c r="Q17" i="3"/>
  <c r="R17" i="3" s="1"/>
  <c r="S17" i="3" s="1"/>
  <c r="T17" i="3" s="1"/>
  <c r="S16" i="3"/>
  <c r="T16" i="3" s="1"/>
  <c r="Q18" i="3"/>
  <c r="R18" i="3" s="1"/>
  <c r="S18" i="3" s="1"/>
  <c r="T18" i="3" s="1"/>
  <c r="L48" i="3"/>
  <c r="L43" i="3"/>
  <c r="L40" i="3"/>
  <c r="L49" i="3"/>
  <c r="L44" i="3"/>
  <c r="L46" i="3"/>
  <c r="L39" i="3"/>
  <c r="L50" i="3"/>
  <c r="Q19" i="3"/>
  <c r="R19" i="3" s="1"/>
  <c r="S19" i="3" s="1"/>
  <c r="T19" i="3" s="1"/>
  <c r="L38" i="3"/>
  <c r="L45" i="3"/>
  <c r="L47" i="3"/>
  <c r="L42" i="3"/>
  <c r="L51" i="3"/>
  <c r="L37" i="3"/>
  <c r="H20" i="3"/>
  <c r="L52" i="3"/>
  <c r="L41" i="3"/>
  <c r="L36" i="3"/>
  <c r="L53" i="3"/>
  <c r="K17" i="3"/>
  <c r="D37" i="3"/>
  <c r="K18" i="3"/>
  <c r="J17" i="3"/>
  <c r="H21" i="3"/>
  <c r="I20" i="3"/>
  <c r="S42" i="5" l="1"/>
  <c r="T42" i="5" s="1"/>
  <c r="E44" i="5"/>
  <c r="I46" i="5"/>
  <c r="H47" i="5"/>
  <c r="D41" i="5"/>
  <c r="K40" i="5"/>
  <c r="J40" i="5"/>
  <c r="Q20" i="3"/>
  <c r="R20" i="3" s="1"/>
  <c r="S20" i="3"/>
  <c r="T20" i="3" s="1"/>
  <c r="D38" i="3"/>
  <c r="H22" i="3"/>
  <c r="I21" i="3"/>
  <c r="J18" i="3"/>
  <c r="K19" i="3"/>
  <c r="I47" i="5" l="1"/>
  <c r="H48" i="5"/>
  <c r="S43" i="5"/>
  <c r="T43" i="5" s="1"/>
  <c r="E45" i="5"/>
  <c r="J41" i="5"/>
  <c r="K41" i="5"/>
  <c r="D42" i="5"/>
  <c r="Q21" i="3"/>
  <c r="R21" i="3" s="1"/>
  <c r="S21" i="3" s="1"/>
  <c r="T21" i="3" s="1"/>
  <c r="D39" i="3"/>
  <c r="K20" i="3"/>
  <c r="J19" i="3"/>
  <c r="I22" i="3"/>
  <c r="H23" i="3"/>
  <c r="E46" i="5" l="1"/>
  <c r="H49" i="5"/>
  <c r="I48" i="5"/>
  <c r="S44" i="5"/>
  <c r="T44" i="5" s="1"/>
  <c r="D43" i="5"/>
  <c r="K42" i="5"/>
  <c r="J42" i="5"/>
  <c r="Q22" i="3"/>
  <c r="R22" i="3" s="1"/>
  <c r="S22" i="3" s="1"/>
  <c r="T22" i="3" s="1"/>
  <c r="D40" i="3"/>
  <c r="I23" i="3"/>
  <c r="H24" i="3"/>
  <c r="K21" i="3"/>
  <c r="J20" i="3"/>
  <c r="D44" i="5" l="1"/>
  <c r="K43" i="5"/>
  <c r="J43" i="5"/>
  <c r="I49" i="5"/>
  <c r="H50" i="5"/>
  <c r="S45" i="5"/>
  <c r="T45" i="5" s="1"/>
  <c r="E47" i="5"/>
  <c r="Q23" i="3"/>
  <c r="R23" i="3" s="1"/>
  <c r="S23" i="3" s="1"/>
  <c r="T23" i="3" s="1"/>
  <c r="D41" i="3"/>
  <c r="K22" i="3"/>
  <c r="J21" i="3"/>
  <c r="H25" i="3"/>
  <c r="I24" i="3"/>
  <c r="H51" i="5" l="1"/>
  <c r="I50" i="5"/>
  <c r="S46" i="5"/>
  <c r="T46" i="5" s="1"/>
  <c r="E48" i="5"/>
  <c r="K44" i="5"/>
  <c r="D45" i="5"/>
  <c r="J44" i="5"/>
  <c r="Q24" i="3"/>
  <c r="R24" i="3" s="1"/>
  <c r="S24" i="3" s="1"/>
  <c r="T24" i="3" s="1"/>
  <c r="D42" i="3"/>
  <c r="H26" i="3"/>
  <c r="I25" i="3"/>
  <c r="J22" i="3"/>
  <c r="K23" i="3"/>
  <c r="S47" i="5" l="1"/>
  <c r="T47" i="5" s="1"/>
  <c r="J45" i="5"/>
  <c r="D46" i="5"/>
  <c r="K45" i="5"/>
  <c r="E49" i="5"/>
  <c r="H52" i="5"/>
  <c r="I51" i="5"/>
  <c r="Q25" i="3"/>
  <c r="R25" i="3" s="1"/>
  <c r="S25" i="3" s="1"/>
  <c r="T25" i="3" s="1"/>
  <c r="D43" i="3"/>
  <c r="K24" i="3"/>
  <c r="J23" i="3"/>
  <c r="I26" i="3"/>
  <c r="H27" i="3"/>
  <c r="S48" i="5" l="1"/>
  <c r="T48" i="5" s="1"/>
  <c r="E50" i="5"/>
  <c r="D47" i="5"/>
  <c r="K46" i="5"/>
  <c r="J46" i="5"/>
  <c r="H53" i="5"/>
  <c r="I52" i="5"/>
  <c r="Q26" i="3"/>
  <c r="R26" i="3" s="1"/>
  <c r="S26" i="3" s="1"/>
  <c r="T26" i="3" s="1"/>
  <c r="D44" i="3"/>
  <c r="I27" i="3"/>
  <c r="H28" i="3"/>
  <c r="K25" i="3"/>
  <c r="J24" i="3"/>
  <c r="D48" i="5" l="1"/>
  <c r="K47" i="5"/>
  <c r="J47" i="5"/>
  <c r="H54" i="5"/>
  <c r="I54" i="5" s="1"/>
  <c r="I53" i="5"/>
  <c r="E51" i="5"/>
  <c r="S49" i="5"/>
  <c r="T49" i="5" s="1"/>
  <c r="Q27" i="3"/>
  <c r="R27" i="3" s="1"/>
  <c r="S27" i="3" s="1"/>
  <c r="T27" i="3" s="1"/>
  <c r="D45" i="3"/>
  <c r="H29" i="3"/>
  <c r="I28" i="3"/>
  <c r="K26" i="3"/>
  <c r="J25" i="3"/>
  <c r="S50" i="5" l="1"/>
  <c r="T50" i="5" s="1"/>
  <c r="E52" i="5"/>
  <c r="K48" i="5"/>
  <c r="D49" i="5"/>
  <c r="J48" i="5"/>
  <c r="Q28" i="3"/>
  <c r="R28" i="3" s="1"/>
  <c r="S28" i="3" s="1"/>
  <c r="T28" i="3" s="1"/>
  <c r="D46" i="3"/>
  <c r="J26" i="3"/>
  <c r="K27" i="3"/>
  <c r="H30" i="3"/>
  <c r="I29" i="3"/>
  <c r="S51" i="5" l="1"/>
  <c r="T51" i="5" s="1"/>
  <c r="J49" i="5"/>
  <c r="K49" i="5"/>
  <c r="D50" i="5"/>
  <c r="E53" i="5"/>
  <c r="Q29" i="3"/>
  <c r="R29" i="3" s="1"/>
  <c r="S29" i="3" s="1"/>
  <c r="T29" i="3" s="1"/>
  <c r="D47" i="3"/>
  <c r="I30" i="3"/>
  <c r="H31" i="3"/>
  <c r="K28" i="3"/>
  <c r="J27" i="3"/>
  <c r="E54" i="5" l="1"/>
  <c r="S52" i="5"/>
  <c r="T52" i="5" s="1"/>
  <c r="D51" i="5"/>
  <c r="K50" i="5"/>
  <c r="J50" i="5"/>
  <c r="Q30" i="3"/>
  <c r="R30" i="3" s="1"/>
  <c r="S30" i="3"/>
  <c r="T30" i="3" s="1"/>
  <c r="D48" i="3"/>
  <c r="K29" i="3"/>
  <c r="J28" i="3"/>
  <c r="I31" i="3"/>
  <c r="H32" i="3"/>
  <c r="D52" i="5" l="1"/>
  <c r="K51" i="5"/>
  <c r="J51" i="5"/>
  <c r="S53" i="5"/>
  <c r="T53" i="5" s="1"/>
  <c r="S54" i="5"/>
  <c r="T54" i="5" s="1"/>
  <c r="Q31" i="3"/>
  <c r="R31" i="3" s="1"/>
  <c r="S31" i="3" s="1"/>
  <c r="T31" i="3" s="1"/>
  <c r="D49" i="3"/>
  <c r="H33" i="3"/>
  <c r="I32" i="3"/>
  <c r="K30" i="3"/>
  <c r="J29" i="3"/>
  <c r="J52" i="5" l="1"/>
  <c r="D53" i="5"/>
  <c r="K52" i="5"/>
  <c r="Q32" i="3"/>
  <c r="R32" i="3" s="1"/>
  <c r="S32" i="3" s="1"/>
  <c r="T32" i="3" s="1"/>
  <c r="D50" i="3"/>
  <c r="J30" i="3"/>
  <c r="K31" i="3"/>
  <c r="H34" i="3"/>
  <c r="I33" i="3"/>
  <c r="J53" i="5" l="1"/>
  <c r="D54" i="5"/>
  <c r="K53" i="5"/>
  <c r="Q33" i="3"/>
  <c r="R33" i="3" s="1"/>
  <c r="S33" i="3" s="1"/>
  <c r="T33" i="3" s="1"/>
  <c r="D51" i="3"/>
  <c r="I34" i="3"/>
  <c r="H35" i="3"/>
  <c r="K32" i="3"/>
  <c r="J31" i="3"/>
  <c r="J54" i="5" l="1"/>
  <c r="K54" i="5"/>
  <c r="Q34" i="3"/>
  <c r="R34" i="3" s="1"/>
  <c r="S34" i="3" s="1"/>
  <c r="T34" i="3" s="1"/>
  <c r="I35" i="3"/>
  <c r="H36" i="3"/>
  <c r="D52" i="3"/>
  <c r="K33" i="3"/>
  <c r="J32" i="3"/>
  <c r="I15" i="3" l="1"/>
  <c r="J15" i="3" s="1"/>
  <c r="Q35" i="3"/>
  <c r="R35" i="3" s="1"/>
  <c r="S35" i="3" s="1"/>
  <c r="T35" i="3" s="1"/>
  <c r="H37" i="3"/>
  <c r="I36" i="3"/>
  <c r="D53" i="3"/>
  <c r="K34" i="3"/>
  <c r="J33" i="3"/>
  <c r="Q36" i="3" l="1"/>
  <c r="R36" i="3" s="1"/>
  <c r="S36" i="3" s="1"/>
  <c r="T36" i="3" s="1"/>
  <c r="D54" i="3"/>
  <c r="K36" i="3"/>
  <c r="J36" i="3"/>
  <c r="H38" i="3"/>
  <c r="I37" i="3"/>
  <c r="J34" i="3"/>
  <c r="Q37" i="3" l="1"/>
  <c r="R37" i="3" s="1"/>
  <c r="S37" i="3" s="1"/>
  <c r="T37" i="3" s="1"/>
  <c r="J37" i="3"/>
  <c r="K37" i="3"/>
  <c r="H39" i="3"/>
  <c r="I38" i="3"/>
  <c r="J35" i="3"/>
  <c r="K35" i="3"/>
  <c r="Q38" i="3" l="1"/>
  <c r="R38" i="3" s="1"/>
  <c r="S38" i="3"/>
  <c r="T38" i="3" s="1"/>
  <c r="J38" i="3"/>
  <c r="K38" i="3"/>
  <c r="H40" i="3"/>
  <c r="I39" i="3"/>
  <c r="Q39" i="3" l="1"/>
  <c r="R39" i="3" s="1"/>
  <c r="S39" i="3"/>
  <c r="T39" i="3" s="1"/>
  <c r="J39" i="3"/>
  <c r="K39" i="3"/>
  <c r="H41" i="3"/>
  <c r="I40" i="3"/>
  <c r="Q40" i="3" l="1"/>
  <c r="R40" i="3" s="1"/>
  <c r="S40" i="3" s="1"/>
  <c r="T40" i="3" s="1"/>
  <c r="J40" i="3"/>
  <c r="K40" i="3"/>
  <c r="H42" i="3"/>
  <c r="I41" i="3"/>
  <c r="Q41" i="3" l="1"/>
  <c r="R41" i="3" s="1"/>
  <c r="S41" i="3" s="1"/>
  <c r="T41" i="3" s="1"/>
  <c r="K41" i="3"/>
  <c r="J41" i="3"/>
  <c r="H43" i="3"/>
  <c r="I42" i="3"/>
  <c r="Q42" i="3" l="1"/>
  <c r="R42" i="3" s="1"/>
  <c r="S42" i="3" s="1"/>
  <c r="T42" i="3" s="1"/>
  <c r="H44" i="3"/>
  <c r="I43" i="3"/>
  <c r="J42" i="3"/>
  <c r="K42" i="3"/>
  <c r="Q43" i="3" l="1"/>
  <c r="R43" i="3" s="1"/>
  <c r="S43" i="3" s="1"/>
  <c r="T43" i="3" s="1"/>
  <c r="J43" i="3"/>
  <c r="K43" i="3"/>
  <c r="H45" i="3"/>
  <c r="I44" i="3"/>
  <c r="Q44" i="3" l="1"/>
  <c r="R44" i="3" s="1"/>
  <c r="S44" i="3" s="1"/>
  <c r="T44" i="3" s="1"/>
  <c r="K44" i="3"/>
  <c r="J44" i="3"/>
  <c r="H46" i="3"/>
  <c r="I45" i="3"/>
  <c r="Q45" i="3" l="1"/>
  <c r="R45" i="3" s="1"/>
  <c r="S45" i="3" s="1"/>
  <c r="T45" i="3" s="1"/>
  <c r="J45" i="3"/>
  <c r="K45" i="3"/>
  <c r="H47" i="3"/>
  <c r="I46" i="3"/>
  <c r="Q46" i="3" l="1"/>
  <c r="R46" i="3" s="1"/>
  <c r="S46" i="3" s="1"/>
  <c r="T46" i="3" s="1"/>
  <c r="K46" i="3"/>
  <c r="J46" i="3"/>
  <c r="H48" i="3"/>
  <c r="I47" i="3"/>
  <c r="Q47" i="3" l="1"/>
  <c r="R47" i="3" s="1"/>
  <c r="S47" i="3"/>
  <c r="T47" i="3" s="1"/>
  <c r="J47" i="3"/>
  <c r="K47" i="3"/>
  <c r="H49" i="3"/>
  <c r="I48" i="3"/>
  <c r="Q48" i="3" l="1"/>
  <c r="R48" i="3" s="1"/>
  <c r="S48" i="3"/>
  <c r="T48" i="3" s="1"/>
  <c r="J48" i="3"/>
  <c r="K48" i="3"/>
  <c r="H50" i="3"/>
  <c r="I49" i="3"/>
  <c r="Q49" i="3" l="1"/>
  <c r="R49" i="3" s="1"/>
  <c r="S49" i="3" s="1"/>
  <c r="T49" i="3" s="1"/>
  <c r="J49" i="3"/>
  <c r="K49" i="3"/>
  <c r="H51" i="3"/>
  <c r="I50" i="3"/>
  <c r="Q50" i="3" l="1"/>
  <c r="R50" i="3" s="1"/>
  <c r="S50" i="3" s="1"/>
  <c r="T50" i="3" s="1"/>
  <c r="J50" i="3"/>
  <c r="K50" i="3"/>
  <c r="H52" i="3"/>
  <c r="I51" i="3"/>
  <c r="Q51" i="3" l="1"/>
  <c r="R51" i="3" s="1"/>
  <c r="S51" i="3" s="1"/>
  <c r="T51" i="3" s="1"/>
  <c r="J51" i="3"/>
  <c r="K51" i="3"/>
  <c r="I52" i="3"/>
  <c r="H53" i="3"/>
  <c r="Q52" i="3" l="1"/>
  <c r="R52" i="3" s="1"/>
  <c r="S52" i="3" s="1"/>
  <c r="T52" i="3" s="1"/>
  <c r="H54" i="3"/>
  <c r="I53" i="3"/>
  <c r="J52" i="3"/>
  <c r="K52" i="3"/>
  <c r="Q53" i="3" l="1"/>
  <c r="R53" i="3" s="1"/>
  <c r="S53" i="3" s="1"/>
  <c r="T53" i="3" s="1"/>
  <c r="K53" i="3"/>
  <c r="J53" i="3"/>
  <c r="I54" i="3"/>
  <c r="Q54" i="3" l="1"/>
  <c r="R54" i="3" s="1"/>
  <c r="S54" i="3" s="1"/>
  <c r="T54" i="3" s="1"/>
  <c r="K54" i="3"/>
  <c r="J54" i="3"/>
  <c r="G57" i="1" l="1"/>
  <c r="J58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E22" i="1"/>
  <c r="E23" i="1" s="1"/>
  <c r="E24" i="1" s="1"/>
  <c r="E25" i="1" s="1"/>
  <c r="I23" i="1"/>
  <c r="I22" i="1"/>
  <c r="H24" i="1"/>
  <c r="H25" i="1" s="1"/>
  <c r="F21" i="1"/>
  <c r="D21" i="1"/>
  <c r="D22" i="1" s="1"/>
  <c r="E21" i="1"/>
  <c r="AA17" i="1"/>
  <c r="AA23" i="1"/>
  <c r="E26" i="1" l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J22" i="1"/>
  <c r="D23" i="1"/>
  <c r="H26" i="1"/>
  <c r="I25" i="1"/>
  <c r="I24" i="1"/>
  <c r="J23" i="1" l="1"/>
  <c r="D24" i="1"/>
  <c r="H27" i="1"/>
  <c r="I26" i="1"/>
  <c r="D25" i="1" l="1"/>
  <c r="J24" i="1"/>
  <c r="H28" i="1"/>
  <c r="I27" i="1"/>
  <c r="D26" i="1" l="1"/>
  <c r="J25" i="1"/>
  <c r="H29" i="1"/>
  <c r="I28" i="1"/>
  <c r="D27" i="1" l="1"/>
  <c r="J26" i="1"/>
  <c r="H30" i="1"/>
  <c r="I29" i="1"/>
  <c r="D28" i="1" l="1"/>
  <c r="J27" i="1"/>
  <c r="H31" i="1"/>
  <c r="I30" i="1"/>
  <c r="D29" i="1" l="1"/>
  <c r="J28" i="1"/>
  <c r="H32" i="1"/>
  <c r="I31" i="1"/>
  <c r="D30" i="1" l="1"/>
  <c r="J29" i="1"/>
  <c r="H33" i="1"/>
  <c r="I32" i="1"/>
  <c r="D31" i="1" l="1"/>
  <c r="J30" i="1"/>
  <c r="H34" i="1"/>
  <c r="I33" i="1"/>
  <c r="D32" i="1" l="1"/>
  <c r="J31" i="1"/>
  <c r="H35" i="1"/>
  <c r="I34" i="1"/>
  <c r="D33" i="1" l="1"/>
  <c r="J32" i="1"/>
  <c r="H36" i="1"/>
  <c r="I35" i="1"/>
  <c r="D34" i="1" l="1"/>
  <c r="J33" i="1"/>
  <c r="H37" i="1"/>
  <c r="I36" i="1"/>
  <c r="D35" i="1" l="1"/>
  <c r="J34" i="1"/>
  <c r="H38" i="1"/>
  <c r="I37" i="1"/>
  <c r="D36" i="1" l="1"/>
  <c r="J35" i="1"/>
  <c r="H39" i="1"/>
  <c r="I38" i="1"/>
  <c r="D37" i="1" l="1"/>
  <c r="J36" i="1"/>
  <c r="H40" i="1"/>
  <c r="I39" i="1"/>
  <c r="D38" i="1" l="1"/>
  <c r="J37" i="1"/>
  <c r="H41" i="1"/>
  <c r="I41" i="1" s="1"/>
  <c r="I40" i="1"/>
  <c r="D39" i="1" l="1"/>
  <c r="J38" i="1"/>
  <c r="I21" i="1"/>
  <c r="J21" i="1" s="1"/>
  <c r="D40" i="1" l="1"/>
  <c r="J39" i="1"/>
  <c r="D41" i="1" l="1"/>
  <c r="J41" i="1" s="1"/>
  <c r="J40" i="1"/>
  <c r="C20" i="6"/>
  <c r="K20" i="6" s="1"/>
  <c r="C38" i="6"/>
  <c r="K38" i="6"/>
  <c r="Q38" i="6" s="1"/>
  <c r="R38" i="6" s="1"/>
  <c r="S38" i="6" s="1"/>
  <c r="C12" i="6"/>
  <c r="K12" i="6" s="1"/>
  <c r="C42" i="6"/>
  <c r="K42" i="6"/>
  <c r="Q42" i="6" s="1"/>
  <c r="R42" i="6" s="1"/>
  <c r="C5" i="6"/>
  <c r="K5" i="6" s="1"/>
  <c r="C18" i="6"/>
  <c r="K18" i="6"/>
  <c r="Q18" i="6"/>
  <c r="R18" i="6" s="1"/>
  <c r="C11" i="6"/>
  <c r="K11" i="6"/>
  <c r="C30" i="6"/>
  <c r="K30" i="6" s="1"/>
  <c r="C7" i="6"/>
  <c r="K7" i="6"/>
  <c r="Q7" i="6" s="1"/>
  <c r="R7" i="6" s="1"/>
  <c r="C28" i="6"/>
  <c r="K28" i="6" s="1"/>
  <c r="C31" i="6"/>
  <c r="K31" i="6" s="1"/>
  <c r="C32" i="6"/>
  <c r="K32" i="6"/>
  <c r="Q32" i="6" s="1"/>
  <c r="R32" i="6" s="1"/>
  <c r="C10" i="6"/>
  <c r="K10" i="6" s="1"/>
  <c r="C19" i="6"/>
  <c r="K19" i="6"/>
  <c r="Q19" i="6" s="1"/>
  <c r="R19" i="6" s="1"/>
  <c r="C8" i="6"/>
  <c r="K8" i="6" s="1"/>
  <c r="C13" i="6"/>
  <c r="K13" i="6"/>
  <c r="Q13" i="6" s="1"/>
  <c r="R13" i="6" s="1"/>
  <c r="C25" i="6"/>
  <c r="K25" i="6" s="1"/>
  <c r="C43" i="6"/>
  <c r="K43" i="6"/>
  <c r="Q43" i="6" s="1"/>
  <c r="R43" i="6" s="1"/>
  <c r="C40" i="6"/>
  <c r="K40" i="6" s="1"/>
  <c r="C37" i="6"/>
  <c r="K37" i="6"/>
  <c r="Q37" i="6" s="1"/>
  <c r="R37" i="6" s="1"/>
  <c r="C9" i="6"/>
  <c r="K9" i="6" s="1"/>
  <c r="C39" i="6"/>
  <c r="K39" i="6" s="1"/>
  <c r="C6" i="6"/>
  <c r="K6" i="6" s="1"/>
  <c r="C21" i="6"/>
  <c r="K21" i="6"/>
  <c r="Q21" i="6" s="1"/>
  <c r="R21" i="6" s="1"/>
  <c r="C17" i="6"/>
  <c r="K17" i="6"/>
  <c r="Q17" i="6"/>
  <c r="R17" i="6" s="1"/>
  <c r="C35" i="6"/>
  <c r="K35" i="6"/>
  <c r="Q35" i="6" s="1"/>
  <c r="R35" i="6" s="1"/>
  <c r="S35" i="6" s="1"/>
  <c r="C29" i="6"/>
  <c r="K29" i="6"/>
  <c r="C16" i="6"/>
  <c r="K16" i="6"/>
  <c r="Q16" i="6" s="1"/>
  <c r="R16" i="6" s="1"/>
  <c r="S16" i="6" s="1"/>
  <c r="C26" i="6"/>
  <c r="K26" i="6"/>
  <c r="Q26" i="6"/>
  <c r="R26" i="6" s="1"/>
  <c r="C33" i="6"/>
  <c r="K33" i="6"/>
  <c r="C34" i="6"/>
  <c r="K34" i="6" s="1"/>
  <c r="C36" i="6"/>
  <c r="K36" i="6"/>
  <c r="Q36" i="6" s="1"/>
  <c r="R36" i="6" s="1"/>
  <c r="C23" i="6"/>
  <c r="K23" i="6"/>
  <c r="Q23" i="6" s="1"/>
  <c r="R23" i="6" s="1"/>
  <c r="C14" i="6"/>
  <c r="K14" i="6"/>
  <c r="Q14" i="6" s="1"/>
  <c r="R14" i="6" s="1"/>
  <c r="C27" i="6"/>
  <c r="K27" i="6" s="1"/>
  <c r="C24" i="6"/>
  <c r="K24" i="6"/>
  <c r="C15" i="6"/>
  <c r="K15" i="6"/>
  <c r="Q15" i="6" s="1"/>
  <c r="R15" i="6" s="1"/>
  <c r="C22" i="6"/>
  <c r="K22" i="6"/>
  <c r="Q22" i="6" s="1"/>
  <c r="R22" i="6" s="1"/>
  <c r="C41" i="6"/>
  <c r="K41" i="6" s="1"/>
  <c r="J3" i="6"/>
  <c r="K3" i="6" s="1"/>
  <c r="C4" i="6"/>
  <c r="K4" i="6"/>
  <c r="Q4" i="6" s="1"/>
  <c r="R4" i="6" s="1"/>
  <c r="S4" i="6" s="1"/>
  <c r="S26" i="6" l="1"/>
  <c r="S17" i="6"/>
  <c r="V17" i="6" s="1"/>
  <c r="S21" i="6"/>
  <c r="V21" i="6" s="1"/>
  <c r="S15" i="6"/>
  <c r="T15" i="6" s="1"/>
  <c r="Q29" i="6"/>
  <c r="R29" i="6" s="1"/>
  <c r="S29" i="6" s="1"/>
  <c r="Q11" i="6"/>
  <c r="R11" i="6" s="1"/>
  <c r="S11" i="6" s="1"/>
  <c r="Q12" i="6"/>
  <c r="R12" i="6" s="1"/>
  <c r="S12" i="6" s="1"/>
  <c r="V26" i="6"/>
  <c r="T26" i="6"/>
  <c r="V4" i="6"/>
  <c r="T4" i="6"/>
  <c r="Q41" i="6"/>
  <c r="R41" i="6" s="1"/>
  <c r="S41" i="6" s="1"/>
  <c r="Q8" i="6"/>
  <c r="R8" i="6" s="1"/>
  <c r="S8" i="6" s="1"/>
  <c r="Q27" i="6"/>
  <c r="R27" i="6" s="1"/>
  <c r="S27" i="6" s="1"/>
  <c r="S43" i="6"/>
  <c r="V16" i="6"/>
  <c r="T16" i="6"/>
  <c r="Q9" i="6"/>
  <c r="R9" i="6" s="1"/>
  <c r="S9" i="6"/>
  <c r="Q25" i="6"/>
  <c r="R25" i="6" s="1"/>
  <c r="S25" i="6"/>
  <c r="Q10" i="6"/>
  <c r="R10" i="6" s="1"/>
  <c r="S10" i="6" s="1"/>
  <c r="Q5" i="6"/>
  <c r="R5" i="6" s="1"/>
  <c r="S5" i="6" s="1"/>
  <c r="Q20" i="6"/>
  <c r="R20" i="6" s="1"/>
  <c r="S20" i="6" s="1"/>
  <c r="Q31" i="6"/>
  <c r="R31" i="6" s="1"/>
  <c r="S31" i="6" s="1"/>
  <c r="S36" i="6"/>
  <c r="Q28" i="6"/>
  <c r="R28" i="6" s="1"/>
  <c r="S28" i="6" s="1"/>
  <c r="S22" i="6"/>
  <c r="Q6" i="6"/>
  <c r="R6" i="6" s="1"/>
  <c r="S6" i="6" s="1"/>
  <c r="S14" i="6"/>
  <c r="Q39" i="6"/>
  <c r="R39" i="6" s="1"/>
  <c r="S39" i="6" s="1"/>
  <c r="Q30" i="6"/>
  <c r="R30" i="6" s="1"/>
  <c r="S30" i="6" s="1"/>
  <c r="Q40" i="6"/>
  <c r="R40" i="6" s="1"/>
  <c r="S40" i="6"/>
  <c r="V35" i="6"/>
  <c r="T35" i="6"/>
  <c r="T38" i="6"/>
  <c r="V38" i="6"/>
  <c r="S19" i="6"/>
  <c r="S18" i="6"/>
  <c r="Q34" i="6"/>
  <c r="R34" i="6" s="1"/>
  <c r="S34" i="6" s="1"/>
  <c r="S7" i="6"/>
  <c r="T17" i="6"/>
  <c r="S23" i="6"/>
  <c r="S37" i="6"/>
  <c r="S13" i="6"/>
  <c r="S32" i="6"/>
  <c r="S42" i="6"/>
  <c r="Q24" i="6"/>
  <c r="R24" i="6" s="1"/>
  <c r="S24" i="6" s="1"/>
  <c r="L3" i="6"/>
  <c r="Q3" i="6" s="1"/>
  <c r="R3" i="6" s="1"/>
  <c r="Q33" i="6"/>
  <c r="R33" i="6" s="1"/>
  <c r="S33" i="6" s="1"/>
  <c r="T11" i="6" l="1"/>
  <c r="V11" i="6"/>
  <c r="T29" i="6"/>
  <c r="V29" i="6"/>
  <c r="T21" i="6"/>
  <c r="W21" i="6" s="1"/>
  <c r="V15" i="6"/>
  <c r="T3" i="6"/>
  <c r="U3" i="6" s="1"/>
  <c r="V28" i="6"/>
  <c r="T28" i="6"/>
  <c r="V41" i="6"/>
  <c r="T41" i="6"/>
  <c r="T5" i="6"/>
  <c r="V5" i="6"/>
  <c r="V44" i="6"/>
  <c r="V24" i="6"/>
  <c r="T24" i="6"/>
  <c r="T34" i="6"/>
  <c r="V34" i="6"/>
  <c r="V10" i="6"/>
  <c r="T10" i="6"/>
  <c r="U38" i="6"/>
  <c r="W38" i="6"/>
  <c r="W35" i="6"/>
  <c r="U35" i="6"/>
  <c r="T43" i="6"/>
  <c r="V43" i="6"/>
  <c r="V42" i="6"/>
  <c r="T42" i="6"/>
  <c r="U16" i="6"/>
  <c r="W16" i="6"/>
  <c r="U17" i="6"/>
  <c r="W17" i="6"/>
  <c r="T39" i="6"/>
  <c r="V39" i="6"/>
  <c r="U29" i="6"/>
  <c r="W29" i="6"/>
  <c r="V32" i="6"/>
  <c r="T32" i="6"/>
  <c r="V9" i="6"/>
  <c r="T9" i="6"/>
  <c r="T8" i="6"/>
  <c r="V8" i="6"/>
  <c r="W15" i="6"/>
  <c r="U15" i="6"/>
  <c r="W11" i="6"/>
  <c r="U11" i="6"/>
  <c r="V7" i="6"/>
  <c r="T7" i="6"/>
  <c r="T31" i="6"/>
  <c r="V31" i="6"/>
  <c r="T25" i="6"/>
  <c r="V25" i="6"/>
  <c r="V40" i="6"/>
  <c r="T40" i="6"/>
  <c r="V12" i="6"/>
  <c r="T12" i="6"/>
  <c r="V18" i="6"/>
  <c r="T18" i="6"/>
  <c r="V33" i="6"/>
  <c r="T33" i="6"/>
  <c r="V36" i="6"/>
  <c r="T36" i="6"/>
  <c r="W26" i="6"/>
  <c r="U26" i="6"/>
  <c r="V27" i="6"/>
  <c r="T27" i="6"/>
  <c r="T14" i="6"/>
  <c r="V14" i="6"/>
  <c r="V13" i="6"/>
  <c r="T13" i="6"/>
  <c r="T6" i="6"/>
  <c r="V6" i="6"/>
  <c r="V20" i="6"/>
  <c r="T20" i="6"/>
  <c r="V37" i="6"/>
  <c r="T37" i="6"/>
  <c r="V30" i="6"/>
  <c r="T30" i="6"/>
  <c r="V23" i="6"/>
  <c r="T23" i="6"/>
  <c r="V19" i="6"/>
  <c r="T19" i="6"/>
  <c r="T22" i="6"/>
  <c r="V22" i="6"/>
  <c r="U4" i="6"/>
  <c r="W4" i="6"/>
  <c r="T44" i="6" l="1"/>
  <c r="T45" i="6" s="1"/>
  <c r="X9" i="6" s="1"/>
  <c r="U21" i="6"/>
  <c r="S46" i="6"/>
  <c r="S47" i="6" s="1"/>
  <c r="X5" i="6"/>
  <c r="W33" i="6"/>
  <c r="U33" i="6"/>
  <c r="W30" i="6"/>
  <c r="U30" i="6"/>
  <c r="U13" i="6"/>
  <c r="W13" i="6"/>
  <c r="U36" i="6"/>
  <c r="W36" i="6"/>
  <c r="W40" i="6"/>
  <c r="U40" i="6"/>
  <c r="U32" i="6"/>
  <c r="W32" i="6"/>
  <c r="W42" i="6"/>
  <c r="U42" i="6"/>
  <c r="U10" i="6"/>
  <c r="W10" i="6"/>
  <c r="U14" i="6"/>
  <c r="W14" i="6"/>
  <c r="W5" i="6"/>
  <c r="U5" i="6"/>
  <c r="U41" i="6"/>
  <c r="W41" i="6"/>
  <c r="U20" i="6"/>
  <c r="W20" i="6"/>
  <c r="W8" i="6"/>
  <c r="U8" i="6"/>
  <c r="W39" i="6"/>
  <c r="U39" i="6"/>
  <c r="U43" i="6"/>
  <c r="W43" i="6"/>
  <c r="U34" i="6"/>
  <c r="W34" i="6"/>
  <c r="U37" i="6"/>
  <c r="W37" i="6"/>
  <c r="W27" i="6"/>
  <c r="U27" i="6"/>
  <c r="W12" i="6"/>
  <c r="U12" i="6"/>
  <c r="W28" i="6"/>
  <c r="U28" i="6"/>
  <c r="W22" i="6"/>
  <c r="U22" i="6"/>
  <c r="U25" i="6"/>
  <c r="W25" i="6"/>
  <c r="W19" i="6"/>
  <c r="U19" i="6"/>
  <c r="W18" i="6"/>
  <c r="U18" i="6"/>
  <c r="W31" i="6"/>
  <c r="U31" i="6"/>
  <c r="U23" i="6"/>
  <c r="W23" i="6"/>
  <c r="U7" i="6"/>
  <c r="W7" i="6"/>
  <c r="U9" i="6"/>
  <c r="W9" i="6"/>
  <c r="U24" i="6"/>
  <c r="W24" i="6"/>
  <c r="U6" i="6"/>
  <c r="W6" i="6"/>
  <c r="X7" i="6" l="1"/>
  <c r="X12" i="6"/>
  <c r="X6" i="6"/>
  <c r="X10" i="6"/>
  <c r="X4" i="6"/>
  <c r="X8" i="6"/>
  <c r="X11" i="6"/>
  <c r="C40" i="8"/>
  <c r="K40" i="8"/>
  <c r="C17" i="8"/>
  <c r="K17" i="8" s="1"/>
  <c r="C13" i="8"/>
  <c r="K13" i="8" s="1"/>
  <c r="C22" i="8"/>
  <c r="K22" i="8"/>
  <c r="C34" i="8"/>
  <c r="K34" i="8" s="1"/>
  <c r="C42" i="8"/>
  <c r="K42" i="8"/>
  <c r="C41" i="8"/>
  <c r="K41" i="8" s="1"/>
  <c r="C25" i="8"/>
  <c r="K25" i="8"/>
  <c r="C21" i="8"/>
  <c r="K21" i="8" s="1"/>
  <c r="C9" i="8"/>
  <c r="K9" i="8"/>
  <c r="C39" i="8"/>
  <c r="K39" i="8" s="1"/>
  <c r="C5" i="8"/>
  <c r="K5" i="8"/>
  <c r="Q5" i="8" s="1"/>
  <c r="R5" i="8" s="1"/>
  <c r="C12" i="8"/>
  <c r="K12" i="8" s="1"/>
  <c r="C28" i="8"/>
  <c r="K28" i="8"/>
  <c r="C14" i="8"/>
  <c r="K14" i="8" s="1"/>
  <c r="C26" i="8"/>
  <c r="K26" i="8"/>
  <c r="K3" i="8"/>
  <c r="Q3" i="8" s="1"/>
  <c r="R3" i="8" s="1"/>
  <c r="C19" i="8"/>
  <c r="K19" i="8"/>
  <c r="Q19" i="8" s="1"/>
  <c r="R19" i="8" s="1"/>
  <c r="C29" i="8"/>
  <c r="K29" i="8"/>
  <c r="Q29" i="8"/>
  <c r="R29" i="8" s="1"/>
  <c r="C18" i="8"/>
  <c r="K18" i="8"/>
  <c r="C37" i="8"/>
  <c r="K37" i="8"/>
  <c r="S37" i="8" s="1"/>
  <c r="Q37" i="8"/>
  <c r="R37" i="8" s="1"/>
  <c r="C27" i="8"/>
  <c r="K27" i="8"/>
  <c r="Q27" i="8" s="1"/>
  <c r="R27" i="8" s="1"/>
  <c r="C23" i="8"/>
  <c r="K23" i="8"/>
  <c r="Q23" i="8"/>
  <c r="R23" i="8" s="1"/>
  <c r="C10" i="8"/>
  <c r="K10" i="8"/>
  <c r="C30" i="8"/>
  <c r="K30" i="8"/>
  <c r="Q30" i="8"/>
  <c r="R30" i="8" s="1"/>
  <c r="C33" i="8"/>
  <c r="K33" i="8"/>
  <c r="Q33" i="8" s="1"/>
  <c r="R33" i="8" s="1"/>
  <c r="C16" i="8"/>
  <c r="K16" i="8" s="1"/>
  <c r="C35" i="8"/>
  <c r="K35" i="8"/>
  <c r="S35" i="8" s="1"/>
  <c r="Q35" i="8"/>
  <c r="R35" i="8" s="1"/>
  <c r="C43" i="8"/>
  <c r="K43" i="8"/>
  <c r="Q43" i="8" s="1"/>
  <c r="R43" i="8" s="1"/>
  <c r="C6" i="8"/>
  <c r="K6" i="8"/>
  <c r="Q6" i="8"/>
  <c r="R6" i="8" s="1"/>
  <c r="C36" i="8"/>
  <c r="K36" i="8"/>
  <c r="C20" i="8"/>
  <c r="K20" i="8"/>
  <c r="Q20" i="8"/>
  <c r="R20" i="8" s="1"/>
  <c r="S20" i="8" s="1"/>
  <c r="C32" i="8"/>
  <c r="K32" i="8"/>
  <c r="C8" i="8"/>
  <c r="K8" i="8"/>
  <c r="Q8" i="8"/>
  <c r="R8" i="8" s="1"/>
  <c r="C7" i="8"/>
  <c r="K7" i="8"/>
  <c r="F3" i="8"/>
  <c r="L3" i="8"/>
  <c r="C11" i="8"/>
  <c r="K11" i="8"/>
  <c r="C38" i="8"/>
  <c r="K38" i="8" s="1"/>
  <c r="C15" i="8"/>
  <c r="K15" i="8"/>
  <c r="J3" i="8"/>
  <c r="C31" i="8"/>
  <c r="K31" i="8"/>
  <c r="S31" i="8" s="1"/>
  <c r="Q31" i="8"/>
  <c r="R31" i="8"/>
  <c r="C4" i="8"/>
  <c r="K4" i="8" s="1"/>
  <c r="C24" i="8"/>
  <c r="K24" i="8"/>
  <c r="S24" i="8" s="1"/>
  <c r="Q24" i="8"/>
  <c r="R24" i="8"/>
  <c r="T37" i="8" l="1"/>
  <c r="V37" i="8"/>
  <c r="Q41" i="8"/>
  <c r="R41" i="8" s="1"/>
  <c r="S41" i="8"/>
  <c r="S40" i="8"/>
  <c r="S10" i="8"/>
  <c r="S8" i="8"/>
  <c r="Q39" i="8"/>
  <c r="R39" i="8" s="1"/>
  <c r="S39" i="8" s="1"/>
  <c r="T31" i="8"/>
  <c r="V31" i="8"/>
  <c r="Q14" i="8"/>
  <c r="R14" i="8" s="1"/>
  <c r="S14" i="8"/>
  <c r="S29" i="8"/>
  <c r="Q21" i="8"/>
  <c r="R21" i="8" s="1"/>
  <c r="S21" i="8"/>
  <c r="V35" i="8"/>
  <c r="T35" i="8"/>
  <c r="Q38" i="8"/>
  <c r="R38" i="8" s="1"/>
  <c r="S38" i="8"/>
  <c r="S23" i="8"/>
  <c r="Q34" i="8"/>
  <c r="R34" i="8" s="1"/>
  <c r="S34" i="8"/>
  <c r="S22" i="8"/>
  <c r="S7" i="8"/>
  <c r="S30" i="8"/>
  <c r="Q13" i="8"/>
  <c r="R13" i="8" s="1"/>
  <c r="S13" i="8"/>
  <c r="Q4" i="8"/>
  <c r="R4" i="8" s="1"/>
  <c r="S4" i="8" s="1"/>
  <c r="Q16" i="8"/>
  <c r="R16" i="8" s="1"/>
  <c r="S16" i="8"/>
  <c r="S6" i="8"/>
  <c r="S9" i="8"/>
  <c r="T20" i="8"/>
  <c r="V20" i="8"/>
  <c r="T24" i="8"/>
  <c r="V24" i="8"/>
  <c r="S15" i="8"/>
  <c r="Q12" i="8"/>
  <c r="R12" i="8" s="1"/>
  <c r="S12" i="8" s="1"/>
  <c r="Q17" i="8"/>
  <c r="R17" i="8" s="1"/>
  <c r="S17" i="8"/>
  <c r="S5" i="8"/>
  <c r="Q15" i="8"/>
  <c r="R15" i="8" s="1"/>
  <c r="Q11" i="8"/>
  <c r="R11" i="8" s="1"/>
  <c r="S11" i="8" s="1"/>
  <c r="Q26" i="8"/>
  <c r="R26" i="8" s="1"/>
  <c r="S26" i="8" s="1"/>
  <c r="Q28" i="8"/>
  <c r="R28" i="8" s="1"/>
  <c r="S28" i="8" s="1"/>
  <c r="Q9" i="8"/>
  <c r="R9" i="8" s="1"/>
  <c r="Q25" i="8"/>
  <c r="R25" i="8" s="1"/>
  <c r="S25" i="8" s="1"/>
  <c r="Q42" i="8"/>
  <c r="R42" i="8" s="1"/>
  <c r="S42" i="8" s="1"/>
  <c r="Q22" i="8"/>
  <c r="R22" i="8" s="1"/>
  <c r="Q40" i="8"/>
  <c r="R40" i="8" s="1"/>
  <c r="S27" i="8"/>
  <c r="S19" i="8"/>
  <c r="S33" i="8"/>
  <c r="S43" i="8"/>
  <c r="Q7" i="8"/>
  <c r="R7" i="8" s="1"/>
  <c r="Q32" i="8"/>
  <c r="R32" i="8" s="1"/>
  <c r="S32" i="8" s="1"/>
  <c r="Q36" i="8"/>
  <c r="R36" i="8" s="1"/>
  <c r="S36" i="8" s="1"/>
  <c r="Q10" i="8"/>
  <c r="R10" i="8" s="1"/>
  <c r="Q18" i="8"/>
  <c r="R18" i="8" s="1"/>
  <c r="S18" i="8" s="1"/>
  <c r="V32" i="8" l="1"/>
  <c r="T32" i="8"/>
  <c r="V42" i="8"/>
  <c r="T42" i="8"/>
  <c r="T39" i="8"/>
  <c r="V39" i="8"/>
  <c r="V25" i="8"/>
  <c r="T25" i="8"/>
  <c r="T12" i="8"/>
  <c r="V12" i="8"/>
  <c r="T28" i="8"/>
  <c r="V28" i="8"/>
  <c r="V26" i="8"/>
  <c r="T26" i="8"/>
  <c r="S48" i="8"/>
  <c r="T4" i="8"/>
  <c r="S44" i="8"/>
  <c r="V44" i="8" s="1"/>
  <c r="S49" i="8"/>
  <c r="S45" i="8"/>
  <c r="S46" i="8" s="1"/>
  <c r="S47" i="8" s="1"/>
  <c r="V4" i="8"/>
  <c r="T18" i="8"/>
  <c r="V18" i="8"/>
  <c r="V11" i="8"/>
  <c r="T11" i="8"/>
  <c r="V36" i="8"/>
  <c r="T36" i="8"/>
  <c r="T16" i="8"/>
  <c r="V16" i="8"/>
  <c r="V10" i="8"/>
  <c r="T10" i="8"/>
  <c r="T34" i="8"/>
  <c r="V34" i="8"/>
  <c r="W31" i="8"/>
  <c r="U31" i="8"/>
  <c r="T33" i="8"/>
  <c r="V33" i="8"/>
  <c r="V30" i="8"/>
  <c r="T30" i="8"/>
  <c r="T29" i="8"/>
  <c r="V29" i="8"/>
  <c r="V8" i="8"/>
  <c r="T8" i="8"/>
  <c r="V19" i="8"/>
  <c r="T19" i="8"/>
  <c r="T7" i="8"/>
  <c r="V7" i="8"/>
  <c r="T40" i="8"/>
  <c r="V40" i="8"/>
  <c r="W24" i="8"/>
  <c r="U24" i="8"/>
  <c r="U20" i="8"/>
  <c r="W20" i="8"/>
  <c r="V13" i="8"/>
  <c r="T13" i="8"/>
  <c r="V23" i="8"/>
  <c r="T23" i="8"/>
  <c r="V21" i="8"/>
  <c r="T21" i="8"/>
  <c r="V15" i="8"/>
  <c r="T15" i="8"/>
  <c r="T14" i="8"/>
  <c r="V14" i="8"/>
  <c r="T27" i="8"/>
  <c r="V27" i="8"/>
  <c r="V22" i="8"/>
  <c r="T22" i="8"/>
  <c r="V41" i="8"/>
  <c r="T41" i="8"/>
  <c r="V9" i="8"/>
  <c r="T9" i="8"/>
  <c r="U37" i="8"/>
  <c r="W37" i="8"/>
  <c r="V38" i="8"/>
  <c r="T38" i="8"/>
  <c r="W35" i="8"/>
  <c r="U35" i="8"/>
  <c r="T5" i="8"/>
  <c r="V5" i="8"/>
  <c r="T17" i="8"/>
  <c r="V17" i="8"/>
  <c r="T43" i="8"/>
  <c r="V43" i="8"/>
  <c r="V6" i="8"/>
  <c r="T6" i="8"/>
  <c r="U40" i="8" l="1"/>
  <c r="W40" i="8"/>
  <c r="W13" i="8"/>
  <c r="U13" i="8"/>
  <c r="W26" i="8"/>
  <c r="U26" i="8"/>
  <c r="W7" i="8"/>
  <c r="U7" i="8"/>
  <c r="U39" i="8"/>
  <c r="W39" i="8"/>
  <c r="U41" i="8"/>
  <c r="W41" i="8"/>
  <c r="U23" i="8"/>
  <c r="W23" i="8"/>
  <c r="W11" i="8"/>
  <c r="U11" i="8"/>
  <c r="U4" i="8"/>
  <c r="W4" i="8"/>
  <c r="T44" i="8"/>
  <c r="T45" i="8"/>
  <c r="W25" i="8"/>
  <c r="U25" i="8"/>
  <c r="W42" i="8"/>
  <c r="U42" i="8"/>
  <c r="W17" i="8"/>
  <c r="U17" i="8"/>
  <c r="W34" i="8"/>
  <c r="U34" i="8"/>
  <c r="W30" i="8"/>
  <c r="U30" i="8"/>
  <c r="W18" i="8"/>
  <c r="U18" i="8"/>
  <c r="W6" i="8"/>
  <c r="U6" i="8"/>
  <c r="W15" i="8"/>
  <c r="U15" i="8"/>
  <c r="W33" i="8"/>
  <c r="U33" i="8"/>
  <c r="U16" i="8"/>
  <c r="W16" i="8"/>
  <c r="W28" i="8"/>
  <c r="U28" i="8"/>
  <c r="W27" i="8"/>
  <c r="U27" i="8"/>
  <c r="W29" i="8"/>
  <c r="U29" i="8"/>
  <c r="U9" i="8"/>
  <c r="W9" i="8"/>
  <c r="U14" i="8"/>
  <c r="W14" i="8"/>
  <c r="W19" i="8"/>
  <c r="U19" i="8"/>
  <c r="W38" i="8"/>
  <c r="U38" i="8"/>
  <c r="W22" i="8"/>
  <c r="U22" i="8"/>
  <c r="W21" i="8"/>
  <c r="U21" i="8"/>
  <c r="U8" i="8"/>
  <c r="W8" i="8"/>
  <c r="U36" i="8"/>
  <c r="W36" i="8"/>
  <c r="W32" i="8"/>
  <c r="U32" i="8"/>
  <c r="W10" i="8"/>
  <c r="U10" i="8"/>
  <c r="W5" i="8"/>
  <c r="U5" i="8"/>
  <c r="U43" i="8"/>
  <c r="W43" i="8"/>
  <c r="U12" i="8"/>
  <c r="W12" i="8"/>
  <c r="X10" i="8" l="1"/>
  <c r="X11" i="8"/>
  <c r="X6" i="8"/>
  <c r="X9" i="8"/>
  <c r="X12" i="8"/>
  <c r="X7" i="8"/>
  <c r="X8" i="8"/>
  <c r="X4" i="8"/>
  <c r="X5" i="8"/>
</calcChain>
</file>

<file path=xl/sharedStrings.xml><?xml version="1.0" encoding="utf-8"?>
<sst xmlns="http://schemas.openxmlformats.org/spreadsheetml/2006/main" count="357" uniqueCount="114">
  <si>
    <t>Facility Expansion of TARGET Corportation:</t>
  </si>
  <si>
    <t>PMT</t>
  </si>
  <si>
    <t>NPV</t>
  </si>
  <si>
    <t>PV</t>
  </si>
  <si>
    <t>Estimates</t>
  </si>
  <si>
    <t>Amount</t>
  </si>
  <si>
    <t>Remarks</t>
  </si>
  <si>
    <t>Construction Cost</t>
  </si>
  <si>
    <t>PW of Cost | Financed by Bank</t>
  </si>
  <si>
    <t>M &amp; O Cost</t>
  </si>
  <si>
    <t>Annual Cost</t>
  </si>
  <si>
    <t>Labor Cost</t>
  </si>
  <si>
    <t>Total Cost at Year 20</t>
  </si>
  <si>
    <t>Useful Life</t>
  </si>
  <si>
    <t>Planned use of the facility</t>
  </si>
  <si>
    <t>Discounted Rate</t>
  </si>
  <si>
    <t>Projected Sales</t>
  </si>
  <si>
    <t>per year with an annual increase of x</t>
  </si>
  <si>
    <t>same as MARR</t>
  </si>
  <si>
    <t>Gradients</t>
  </si>
  <si>
    <t>always recurs - Arithmetic Gradient</t>
  </si>
  <si>
    <t>always starts at year 2</t>
  </si>
  <si>
    <t>GI</t>
  </si>
  <si>
    <t>YEARS</t>
  </si>
  <si>
    <t>M&amp;O</t>
  </si>
  <si>
    <t>Sales</t>
  </si>
  <si>
    <t>Increase</t>
  </si>
  <si>
    <t>Increased Sales Amt</t>
  </si>
  <si>
    <t>Total Sales</t>
  </si>
  <si>
    <t>Gross Income</t>
  </si>
  <si>
    <t>Construction Site Area</t>
  </si>
  <si>
    <t>sqft</t>
  </si>
  <si>
    <t>Cost per SQF</t>
  </si>
  <si>
    <t>USD</t>
  </si>
  <si>
    <t>$95.12 Mn</t>
  </si>
  <si>
    <t>Interest Rate of Investment</t>
  </si>
  <si>
    <t>%</t>
  </si>
  <si>
    <t>Total Investment for expansion</t>
  </si>
  <si>
    <t>$350 Mn</t>
  </si>
  <si>
    <t>per hour</t>
  </si>
  <si>
    <t>Total Laborforce</t>
  </si>
  <si>
    <t>OH</t>
  </si>
  <si>
    <t>=</t>
  </si>
  <si>
    <t>million</t>
  </si>
  <si>
    <t>M&amp;O Cost(half of Construction cost)</t>
  </si>
  <si>
    <t>Facility Location</t>
  </si>
  <si>
    <t>Puerto Rico</t>
  </si>
  <si>
    <t>3.3 mn</t>
  </si>
  <si>
    <t>U.S Virgin Islands</t>
  </si>
  <si>
    <t>0.10 mn</t>
  </si>
  <si>
    <t>MARR</t>
  </si>
  <si>
    <t>Projected Sales: $600 million for new combo drug, increasing by $0.1 million each year</t>
  </si>
  <si>
    <t>HIDE</t>
  </si>
  <si>
    <t>Equity Financing</t>
  </si>
  <si>
    <t>Debt Financing</t>
  </si>
  <si>
    <t>Full Loan</t>
  </si>
  <si>
    <t>per year</t>
  </si>
  <si>
    <t>FV or PV</t>
  </si>
  <si>
    <t>Dep</t>
  </si>
  <si>
    <t>Tax Rate</t>
  </si>
  <si>
    <t>CFAT</t>
  </si>
  <si>
    <t xml:space="preserve"> </t>
  </si>
  <si>
    <t>CFAT=GI-OE-P+S-(GI-OE-D(Te)</t>
  </si>
  <si>
    <t>Year</t>
  </si>
  <si>
    <t>OE</t>
  </si>
  <si>
    <t>P&amp;S</t>
  </si>
  <si>
    <t>dr</t>
  </si>
  <si>
    <t>D</t>
  </si>
  <si>
    <t>BV</t>
  </si>
  <si>
    <t>TI</t>
  </si>
  <si>
    <t>Taxes</t>
  </si>
  <si>
    <t>3y</t>
  </si>
  <si>
    <t>Gi - 100,000</t>
  </si>
  <si>
    <t>OE of 30k/y</t>
  </si>
  <si>
    <t>Revenue</t>
  </si>
  <si>
    <t>AW</t>
  </si>
  <si>
    <t>Loan Amount</t>
  </si>
  <si>
    <t>355+15</t>
  </si>
  <si>
    <t xml:space="preserve">per year with an annual increase of </t>
  </si>
  <si>
    <t>No Of Years</t>
  </si>
  <si>
    <t>US Virgin Islands</t>
  </si>
  <si>
    <t>Size</t>
  </si>
  <si>
    <t>Sq Foot</t>
  </si>
  <si>
    <t>No of Employees</t>
  </si>
  <si>
    <t>nos</t>
  </si>
  <si>
    <t>Population</t>
  </si>
  <si>
    <t>Salary</t>
  </si>
  <si>
    <t>hourly rate</t>
  </si>
  <si>
    <t>Wages</t>
  </si>
  <si>
    <t xml:space="preserve">Cost </t>
  </si>
  <si>
    <t>per sq foot</t>
  </si>
  <si>
    <t>IRR</t>
  </si>
  <si>
    <t>Period</t>
  </si>
  <si>
    <t>years</t>
  </si>
  <si>
    <t>increase by 15%</t>
  </si>
  <si>
    <t>all in millions</t>
  </si>
  <si>
    <t>Investment Loan Amount</t>
  </si>
  <si>
    <t>million $</t>
  </si>
  <si>
    <t>Sales Increase</t>
  </si>
  <si>
    <t>Operating Expenses</t>
  </si>
  <si>
    <t>Book Value</t>
  </si>
  <si>
    <t>Inv x dr</t>
  </si>
  <si>
    <t>D2</t>
  </si>
  <si>
    <t>Inv - D2</t>
  </si>
  <si>
    <t>GI + OE - D</t>
  </si>
  <si>
    <t>Annual Worth</t>
  </si>
  <si>
    <t>NPV(MARR,CFAT)</t>
  </si>
  <si>
    <t>GI + OE - P&amp;S - D - (TI*Te)</t>
  </si>
  <si>
    <t>Present Value</t>
  </si>
  <si>
    <t>ASHELY</t>
  </si>
  <si>
    <t>NIRAJ</t>
  </si>
  <si>
    <t>PAYBACK</t>
  </si>
  <si>
    <t>AVG CFAT</t>
  </si>
  <si>
    <t>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</si>
</sst>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_);[Red]\(&quot;$&quot;#,##0.0\)"/>
    <numFmt numFmtId="169" formatCode="0.0%"/>
    <numFmt numFmtId="170" formatCode="&quot;$&quot;#,##0.00"/>
    <numFmt numFmtId="176" formatCode="0.000"/>
    <numFmt numFmtId="177" formatCode="0.0"/>
    <numFmt numFmtId="179" formatCode="&quot;$&quot;#,##0"/>
    <numFmt numFmtId="184" formatCode="0.000%"/>
    <numFmt numFmtId="185" formatCode="&quot;$&quot;#,##0.000_);[Red]\(&quot;$&quot;#,##0.000\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444444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00B050"/>
      <name val="Times New Roman"/>
      <family val="1"/>
    </font>
    <font>
      <sz val="12"/>
      <color rgb="FF00B05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6" fontId="0" fillId="2" borderId="1" xfId="0" applyNumberFormat="1" applyFill="1" applyBorder="1"/>
    <xf numFmtId="165" fontId="0" fillId="2" borderId="1" xfId="0" applyNumberFormat="1" applyFill="1" applyBorder="1"/>
    <xf numFmtId="8" fontId="0" fillId="2" borderId="0" xfId="0" applyNumberFormat="1" applyFill="1"/>
    <xf numFmtId="165" fontId="0" fillId="2" borderId="0" xfId="0" applyNumberFormat="1" applyFill="1"/>
    <xf numFmtId="0" fontId="3" fillId="0" borderId="0" xfId="0" applyFont="1" applyAlignment="1">
      <alignment horizontal="left"/>
    </xf>
    <xf numFmtId="9" fontId="0" fillId="2" borderId="0" xfId="0" applyNumberFormat="1" applyFill="1"/>
    <xf numFmtId="3" fontId="0" fillId="2" borderId="0" xfId="0" applyNumberFormat="1" applyFill="1" applyAlignment="1">
      <alignment horizontal="center"/>
    </xf>
    <xf numFmtId="9" fontId="0" fillId="2" borderId="1" xfId="2" applyFont="1" applyFill="1" applyBorder="1"/>
    <xf numFmtId="0" fontId="4" fillId="0" borderId="0" xfId="0" applyFont="1"/>
    <xf numFmtId="6" fontId="0" fillId="0" borderId="0" xfId="0" applyNumberFormat="1"/>
    <xf numFmtId="6" fontId="4" fillId="0" borderId="0" xfId="0" applyNumberFormat="1" applyFont="1"/>
    <xf numFmtId="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8" fontId="0" fillId="2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8" fontId="0" fillId="2" borderId="7" xfId="0" applyNumberFormat="1" applyFill="1" applyBorder="1" applyAlignment="1">
      <alignment horizontal="center" vertical="center"/>
    </xf>
    <xf numFmtId="8" fontId="0" fillId="2" borderId="9" xfId="0" applyNumberFormat="1" applyFill="1" applyBorder="1" applyAlignment="1">
      <alignment horizontal="center" vertical="center"/>
    </xf>
    <xf numFmtId="8" fontId="0" fillId="2" borderId="10" xfId="0" applyNumberFormat="1" applyFill="1" applyBorder="1" applyAlignment="1">
      <alignment horizontal="center" vertical="center"/>
    </xf>
    <xf numFmtId="8" fontId="0" fillId="2" borderId="0" xfId="0" applyNumberFormat="1" applyFill="1" applyAlignment="1">
      <alignment horizontal="center" vertical="center"/>
    </xf>
    <xf numFmtId="8" fontId="2" fillId="3" borderId="3" xfId="0" applyNumberFormat="1" applyFont="1" applyFill="1" applyBorder="1" applyAlignment="1">
      <alignment horizontal="center" vertical="center"/>
    </xf>
    <xf numFmtId="8" fontId="2" fillId="3" borderId="4" xfId="0" applyNumberFormat="1" applyFont="1" applyFill="1" applyBorder="1" applyAlignment="1">
      <alignment horizontal="center" vertical="center" wrapText="1"/>
    </xf>
    <xf numFmtId="8" fontId="2" fillId="3" borderId="4" xfId="0" applyNumberFormat="1" applyFont="1" applyFill="1" applyBorder="1" applyAlignment="1">
      <alignment horizontal="center" vertical="center"/>
    </xf>
    <xf numFmtId="8" fontId="2" fillId="3" borderId="5" xfId="0" applyNumberFormat="1" applyFont="1" applyFill="1" applyBorder="1" applyAlignment="1">
      <alignment horizontal="center" vertical="center"/>
    </xf>
    <xf numFmtId="8" fontId="0" fillId="2" borderId="6" xfId="0" applyNumberFormat="1" applyFill="1" applyBorder="1" applyAlignment="1">
      <alignment horizontal="center" vertical="center"/>
    </xf>
    <xf numFmtId="8" fontId="0" fillId="2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8" fontId="0" fillId="2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69" fontId="6" fillId="0" borderId="1" xfId="2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/>
    </xf>
    <xf numFmtId="44" fontId="6" fillId="0" borderId="11" xfId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44" fontId="6" fillId="0" borderId="11" xfId="0" applyNumberFormat="1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169" fontId="6" fillId="0" borderId="11" xfId="2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44" fontId="6" fillId="0" borderId="12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4" fontId="6" fillId="0" borderId="12" xfId="0" applyNumberFormat="1" applyFont="1" applyBorder="1" applyAlignment="1">
      <alignment horizontal="center" vertical="center"/>
    </xf>
    <xf numFmtId="44" fontId="6" fillId="0" borderId="12" xfId="1" applyNumberFormat="1" applyFont="1" applyBorder="1" applyAlignment="1">
      <alignment horizontal="center" vertical="center"/>
    </xf>
    <xf numFmtId="9" fontId="6" fillId="0" borderId="12" xfId="2" applyFont="1" applyBorder="1" applyAlignment="1">
      <alignment horizontal="center" vertical="center"/>
    </xf>
    <xf numFmtId="9" fontId="6" fillId="0" borderId="12" xfId="0" applyNumberFormat="1" applyFont="1" applyBorder="1" applyAlignment="1">
      <alignment horizontal="center" vertical="center"/>
    </xf>
    <xf numFmtId="169" fontId="6" fillId="0" borderId="12" xfId="2" applyNumberFormat="1" applyFont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44" fontId="6" fillId="0" borderId="0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8" fontId="6" fillId="0" borderId="1" xfId="0" applyNumberFormat="1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0" fontId="6" fillId="0" borderId="1" xfId="0" applyNumberFormat="1" applyFont="1" applyBorder="1" applyAlignment="1">
      <alignment horizontal="center" vertical="center"/>
    </xf>
    <xf numFmtId="3" fontId="12" fillId="0" borderId="14" xfId="0" applyNumberFormat="1" applyFont="1" applyBorder="1" applyAlignment="1">
      <alignment horizontal="center" vertical="center"/>
    </xf>
    <xf numFmtId="44" fontId="12" fillId="0" borderId="14" xfId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4" xfId="0" applyNumberFormat="1" applyFont="1" applyBorder="1" applyAlignment="1">
      <alignment horizontal="center" vertical="center"/>
    </xf>
    <xf numFmtId="164" fontId="12" fillId="0" borderId="14" xfId="0" applyNumberFormat="1" applyFont="1" applyBorder="1" applyAlignment="1">
      <alignment horizontal="center" vertical="center"/>
    </xf>
    <xf numFmtId="9" fontId="12" fillId="0" borderId="14" xfId="2" applyFont="1" applyBorder="1" applyAlignment="1">
      <alignment horizontal="center" vertical="center"/>
    </xf>
    <xf numFmtId="9" fontId="12" fillId="0" borderId="14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85" fontId="6" fillId="0" borderId="1" xfId="0" applyNumberFormat="1" applyFont="1" applyBorder="1" applyAlignment="1">
      <alignment horizontal="center" vertical="center"/>
    </xf>
    <xf numFmtId="184" fontId="6" fillId="0" borderId="1" xfId="2" applyNumberFormat="1" applyFont="1" applyBorder="1" applyAlignment="1">
      <alignment horizontal="center" vertical="center"/>
    </xf>
    <xf numFmtId="185" fontId="6" fillId="0" borderId="0" xfId="0" applyNumberFormat="1" applyFont="1" applyAlignment="1">
      <alignment horizontal="center" vertical="center"/>
    </xf>
    <xf numFmtId="8" fontId="6" fillId="0" borderId="0" xfId="0" applyNumberFormat="1" applyFont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9" fontId="8" fillId="6" borderId="0" xfId="0" applyNumberFormat="1" applyFont="1" applyFill="1" applyAlignment="1">
      <alignment horizontal="center" vertical="center"/>
    </xf>
    <xf numFmtId="9" fontId="12" fillId="0" borderId="14" xfId="2" applyNumberFormat="1" applyFont="1" applyBorder="1" applyAlignment="1">
      <alignment horizontal="center" vertical="center"/>
    </xf>
    <xf numFmtId="9" fontId="11" fillId="6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8" fontId="6" fillId="10" borderId="0" xfId="0" applyNumberFormat="1" applyFont="1" applyFill="1" applyAlignment="1">
      <alignment horizontal="center" vertical="center"/>
    </xf>
    <xf numFmtId="185" fontId="5" fillId="0" borderId="1" xfId="0" applyNumberFormat="1" applyFont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8185-E7BE-5B44-A454-E14C2272B74B}">
  <dimension ref="A3:AC58"/>
  <sheetViews>
    <sheetView zoomScale="190" zoomScaleNormal="130" workbookViewId="0">
      <selection activeCell="C11" sqref="C11:C18"/>
    </sheetView>
  </sheetViews>
  <sheetFormatPr baseColWidth="10" defaultRowHeight="16" x14ac:dyDescent="0.2"/>
  <cols>
    <col min="1" max="1" width="10.83203125" style="2"/>
    <col min="2" max="2" width="15.33203125" style="2" bestFit="1" customWidth="1"/>
    <col min="3" max="3" width="11.83203125" style="2" bestFit="1" customWidth="1"/>
    <col min="4" max="13" width="10.83203125" style="2"/>
    <col min="14" max="14" width="14" style="2" bestFit="1" customWidth="1"/>
    <col min="15" max="26" width="10.83203125" style="2"/>
    <col min="27" max="27" width="14" style="2" bestFit="1" customWidth="1"/>
    <col min="28" max="16384" width="10.83203125" style="2"/>
  </cols>
  <sheetData>
    <row r="3" spans="1:28" x14ac:dyDescent="0.2">
      <c r="A3" s="2" t="s">
        <v>0</v>
      </c>
    </row>
    <row r="6" spans="1:28" x14ac:dyDescent="0.2">
      <c r="A6" s="2" t="s">
        <v>1</v>
      </c>
    </row>
    <row r="7" spans="1:28" x14ac:dyDescent="0.2">
      <c r="A7" s="2" t="s">
        <v>2</v>
      </c>
    </row>
    <row r="8" spans="1:28" x14ac:dyDescent="0.2">
      <c r="A8" s="2" t="s">
        <v>3</v>
      </c>
    </row>
    <row r="9" spans="1:28" x14ac:dyDescent="0.2">
      <c r="A9" s="2" t="s">
        <v>19</v>
      </c>
    </row>
    <row r="10" spans="1:28" x14ac:dyDescent="0.2">
      <c r="B10" s="4" t="s">
        <v>4</v>
      </c>
      <c r="C10" s="4" t="s">
        <v>5</v>
      </c>
      <c r="D10" s="4" t="s">
        <v>6</v>
      </c>
    </row>
    <row r="11" spans="1:28" x14ac:dyDescent="0.2">
      <c r="B11" s="5" t="s">
        <v>7</v>
      </c>
      <c r="C11" s="13">
        <v>100</v>
      </c>
      <c r="D11" s="5" t="s">
        <v>8</v>
      </c>
      <c r="G11" s="2" t="s">
        <v>53</v>
      </c>
      <c r="I11" s="2" t="s">
        <v>54</v>
      </c>
      <c r="J11" s="2" t="s">
        <v>55</v>
      </c>
    </row>
    <row r="12" spans="1:28" x14ac:dyDescent="0.2">
      <c r="B12" s="5" t="s">
        <v>9</v>
      </c>
      <c r="C12" s="13">
        <v>45</v>
      </c>
      <c r="D12" s="5" t="s">
        <v>10</v>
      </c>
    </row>
    <row r="13" spans="1:28" x14ac:dyDescent="0.2">
      <c r="B13" s="5" t="s">
        <v>11</v>
      </c>
      <c r="C13" s="13">
        <v>100</v>
      </c>
      <c r="D13" s="5" t="s">
        <v>12</v>
      </c>
    </row>
    <row r="14" spans="1:28" x14ac:dyDescent="0.2">
      <c r="B14" s="5" t="s">
        <v>13</v>
      </c>
      <c r="C14" s="5">
        <v>20</v>
      </c>
      <c r="D14" s="5" t="s">
        <v>14</v>
      </c>
    </row>
    <row r="15" spans="1:28" x14ac:dyDescent="0.2">
      <c r="B15" s="5" t="s">
        <v>15</v>
      </c>
      <c r="C15" s="20">
        <v>0.1</v>
      </c>
      <c r="D15" s="5" t="s">
        <v>18</v>
      </c>
      <c r="Z15" s="6" t="s">
        <v>30</v>
      </c>
      <c r="AA15" s="7">
        <v>191000</v>
      </c>
      <c r="AB15" s="6" t="s">
        <v>31</v>
      </c>
    </row>
    <row r="16" spans="1:28" x14ac:dyDescent="0.2">
      <c r="B16" s="5" t="s">
        <v>16</v>
      </c>
      <c r="C16" s="20">
        <v>0.15</v>
      </c>
      <c r="D16" s="5" t="s">
        <v>78</v>
      </c>
      <c r="G16" s="2" t="s">
        <v>20</v>
      </c>
      <c r="J16" s="2" t="s">
        <v>21</v>
      </c>
      <c r="L16" s="2" t="s">
        <v>22</v>
      </c>
      <c r="Z16" s="6" t="s">
        <v>32</v>
      </c>
      <c r="AA16" s="8">
        <v>498</v>
      </c>
      <c r="AB16" s="6" t="s">
        <v>33</v>
      </c>
    </row>
    <row r="17" spans="2:29" x14ac:dyDescent="0.2">
      <c r="B17" s="5" t="s">
        <v>29</v>
      </c>
      <c r="C17" s="14"/>
      <c r="D17" s="5"/>
      <c r="Z17" s="6" t="s">
        <v>7</v>
      </c>
      <c r="AA17" s="8">
        <f>AA15*AA16</f>
        <v>95118000</v>
      </c>
      <c r="AB17" s="6" t="s">
        <v>34</v>
      </c>
    </row>
    <row r="18" spans="2:29" x14ac:dyDescent="0.2">
      <c r="B18" s="5" t="s">
        <v>27</v>
      </c>
      <c r="C18" s="14"/>
      <c r="D18" s="5"/>
      <c r="Z18" s="6" t="s">
        <v>35</v>
      </c>
      <c r="AA18" s="9">
        <v>0.15</v>
      </c>
      <c r="AB18" s="6" t="s">
        <v>36</v>
      </c>
    </row>
    <row r="19" spans="2:29" x14ac:dyDescent="0.2">
      <c r="C19" s="2">
        <v>149.1</v>
      </c>
      <c r="F19" s="2" t="s">
        <v>57</v>
      </c>
      <c r="G19" s="53" t="s">
        <v>52</v>
      </c>
      <c r="H19" s="53"/>
      <c r="Z19" s="6" t="s">
        <v>37</v>
      </c>
      <c r="AA19" s="6" t="s">
        <v>38</v>
      </c>
      <c r="AB19" s="1"/>
    </row>
    <row r="20" spans="2:29" s="3" customFormat="1" x14ac:dyDescent="0.2">
      <c r="C20" s="4" t="s">
        <v>23</v>
      </c>
      <c r="D20" s="4" t="s">
        <v>7</v>
      </c>
      <c r="E20" s="4" t="s">
        <v>24</v>
      </c>
      <c r="F20" s="4" t="s">
        <v>11</v>
      </c>
      <c r="G20" s="4" t="s">
        <v>25</v>
      </c>
      <c r="H20" s="4" t="s">
        <v>26</v>
      </c>
      <c r="I20" s="4" t="s">
        <v>28</v>
      </c>
      <c r="K20" s="3" t="s">
        <v>58</v>
      </c>
      <c r="L20" s="3" t="s">
        <v>59</v>
      </c>
      <c r="N20" s="3" t="s">
        <v>60</v>
      </c>
      <c r="Z20" s="6" t="s">
        <v>11</v>
      </c>
      <c r="AA20" s="10">
        <v>75</v>
      </c>
      <c r="AB20" s="6" t="s">
        <v>39</v>
      </c>
      <c r="AC20" s="2"/>
    </row>
    <row r="21" spans="2:29" x14ac:dyDescent="0.2">
      <c r="C21" s="4">
        <v>0</v>
      </c>
      <c r="D21" s="16">
        <f>-C11</f>
        <v>-100</v>
      </c>
      <c r="E21" s="15">
        <f>PV(C15,C14,C12)</f>
        <v>-383.11036738913543</v>
      </c>
      <c r="F21" s="15">
        <f>PV(C15,C14,,149.1)</f>
        <v>-22.162764938399793</v>
      </c>
      <c r="I21" s="15">
        <f>NPV($C15,(I22:I41))</f>
        <v>36.270531342744491</v>
      </c>
      <c r="J21" s="15">
        <f>D21+E21+F21+I21</f>
        <v>-469.00260098479072</v>
      </c>
      <c r="K21" s="2" t="s">
        <v>61</v>
      </c>
      <c r="Z21" s="6" t="s">
        <v>40</v>
      </c>
      <c r="AA21" s="1">
        <v>300</v>
      </c>
      <c r="AB21" s="6" t="s">
        <v>41</v>
      </c>
    </row>
    <row r="22" spans="2:29" x14ac:dyDescent="0.2">
      <c r="B22" s="2" t="s">
        <v>56</v>
      </c>
      <c r="C22" s="4">
        <v>1</v>
      </c>
      <c r="D22" s="15">
        <f>-PMT(C15,C14,D21)</f>
        <v>-11.745962477254579</v>
      </c>
      <c r="E22" s="15">
        <f>-($C12)</f>
        <v>-45</v>
      </c>
      <c r="F22" s="15">
        <f>PMT(C15,C14,,C19)</f>
        <v>-2.6032300535865773</v>
      </c>
      <c r="G22" s="2">
        <v>4</v>
      </c>
      <c r="I22" s="2">
        <f>G22+H22</f>
        <v>4</v>
      </c>
      <c r="J22" s="15">
        <f>D22+E22+F22+I22</f>
        <v>-55.349192530841158</v>
      </c>
      <c r="Z22" s="6" t="s">
        <v>11</v>
      </c>
      <c r="AA22" s="11" t="s">
        <v>42</v>
      </c>
      <c r="AB22" s="6" t="s">
        <v>43</v>
      </c>
    </row>
    <row r="23" spans="2:29" x14ac:dyDescent="0.2">
      <c r="C23" s="4">
        <v>2</v>
      </c>
      <c r="D23" s="15">
        <f>D22</f>
        <v>-11.745962477254579</v>
      </c>
      <c r="E23" s="15">
        <f>E22</f>
        <v>-45</v>
      </c>
      <c r="F23" s="15">
        <f>F22</f>
        <v>-2.6032300535865773</v>
      </c>
      <c r="G23" s="2">
        <v>4</v>
      </c>
      <c r="H23" s="2">
        <v>0.04</v>
      </c>
      <c r="I23" s="2">
        <f t="shared" ref="I23:I41" si="0">G23+H23</f>
        <v>4.04</v>
      </c>
      <c r="J23" s="15">
        <f t="shared" ref="J23:J41" si="1">D23+E23+F23+I23</f>
        <v>-55.309192530841159</v>
      </c>
      <c r="Z23" s="6" t="s">
        <v>44</v>
      </c>
      <c r="AA23" s="8">
        <f>AA15/2</f>
        <v>95500</v>
      </c>
      <c r="AB23" s="1"/>
    </row>
    <row r="24" spans="2:29" x14ac:dyDescent="0.2">
      <c r="C24" s="4">
        <v>3</v>
      </c>
      <c r="D24" s="15">
        <f t="shared" ref="D24:D41" si="2">D23</f>
        <v>-11.745962477254579</v>
      </c>
      <c r="E24" s="15">
        <f t="shared" ref="E24:E41" si="3">E23</f>
        <v>-45</v>
      </c>
      <c r="F24" s="15">
        <f t="shared" ref="F24:F40" si="4">F23</f>
        <v>-2.6032300535865773</v>
      </c>
      <c r="G24" s="2">
        <v>4</v>
      </c>
      <c r="H24" s="2">
        <f>H23+0.04</f>
        <v>0.08</v>
      </c>
      <c r="I24" s="2">
        <f t="shared" si="0"/>
        <v>4.08</v>
      </c>
      <c r="J24" s="15">
        <f t="shared" si="1"/>
        <v>-55.26919253084116</v>
      </c>
      <c r="Z24" s="12" t="s">
        <v>45</v>
      </c>
      <c r="AA24" s="6" t="s">
        <v>46</v>
      </c>
      <c r="AB24" s="6" t="s">
        <v>47</v>
      </c>
      <c r="AC24" s="3"/>
    </row>
    <row r="25" spans="2:29" x14ac:dyDescent="0.2">
      <c r="C25" s="4">
        <v>4</v>
      </c>
      <c r="D25" s="15">
        <f t="shared" si="2"/>
        <v>-11.745962477254579</v>
      </c>
      <c r="E25" s="15">
        <f t="shared" si="3"/>
        <v>-45</v>
      </c>
      <c r="F25" s="15">
        <f t="shared" si="4"/>
        <v>-2.6032300535865773</v>
      </c>
      <c r="G25" s="2">
        <v>4</v>
      </c>
      <c r="H25" s="2">
        <f t="shared" ref="H25:H40" si="5">H24+0.04</f>
        <v>0.12</v>
      </c>
      <c r="I25" s="2">
        <f t="shared" si="0"/>
        <v>4.12</v>
      </c>
      <c r="J25" s="15">
        <f t="shared" si="1"/>
        <v>-55.229192530841161</v>
      </c>
      <c r="Z25" s="1"/>
      <c r="AA25" s="6" t="s">
        <v>48</v>
      </c>
      <c r="AB25" s="6" t="s">
        <v>49</v>
      </c>
    </row>
    <row r="26" spans="2:29" x14ac:dyDescent="0.2">
      <c r="C26" s="4">
        <v>5</v>
      </c>
      <c r="D26" s="15">
        <f t="shared" si="2"/>
        <v>-11.745962477254579</v>
      </c>
      <c r="E26" s="15">
        <f>E25</f>
        <v>-45</v>
      </c>
      <c r="F26" s="15">
        <f t="shared" si="4"/>
        <v>-2.6032300535865773</v>
      </c>
      <c r="G26" s="2">
        <v>4</v>
      </c>
      <c r="H26" s="2">
        <f t="shared" si="5"/>
        <v>0.16</v>
      </c>
      <c r="I26" s="2">
        <f t="shared" si="0"/>
        <v>4.16</v>
      </c>
      <c r="J26" s="15">
        <f t="shared" si="1"/>
        <v>-55.189192530841154</v>
      </c>
      <c r="Z26" s="6" t="s">
        <v>16</v>
      </c>
      <c r="AA26" s="1"/>
      <c r="AB26" s="1"/>
    </row>
    <row r="27" spans="2:29" x14ac:dyDescent="0.2">
      <c r="C27" s="4">
        <v>6</v>
      </c>
      <c r="D27" s="15">
        <f t="shared" si="2"/>
        <v>-11.745962477254579</v>
      </c>
      <c r="E27" s="15">
        <f t="shared" si="3"/>
        <v>-45</v>
      </c>
      <c r="F27" s="15">
        <f t="shared" si="4"/>
        <v>-2.6032300535865773</v>
      </c>
      <c r="G27" s="2">
        <v>4</v>
      </c>
      <c r="H27" s="2">
        <f t="shared" si="5"/>
        <v>0.2</v>
      </c>
      <c r="I27" s="2">
        <f t="shared" si="0"/>
        <v>4.2</v>
      </c>
      <c r="J27" s="15">
        <f t="shared" si="1"/>
        <v>-55.149192530841155</v>
      </c>
      <c r="Z27" s="6" t="s">
        <v>50</v>
      </c>
      <c r="AA27" s="9">
        <v>0.14000000000000001</v>
      </c>
      <c r="AB27" s="1"/>
    </row>
    <row r="28" spans="2:29" x14ac:dyDescent="0.2">
      <c r="C28" s="4">
        <v>7</v>
      </c>
      <c r="D28" s="15">
        <f t="shared" si="2"/>
        <v>-11.745962477254579</v>
      </c>
      <c r="E28" s="15">
        <f t="shared" si="3"/>
        <v>-45</v>
      </c>
      <c r="F28" s="15">
        <f t="shared" si="4"/>
        <v>-2.6032300535865773</v>
      </c>
      <c r="G28" s="2">
        <v>4</v>
      </c>
      <c r="H28" s="2">
        <f t="shared" si="5"/>
        <v>0.24000000000000002</v>
      </c>
      <c r="I28" s="2">
        <f t="shared" si="0"/>
        <v>4.24</v>
      </c>
      <c r="J28" s="15">
        <f t="shared" si="1"/>
        <v>-55.109192530841156</v>
      </c>
      <c r="Z28" s="17" t="s">
        <v>51</v>
      </c>
      <c r="AA28" s="1"/>
      <c r="AB28" s="1"/>
    </row>
    <row r="29" spans="2:29" x14ac:dyDescent="0.2">
      <c r="C29" s="4">
        <v>8</v>
      </c>
      <c r="D29" s="15">
        <f t="shared" si="2"/>
        <v>-11.745962477254579</v>
      </c>
      <c r="E29" s="15">
        <f t="shared" si="3"/>
        <v>-45</v>
      </c>
      <c r="F29" s="15">
        <f t="shared" si="4"/>
        <v>-2.6032300535865773</v>
      </c>
      <c r="G29" s="2">
        <v>4</v>
      </c>
      <c r="H29" s="2">
        <f t="shared" si="5"/>
        <v>0.28000000000000003</v>
      </c>
      <c r="I29" s="2">
        <f t="shared" si="0"/>
        <v>4.28</v>
      </c>
      <c r="J29" s="15">
        <f t="shared" si="1"/>
        <v>-55.069192530841157</v>
      </c>
    </row>
    <row r="30" spans="2:29" x14ac:dyDescent="0.2">
      <c r="C30" s="4">
        <v>9</v>
      </c>
      <c r="D30" s="15">
        <f t="shared" si="2"/>
        <v>-11.745962477254579</v>
      </c>
      <c r="E30" s="15">
        <f t="shared" si="3"/>
        <v>-45</v>
      </c>
      <c r="F30" s="15">
        <f t="shared" si="4"/>
        <v>-2.6032300535865773</v>
      </c>
      <c r="G30" s="2">
        <v>4</v>
      </c>
      <c r="H30" s="2">
        <f t="shared" si="5"/>
        <v>0.32</v>
      </c>
      <c r="I30" s="2">
        <f t="shared" si="0"/>
        <v>4.32</v>
      </c>
      <c r="J30" s="15">
        <f t="shared" si="1"/>
        <v>-55.029192530841158</v>
      </c>
    </row>
    <row r="31" spans="2:29" x14ac:dyDescent="0.2">
      <c r="C31" s="4">
        <v>10</v>
      </c>
      <c r="D31" s="15">
        <f t="shared" si="2"/>
        <v>-11.745962477254579</v>
      </c>
      <c r="E31" s="15">
        <f t="shared" si="3"/>
        <v>-45</v>
      </c>
      <c r="F31" s="15">
        <f t="shared" si="4"/>
        <v>-2.6032300535865773</v>
      </c>
      <c r="G31" s="2">
        <v>4</v>
      </c>
      <c r="H31" s="2">
        <f t="shared" si="5"/>
        <v>0.36</v>
      </c>
      <c r="I31" s="2">
        <f t="shared" si="0"/>
        <v>4.3600000000000003</v>
      </c>
      <c r="J31" s="15">
        <f t="shared" si="1"/>
        <v>-54.989192530841159</v>
      </c>
    </row>
    <row r="32" spans="2:29" x14ac:dyDescent="0.2">
      <c r="C32" s="4">
        <v>11</v>
      </c>
      <c r="D32" s="15">
        <f t="shared" si="2"/>
        <v>-11.745962477254579</v>
      </c>
      <c r="E32" s="15">
        <f t="shared" si="3"/>
        <v>-45</v>
      </c>
      <c r="F32" s="15">
        <f t="shared" si="4"/>
        <v>-2.6032300535865773</v>
      </c>
      <c r="G32" s="2">
        <v>4</v>
      </c>
      <c r="H32" s="2">
        <f t="shared" si="5"/>
        <v>0.39999999999999997</v>
      </c>
      <c r="I32" s="2">
        <f t="shared" si="0"/>
        <v>4.4000000000000004</v>
      </c>
      <c r="J32" s="15">
        <f t="shared" si="1"/>
        <v>-54.94919253084116</v>
      </c>
    </row>
    <row r="33" spans="3:14" x14ac:dyDescent="0.2">
      <c r="C33" s="4">
        <v>12</v>
      </c>
      <c r="D33" s="15">
        <f t="shared" si="2"/>
        <v>-11.745962477254579</v>
      </c>
      <c r="E33" s="15">
        <f t="shared" si="3"/>
        <v>-45</v>
      </c>
      <c r="F33" s="15">
        <f t="shared" si="4"/>
        <v>-2.6032300535865773</v>
      </c>
      <c r="G33" s="2">
        <v>4</v>
      </c>
      <c r="H33" s="2">
        <f t="shared" si="5"/>
        <v>0.43999999999999995</v>
      </c>
      <c r="I33" s="2">
        <f t="shared" si="0"/>
        <v>4.4399999999999995</v>
      </c>
      <c r="J33" s="15">
        <f t="shared" si="1"/>
        <v>-54.90919253084116</v>
      </c>
    </row>
    <row r="34" spans="3:14" x14ac:dyDescent="0.2">
      <c r="C34" s="4">
        <v>13</v>
      </c>
      <c r="D34" s="15">
        <f t="shared" si="2"/>
        <v>-11.745962477254579</v>
      </c>
      <c r="E34" s="15">
        <f t="shared" si="3"/>
        <v>-45</v>
      </c>
      <c r="F34" s="15">
        <f t="shared" si="4"/>
        <v>-2.6032300535865773</v>
      </c>
      <c r="G34" s="2">
        <v>4</v>
      </c>
      <c r="H34" s="2">
        <f t="shared" si="5"/>
        <v>0.47999999999999993</v>
      </c>
      <c r="I34" s="2">
        <f t="shared" si="0"/>
        <v>4.4799999999999995</v>
      </c>
      <c r="J34" s="15">
        <f t="shared" si="1"/>
        <v>-54.869192530841161</v>
      </c>
    </row>
    <row r="35" spans="3:14" x14ac:dyDescent="0.2">
      <c r="C35" s="4">
        <v>14</v>
      </c>
      <c r="D35" s="15">
        <f t="shared" si="2"/>
        <v>-11.745962477254579</v>
      </c>
      <c r="E35" s="15">
        <f t="shared" si="3"/>
        <v>-45</v>
      </c>
      <c r="F35" s="15">
        <f t="shared" si="4"/>
        <v>-2.6032300535865773</v>
      </c>
      <c r="G35" s="2">
        <v>4</v>
      </c>
      <c r="H35" s="2">
        <f t="shared" si="5"/>
        <v>0.51999999999999991</v>
      </c>
      <c r="I35" s="2">
        <f t="shared" si="0"/>
        <v>4.5199999999999996</v>
      </c>
      <c r="J35" s="15">
        <f t="shared" si="1"/>
        <v>-54.829192530841155</v>
      </c>
    </row>
    <row r="36" spans="3:14" x14ac:dyDescent="0.2">
      <c r="C36" s="4">
        <v>15</v>
      </c>
      <c r="D36" s="15">
        <f t="shared" si="2"/>
        <v>-11.745962477254579</v>
      </c>
      <c r="E36" s="15">
        <f t="shared" si="3"/>
        <v>-45</v>
      </c>
      <c r="F36" s="15">
        <f t="shared" si="4"/>
        <v>-2.6032300535865773</v>
      </c>
      <c r="G36" s="2">
        <v>4</v>
      </c>
      <c r="H36" s="2">
        <f t="shared" si="5"/>
        <v>0.55999999999999994</v>
      </c>
      <c r="I36" s="2">
        <f t="shared" si="0"/>
        <v>4.5599999999999996</v>
      </c>
      <c r="J36" s="15">
        <f t="shared" si="1"/>
        <v>-54.789192530841156</v>
      </c>
    </row>
    <row r="37" spans="3:14" x14ac:dyDescent="0.2">
      <c r="C37" s="4">
        <v>16</v>
      </c>
      <c r="D37" s="15">
        <f t="shared" si="2"/>
        <v>-11.745962477254579</v>
      </c>
      <c r="E37" s="15">
        <f t="shared" si="3"/>
        <v>-45</v>
      </c>
      <c r="F37" s="15">
        <f t="shared" si="4"/>
        <v>-2.6032300535865773</v>
      </c>
      <c r="G37" s="2">
        <v>4</v>
      </c>
      <c r="H37" s="2">
        <f t="shared" si="5"/>
        <v>0.6</v>
      </c>
      <c r="I37" s="2">
        <f t="shared" si="0"/>
        <v>4.5999999999999996</v>
      </c>
      <c r="J37" s="15">
        <f t="shared" si="1"/>
        <v>-54.749192530841157</v>
      </c>
    </row>
    <row r="38" spans="3:14" x14ac:dyDescent="0.2">
      <c r="C38" s="4">
        <v>17</v>
      </c>
      <c r="D38" s="15">
        <f t="shared" si="2"/>
        <v>-11.745962477254579</v>
      </c>
      <c r="E38" s="15">
        <f t="shared" si="3"/>
        <v>-45</v>
      </c>
      <c r="F38" s="15">
        <f t="shared" si="4"/>
        <v>-2.6032300535865773</v>
      </c>
      <c r="G38" s="2">
        <v>4</v>
      </c>
      <c r="H38" s="2">
        <f t="shared" si="5"/>
        <v>0.64</v>
      </c>
      <c r="I38" s="2">
        <f t="shared" si="0"/>
        <v>4.6399999999999997</v>
      </c>
      <c r="J38" s="15">
        <f t="shared" si="1"/>
        <v>-54.709192530841158</v>
      </c>
      <c r="N38" s="2" t="s">
        <v>71</v>
      </c>
    </row>
    <row r="39" spans="3:14" x14ac:dyDescent="0.2">
      <c r="C39" s="4">
        <v>18</v>
      </c>
      <c r="D39" s="15">
        <f t="shared" si="2"/>
        <v>-11.745962477254579</v>
      </c>
      <c r="E39" s="15">
        <f t="shared" si="3"/>
        <v>-45</v>
      </c>
      <c r="F39" s="15">
        <f t="shared" si="4"/>
        <v>-2.6032300535865773</v>
      </c>
      <c r="G39" s="2">
        <v>4</v>
      </c>
      <c r="H39" s="2">
        <f t="shared" si="5"/>
        <v>0.68</v>
      </c>
      <c r="I39" s="2">
        <f t="shared" si="0"/>
        <v>4.68</v>
      </c>
      <c r="J39" s="15">
        <f t="shared" si="1"/>
        <v>-54.669192530841158</v>
      </c>
      <c r="N39" s="2" t="s">
        <v>72</v>
      </c>
    </row>
    <row r="40" spans="3:14" x14ac:dyDescent="0.2">
      <c r="C40" s="4">
        <v>19</v>
      </c>
      <c r="D40" s="15">
        <f t="shared" si="2"/>
        <v>-11.745962477254579</v>
      </c>
      <c r="E40" s="15">
        <f t="shared" si="3"/>
        <v>-45</v>
      </c>
      <c r="F40" s="15">
        <f t="shared" si="4"/>
        <v>-2.6032300535865773</v>
      </c>
      <c r="G40" s="2">
        <v>4</v>
      </c>
      <c r="H40" s="2">
        <f t="shared" si="5"/>
        <v>0.72000000000000008</v>
      </c>
      <c r="I40" s="2">
        <f t="shared" si="0"/>
        <v>4.72</v>
      </c>
      <c r="J40" s="15">
        <f t="shared" si="1"/>
        <v>-54.629192530841159</v>
      </c>
      <c r="N40" s="18">
        <v>0.35</v>
      </c>
    </row>
    <row r="41" spans="3:14" x14ac:dyDescent="0.2">
      <c r="C41" s="4">
        <v>20</v>
      </c>
      <c r="D41" s="15">
        <f t="shared" si="2"/>
        <v>-11.745962477254579</v>
      </c>
      <c r="E41" s="15">
        <f t="shared" si="3"/>
        <v>-45</v>
      </c>
      <c r="F41" s="15">
        <f>F40</f>
        <v>-2.6032300535865773</v>
      </c>
      <c r="G41" s="2">
        <v>4</v>
      </c>
      <c r="H41" s="2">
        <f>H40+0.04</f>
        <v>0.76000000000000012</v>
      </c>
      <c r="I41" s="2">
        <f t="shared" si="0"/>
        <v>4.76</v>
      </c>
      <c r="J41" s="15">
        <f t="shared" si="1"/>
        <v>-54.58919253084116</v>
      </c>
      <c r="N41" s="2" t="s">
        <v>73</v>
      </c>
    </row>
    <row r="43" spans="3:14" x14ac:dyDescent="0.2">
      <c r="C43" s="2" t="s">
        <v>62</v>
      </c>
    </row>
    <row r="45" spans="3:14" x14ac:dyDescent="0.2">
      <c r="C45" s="3" t="s">
        <v>63</v>
      </c>
      <c r="D45" s="3" t="s">
        <v>22</v>
      </c>
      <c r="E45" s="3" t="s">
        <v>64</v>
      </c>
      <c r="F45" s="3" t="s">
        <v>65</v>
      </c>
      <c r="G45" s="3" t="s">
        <v>66</v>
      </c>
      <c r="H45" s="3" t="s">
        <v>67</v>
      </c>
      <c r="I45" s="3" t="s">
        <v>68</v>
      </c>
      <c r="J45" s="3" t="s">
        <v>69</v>
      </c>
      <c r="K45" s="3" t="s">
        <v>70</v>
      </c>
      <c r="L45" s="3" t="s">
        <v>60</v>
      </c>
    </row>
    <row r="46" spans="3:14" x14ac:dyDescent="0.2">
      <c r="C46" s="3">
        <v>0</v>
      </c>
      <c r="D46" s="19">
        <v>100</v>
      </c>
      <c r="E46" s="3">
        <v>30</v>
      </c>
      <c r="F46" s="3"/>
      <c r="G46" s="3">
        <v>0.2</v>
      </c>
      <c r="H46" s="3">
        <v>30</v>
      </c>
      <c r="I46" s="3"/>
      <c r="J46" s="3"/>
      <c r="K46" s="3"/>
      <c r="L46" s="3"/>
    </row>
    <row r="47" spans="3:14" x14ac:dyDescent="0.2">
      <c r="C47" s="3">
        <v>1</v>
      </c>
      <c r="D47" s="19">
        <v>100</v>
      </c>
      <c r="E47" s="3">
        <v>30</v>
      </c>
      <c r="F47" s="3"/>
      <c r="G47" s="3">
        <v>0.32</v>
      </c>
      <c r="H47" s="3"/>
      <c r="I47" s="3"/>
      <c r="J47" s="3"/>
      <c r="K47" s="3"/>
      <c r="L47" s="3"/>
    </row>
    <row r="48" spans="3:14" x14ac:dyDescent="0.2">
      <c r="C48" s="3">
        <v>2</v>
      </c>
      <c r="D48" s="19">
        <v>100</v>
      </c>
      <c r="E48" s="3">
        <v>30</v>
      </c>
      <c r="F48" s="3"/>
      <c r="G48" s="3">
        <v>0.192</v>
      </c>
      <c r="H48" s="3"/>
      <c r="I48" s="3"/>
      <c r="J48" s="3"/>
      <c r="K48" s="3"/>
      <c r="L48" s="3"/>
    </row>
    <row r="49" spans="3:12" x14ac:dyDescent="0.2">
      <c r="C49" s="3">
        <v>3</v>
      </c>
      <c r="D49" s="19">
        <v>100</v>
      </c>
      <c r="E49" s="3">
        <v>30</v>
      </c>
      <c r="F49" s="3"/>
      <c r="G49" s="3">
        <v>0.1152</v>
      </c>
      <c r="H49" s="3"/>
      <c r="I49" s="3"/>
      <c r="J49" s="3"/>
      <c r="K49" s="3"/>
      <c r="L49" s="3"/>
    </row>
    <row r="50" spans="3:12" x14ac:dyDescent="0.2">
      <c r="C50" s="3">
        <v>4</v>
      </c>
      <c r="D50" s="19">
        <v>100</v>
      </c>
      <c r="E50" s="3">
        <v>30</v>
      </c>
      <c r="F50" s="3"/>
      <c r="G50" s="3">
        <v>0.1152</v>
      </c>
      <c r="H50" s="3"/>
      <c r="I50" s="3"/>
      <c r="J50" s="3"/>
      <c r="K50" s="3"/>
      <c r="L50" s="3"/>
    </row>
    <row r="51" spans="3:12" x14ac:dyDescent="0.2">
      <c r="C51" s="3">
        <v>5</v>
      </c>
      <c r="D51" s="19">
        <v>100</v>
      </c>
      <c r="E51" s="3">
        <v>30</v>
      </c>
      <c r="F51" s="3"/>
      <c r="G51" s="3">
        <v>5.7599999999999998E-2</v>
      </c>
      <c r="H51" s="3"/>
      <c r="I51" s="3"/>
      <c r="J51" s="3"/>
      <c r="K51" s="3"/>
      <c r="L51" s="3"/>
    </row>
    <row r="52" spans="3:12" x14ac:dyDescent="0.2">
      <c r="C52" s="3">
        <v>6</v>
      </c>
      <c r="D52" s="19">
        <v>100</v>
      </c>
      <c r="E52" s="3">
        <v>30</v>
      </c>
      <c r="F52" s="3">
        <v>0</v>
      </c>
      <c r="G52" s="3"/>
      <c r="H52" s="3"/>
      <c r="I52" s="3"/>
      <c r="J52" s="3"/>
      <c r="K52" s="3"/>
      <c r="L52" s="3"/>
    </row>
    <row r="53" spans="3:1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</row>
    <row r="57" spans="3:12" x14ac:dyDescent="0.2">
      <c r="G57" s="2">
        <f>150*0.32</f>
        <v>48</v>
      </c>
    </row>
    <row r="58" spans="3:12" x14ac:dyDescent="0.2">
      <c r="J58" s="2">
        <f>63000*82</f>
        <v>5166000</v>
      </c>
    </row>
  </sheetData>
  <mergeCells count="1">
    <mergeCell ref="G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0C7F-A749-A445-A792-413CD9F36464}">
  <dimension ref="B3:E8"/>
  <sheetViews>
    <sheetView workbookViewId="0">
      <selection activeCell="G8" sqref="G8"/>
    </sheetView>
  </sheetViews>
  <sheetFormatPr baseColWidth="10" defaultRowHeight="16" x14ac:dyDescent="0.2"/>
  <cols>
    <col min="3" max="3" width="12" bestFit="1" customWidth="1"/>
    <col min="5" max="5" width="12.6640625" bestFit="1" customWidth="1"/>
  </cols>
  <sheetData>
    <row r="3" spans="2:5" ht="18" x14ac:dyDescent="0.2">
      <c r="B3" s="21">
        <v>2023</v>
      </c>
      <c r="C3" s="23">
        <v>109120</v>
      </c>
      <c r="D3" s="22">
        <f>C3-C4</f>
        <v>3115</v>
      </c>
      <c r="E3" s="24">
        <f t="shared" ref="E3:E8" si="0">C2/C3</f>
        <v>0</v>
      </c>
    </row>
    <row r="4" spans="2:5" ht="18" x14ac:dyDescent="0.2">
      <c r="B4" s="21">
        <v>2022</v>
      </c>
      <c r="C4" s="23">
        <v>106005</v>
      </c>
      <c r="D4" s="22">
        <f>C4-C5</f>
        <v>12444</v>
      </c>
      <c r="E4">
        <f t="shared" si="0"/>
        <v>1.0293854063487571</v>
      </c>
    </row>
    <row r="5" spans="2:5" ht="18" x14ac:dyDescent="0.2">
      <c r="B5" s="21">
        <v>2021</v>
      </c>
      <c r="C5" s="23">
        <v>93561</v>
      </c>
      <c r="D5" s="22">
        <f>C5-C6</f>
        <v>15449</v>
      </c>
      <c r="E5">
        <f t="shared" si="0"/>
        <v>1.1330041363388592</v>
      </c>
    </row>
    <row r="6" spans="2:5" ht="18" x14ac:dyDescent="0.2">
      <c r="B6" s="21">
        <v>2020</v>
      </c>
      <c r="C6" s="23">
        <v>78112</v>
      </c>
      <c r="D6" s="22">
        <f>C6-C7</f>
        <v>2756</v>
      </c>
      <c r="E6">
        <f t="shared" si="0"/>
        <v>1.1977801106104056</v>
      </c>
    </row>
    <row r="7" spans="2:5" ht="18" x14ac:dyDescent="0.2">
      <c r="B7" s="21">
        <v>2019</v>
      </c>
      <c r="C7" s="23">
        <v>75356</v>
      </c>
      <c r="D7" s="22">
        <f>C7-C8</f>
        <v>2642</v>
      </c>
      <c r="E7">
        <f t="shared" si="0"/>
        <v>1.0365730665109614</v>
      </c>
    </row>
    <row r="8" spans="2:5" ht="18" x14ac:dyDescent="0.2">
      <c r="B8" s="21">
        <v>2018</v>
      </c>
      <c r="C8" s="23">
        <v>72714</v>
      </c>
      <c r="D8" s="22"/>
      <c r="E8">
        <f t="shared" si="0"/>
        <v>1.0363341309789036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A20B-3FD4-1340-A941-F83EE1EE01A8}">
  <dimension ref="B2:AB54"/>
  <sheetViews>
    <sheetView tabSelected="1" topLeftCell="X1" zoomScale="131" zoomScaleNormal="190" workbookViewId="0">
      <selection activeCell="Z4" sqref="Z4"/>
    </sheetView>
  </sheetViews>
  <sheetFormatPr baseColWidth="10" defaultRowHeight="16" x14ac:dyDescent="0.2"/>
  <cols>
    <col min="1" max="1" width="10.83203125" style="26"/>
    <col min="2" max="2" width="18" style="26" bestFit="1" customWidth="1"/>
    <col min="3" max="3" width="11" style="26" bestFit="1" customWidth="1"/>
    <col min="4" max="4" width="14.1640625" style="26" customWidth="1"/>
    <col min="5" max="13" width="10.83203125" style="26"/>
    <col min="14" max="14" width="14" style="26" bestFit="1" customWidth="1"/>
    <col min="15" max="16" width="10.83203125" style="26"/>
    <col min="17" max="17" width="12.6640625" style="26" bestFit="1" customWidth="1"/>
    <col min="18" max="18" width="11.5" style="26" bestFit="1" customWidth="1"/>
    <col min="19" max="25" width="10.83203125" style="26"/>
    <col min="26" max="26" width="68.1640625" style="26" bestFit="1" customWidth="1"/>
    <col min="27" max="27" width="14" style="26" bestFit="1" customWidth="1"/>
    <col min="28" max="16384" width="10.83203125" style="26"/>
  </cols>
  <sheetData>
    <row r="2" spans="2:28" x14ac:dyDescent="0.2">
      <c r="B2" s="25" t="s">
        <v>4</v>
      </c>
      <c r="C2" s="25" t="s">
        <v>5</v>
      </c>
      <c r="D2" s="25" t="s">
        <v>6</v>
      </c>
    </row>
    <row r="3" spans="2:28" x14ac:dyDescent="0.2">
      <c r="B3" s="25" t="s">
        <v>7</v>
      </c>
      <c r="C3" s="13">
        <v>100</v>
      </c>
      <c r="D3" s="25" t="s">
        <v>8</v>
      </c>
      <c r="G3" s="26" t="s">
        <v>53</v>
      </c>
      <c r="I3" s="26" t="s">
        <v>54</v>
      </c>
      <c r="J3" s="26" t="s">
        <v>55</v>
      </c>
      <c r="AA3" s="26" t="s">
        <v>77</v>
      </c>
    </row>
    <row r="4" spans="2:28" x14ac:dyDescent="0.2">
      <c r="B4" s="25" t="s">
        <v>9</v>
      </c>
      <c r="C4" s="13">
        <v>45</v>
      </c>
      <c r="D4" s="25" t="s">
        <v>10</v>
      </c>
    </row>
    <row r="5" spans="2:28" x14ac:dyDescent="0.2">
      <c r="B5" s="25" t="s">
        <v>11</v>
      </c>
      <c r="C5" s="13">
        <v>100</v>
      </c>
      <c r="D5" s="25" t="s">
        <v>12</v>
      </c>
    </row>
    <row r="6" spans="2:28" x14ac:dyDescent="0.2">
      <c r="B6" s="25" t="s">
        <v>13</v>
      </c>
      <c r="C6" s="5">
        <v>20</v>
      </c>
      <c r="D6" s="25" t="s">
        <v>14</v>
      </c>
    </row>
    <row r="7" spans="2:28" x14ac:dyDescent="0.2">
      <c r="B7" s="25" t="s">
        <v>15</v>
      </c>
      <c r="C7" s="20">
        <v>0.1</v>
      </c>
      <c r="D7" s="25" t="s">
        <v>18</v>
      </c>
      <c r="Z7" s="29" t="s">
        <v>30</v>
      </c>
      <c r="AA7" s="30">
        <v>191000</v>
      </c>
      <c r="AB7" s="29" t="s">
        <v>31</v>
      </c>
    </row>
    <row r="8" spans="2:28" x14ac:dyDescent="0.2">
      <c r="B8" s="25" t="s">
        <v>16</v>
      </c>
      <c r="C8" s="20">
        <v>0.15</v>
      </c>
      <c r="D8" s="25" t="s">
        <v>17</v>
      </c>
      <c r="G8" s="26" t="s">
        <v>20</v>
      </c>
      <c r="J8" s="26" t="s">
        <v>21</v>
      </c>
      <c r="L8" s="26" t="s">
        <v>22</v>
      </c>
      <c r="Z8" s="29" t="s">
        <v>32</v>
      </c>
      <c r="AA8" s="31">
        <v>351</v>
      </c>
      <c r="AB8" s="29" t="s">
        <v>33</v>
      </c>
    </row>
    <row r="9" spans="2:28" x14ac:dyDescent="0.2">
      <c r="B9" s="25" t="s">
        <v>29</v>
      </c>
      <c r="C9" s="14">
        <v>350000</v>
      </c>
      <c r="D9" s="25"/>
      <c r="Z9" s="29" t="s">
        <v>7</v>
      </c>
      <c r="AA9" s="31">
        <f>AA7*AA8</f>
        <v>67041000</v>
      </c>
      <c r="AB9" s="29" t="s">
        <v>34</v>
      </c>
    </row>
    <row r="10" spans="2:28" x14ac:dyDescent="0.2">
      <c r="B10" s="25" t="s">
        <v>27</v>
      </c>
      <c r="C10" s="14">
        <v>15000</v>
      </c>
      <c r="D10" s="25"/>
      <c r="Z10" s="29" t="s">
        <v>35</v>
      </c>
      <c r="AA10" s="32">
        <v>0.15</v>
      </c>
      <c r="AB10" s="29" t="s">
        <v>36</v>
      </c>
    </row>
    <row r="11" spans="2:28" x14ac:dyDescent="0.2">
      <c r="B11" s="25" t="s">
        <v>76</v>
      </c>
      <c r="C11" s="27">
        <v>100000</v>
      </c>
      <c r="D11" s="25"/>
      <c r="Z11" s="29"/>
      <c r="AA11" s="32"/>
      <c r="AB11" s="29"/>
    </row>
    <row r="12" spans="2:28" x14ac:dyDescent="0.2">
      <c r="C12" s="33"/>
      <c r="Z12" s="29"/>
      <c r="AA12" s="32"/>
      <c r="AB12" s="29"/>
    </row>
    <row r="13" spans="2:28" ht="17" thickBot="1" x14ac:dyDescent="0.25">
      <c r="B13" s="41"/>
      <c r="C13" s="41">
        <v>149.1</v>
      </c>
      <c r="D13" s="41"/>
      <c r="E13" s="41"/>
      <c r="F13" s="41" t="s">
        <v>57</v>
      </c>
      <c r="G13" s="54" t="s">
        <v>52</v>
      </c>
      <c r="H13" s="54"/>
      <c r="I13" s="41"/>
      <c r="J13" s="41"/>
      <c r="K13" s="41"/>
      <c r="L13" s="41"/>
      <c r="M13" s="41"/>
      <c r="N13" s="41"/>
      <c r="O13" s="41"/>
      <c r="P13" s="41"/>
      <c r="Q13" s="41"/>
      <c r="R13" s="41">
        <v>0.12</v>
      </c>
      <c r="S13" s="41"/>
      <c r="T13" s="41"/>
      <c r="Z13" s="29" t="s">
        <v>37</v>
      </c>
      <c r="AA13" s="34">
        <f>AA9*1.3%</f>
        <v>871533.00000000012</v>
      </c>
      <c r="AB13" s="35"/>
    </row>
    <row r="14" spans="2:28" ht="36" customHeight="1" x14ac:dyDescent="0.2">
      <c r="B14" s="41"/>
      <c r="C14" s="42" t="s">
        <v>23</v>
      </c>
      <c r="D14" s="43" t="s">
        <v>7</v>
      </c>
      <c r="E14" s="44" t="s">
        <v>24</v>
      </c>
      <c r="F14" s="44" t="s">
        <v>11</v>
      </c>
      <c r="G14" s="44" t="s">
        <v>25</v>
      </c>
      <c r="H14" s="44" t="s">
        <v>26</v>
      </c>
      <c r="I14" s="44" t="s">
        <v>28</v>
      </c>
      <c r="J14" s="44"/>
      <c r="K14" s="44" t="s">
        <v>74</v>
      </c>
      <c r="L14" s="44" t="s">
        <v>64</v>
      </c>
      <c r="M14" s="44" t="s">
        <v>65</v>
      </c>
      <c r="N14" s="44" t="s">
        <v>66</v>
      </c>
      <c r="O14" s="44" t="s">
        <v>58</v>
      </c>
      <c r="P14" s="44" t="s">
        <v>68</v>
      </c>
      <c r="Q14" s="44" t="s">
        <v>69</v>
      </c>
      <c r="R14" s="44" t="s">
        <v>70</v>
      </c>
      <c r="S14" s="44" t="s">
        <v>60</v>
      </c>
      <c r="T14" s="45" t="s">
        <v>75</v>
      </c>
      <c r="Z14" s="29" t="s">
        <v>11</v>
      </c>
      <c r="AA14" s="34">
        <v>75</v>
      </c>
      <c r="AB14" s="29" t="s">
        <v>39</v>
      </c>
    </row>
    <row r="15" spans="2:28" ht="25" customHeight="1" x14ac:dyDescent="0.2">
      <c r="B15" s="41"/>
      <c r="C15" s="46">
        <v>0</v>
      </c>
      <c r="D15" s="28">
        <f>-C3</f>
        <v>-100</v>
      </c>
      <c r="E15" s="28">
        <f>PV(C7,C6,C4)</f>
        <v>-383.11036738913543</v>
      </c>
      <c r="F15" s="28">
        <f>PV(C7,C6,,149.1)</f>
        <v>-22.162764938399793</v>
      </c>
      <c r="G15" s="28"/>
      <c r="H15" s="28"/>
      <c r="I15" s="28">
        <f>NPV($C7,(I16:I35))</f>
        <v>36.270531342744491</v>
      </c>
      <c r="J15" s="28">
        <f>D15+E15+F15+I15</f>
        <v>-469.00260098479072</v>
      </c>
      <c r="K15" s="28" t="s">
        <v>61</v>
      </c>
      <c r="L15" s="28"/>
      <c r="M15" s="28"/>
      <c r="N15" s="28">
        <v>0.1391</v>
      </c>
      <c r="O15" s="28"/>
      <c r="P15" s="28"/>
      <c r="Q15" s="28"/>
      <c r="R15" s="28"/>
      <c r="S15" s="28"/>
      <c r="T15" s="38"/>
      <c r="Z15" s="29" t="s">
        <v>40</v>
      </c>
      <c r="AA15" s="35">
        <v>300</v>
      </c>
      <c r="AB15" s="29" t="s">
        <v>41</v>
      </c>
    </row>
    <row r="16" spans="2:28" ht="25" customHeight="1" x14ac:dyDescent="0.2">
      <c r="B16" s="41" t="s">
        <v>56</v>
      </c>
      <c r="C16" s="46">
        <v>1</v>
      </c>
      <c r="D16" s="28">
        <f>-PMT(C7,C6,D15)</f>
        <v>-11.745962477254579</v>
      </c>
      <c r="E16" s="28">
        <f>-($C4)</f>
        <v>-45</v>
      </c>
      <c r="F16" s="28">
        <f>PMT(C7,C6,,C13)</f>
        <v>-2.6032300535865773</v>
      </c>
      <c r="G16" s="28">
        <v>4</v>
      </c>
      <c r="H16" s="28"/>
      <c r="I16" s="28">
        <f>G16+H16</f>
        <v>4</v>
      </c>
      <c r="J16" s="28">
        <f>D16+E16+F16+I16</f>
        <v>-55.349192530841158</v>
      </c>
      <c r="K16" s="28">
        <f>D16+E16+F16+I16</f>
        <v>-55.349192530841158</v>
      </c>
      <c r="L16" s="28">
        <f>E16+F16</f>
        <v>-47.603230053586579</v>
      </c>
      <c r="M16" s="28"/>
      <c r="N16" s="28">
        <v>0.25640000000000002</v>
      </c>
      <c r="O16" s="28">
        <f t="shared" ref="O16:O54" si="0">N16*$C$11</f>
        <v>25640</v>
      </c>
      <c r="P16" s="28">
        <f t="shared" ref="P16:P54" si="1">$C$11-O16</f>
        <v>74360</v>
      </c>
      <c r="Q16" s="28">
        <f t="shared" ref="Q16:Q54" si="2">I16+L16-$C$11</f>
        <v>-100043.60323005359</v>
      </c>
      <c r="R16" s="28">
        <f t="shared" ref="R16:R54" si="3">Q16*$R$13</f>
        <v>-12005.232387606429</v>
      </c>
      <c r="S16" s="28">
        <f>I16+L16-R16</f>
        <v>11961.629157552843</v>
      </c>
      <c r="T16" s="38">
        <f>PMT($C$7,40,-S16)</f>
        <v>1223.1891930932015</v>
      </c>
      <c r="Z16" s="29" t="s">
        <v>11</v>
      </c>
      <c r="AA16" s="36"/>
      <c r="AB16" s="29" t="s">
        <v>43</v>
      </c>
    </row>
    <row r="17" spans="2:28" ht="25" customHeight="1" x14ac:dyDescent="0.2">
      <c r="B17" s="41"/>
      <c r="C17" s="46">
        <v>2</v>
      </c>
      <c r="D17" s="28">
        <f>D16</f>
        <v>-11.745962477254579</v>
      </c>
      <c r="E17" s="28">
        <f>E16</f>
        <v>-45</v>
      </c>
      <c r="F17" s="28">
        <f>F16</f>
        <v>-2.6032300535865773</v>
      </c>
      <c r="G17" s="28">
        <v>4</v>
      </c>
      <c r="H17" s="28">
        <v>0.04</v>
      </c>
      <c r="I17" s="28">
        <f t="shared" ref="I17:I35" si="4">G17+H17</f>
        <v>4.04</v>
      </c>
      <c r="J17" s="28">
        <f t="shared" ref="J17:J35" si="5">D17+E17+F17+I17</f>
        <v>-55.309192530841159</v>
      </c>
      <c r="K17" s="28">
        <f t="shared" ref="K17:K35" si="6">D17+E17+F17+I17</f>
        <v>-55.309192530841159</v>
      </c>
      <c r="L17" s="28">
        <f t="shared" ref="L17:L35" si="7">E17+F17</f>
        <v>-47.603230053586579</v>
      </c>
      <c r="M17" s="28"/>
      <c r="N17" s="28">
        <v>0.25640000000000002</v>
      </c>
      <c r="O17" s="28">
        <f t="shared" si="0"/>
        <v>25640</v>
      </c>
      <c r="P17" s="28">
        <f t="shared" si="1"/>
        <v>74360</v>
      </c>
      <c r="Q17" s="28">
        <f t="shared" si="2"/>
        <v>-100043.56323005358</v>
      </c>
      <c r="R17" s="28">
        <f t="shared" si="3"/>
        <v>-12005.227587606429</v>
      </c>
      <c r="S17" s="28">
        <f t="shared" ref="S17:S54" si="8">I17+L17-R17</f>
        <v>11961.664357552841</v>
      </c>
      <c r="T17" s="38">
        <f t="shared" ref="T17:T54" si="9">PMT($C$7,40,-S17)</f>
        <v>1223.1927926245887</v>
      </c>
      <c r="Z17" s="29" t="s">
        <v>44</v>
      </c>
      <c r="AA17" s="31">
        <f>AA13*50%</f>
        <v>435766.50000000006</v>
      </c>
      <c r="AB17" s="35"/>
    </row>
    <row r="18" spans="2:28" ht="25" customHeight="1" x14ac:dyDescent="0.2">
      <c r="B18" s="41"/>
      <c r="C18" s="46">
        <v>3</v>
      </c>
      <c r="D18" s="28">
        <f t="shared" ref="D18:F36" si="10">D17</f>
        <v>-11.745962477254579</v>
      </c>
      <c r="E18" s="28">
        <f t="shared" si="10"/>
        <v>-45</v>
      </c>
      <c r="F18" s="28">
        <f t="shared" si="10"/>
        <v>-2.6032300535865773</v>
      </c>
      <c r="G18" s="28">
        <v>4</v>
      </c>
      <c r="H18" s="28">
        <f>H17+0.04</f>
        <v>0.08</v>
      </c>
      <c r="I18" s="28">
        <f t="shared" si="4"/>
        <v>4.08</v>
      </c>
      <c r="J18" s="28">
        <f t="shared" si="5"/>
        <v>-55.26919253084116</v>
      </c>
      <c r="K18" s="28">
        <f t="shared" si="6"/>
        <v>-55.26919253084116</v>
      </c>
      <c r="L18" s="28">
        <f t="shared" si="7"/>
        <v>-47.603230053586579</v>
      </c>
      <c r="M18" s="28"/>
      <c r="N18" s="28">
        <v>0.25640000000000002</v>
      </c>
      <c r="O18" s="28">
        <f t="shared" si="0"/>
        <v>25640</v>
      </c>
      <c r="P18" s="28">
        <f t="shared" si="1"/>
        <v>74360</v>
      </c>
      <c r="Q18" s="28">
        <f t="shared" si="2"/>
        <v>-100043.52323005359</v>
      </c>
      <c r="R18" s="28">
        <f t="shared" si="3"/>
        <v>-12005.22278760643</v>
      </c>
      <c r="S18" s="28">
        <f t="shared" si="8"/>
        <v>11961.699557552844</v>
      </c>
      <c r="T18" s="38">
        <f t="shared" si="9"/>
        <v>1223.1963921559764</v>
      </c>
      <c r="Z18" s="37" t="s">
        <v>45</v>
      </c>
      <c r="AA18" s="29" t="s">
        <v>46</v>
      </c>
      <c r="AB18" s="29" t="s">
        <v>47</v>
      </c>
    </row>
    <row r="19" spans="2:28" ht="25" customHeight="1" x14ac:dyDescent="0.2">
      <c r="B19" s="41"/>
      <c r="C19" s="46">
        <v>4</v>
      </c>
      <c r="D19" s="28">
        <f t="shared" si="10"/>
        <v>-11.745962477254579</v>
      </c>
      <c r="E19" s="28">
        <f t="shared" si="10"/>
        <v>-45</v>
      </c>
      <c r="F19" s="28">
        <f t="shared" si="10"/>
        <v>-2.6032300535865773</v>
      </c>
      <c r="G19" s="28">
        <v>4</v>
      </c>
      <c r="H19" s="28">
        <f t="shared" ref="H19:H51" si="11">H18+0.04</f>
        <v>0.12</v>
      </c>
      <c r="I19" s="28">
        <f t="shared" si="4"/>
        <v>4.12</v>
      </c>
      <c r="J19" s="28">
        <f t="shared" si="5"/>
        <v>-55.229192530841161</v>
      </c>
      <c r="K19" s="28">
        <f t="shared" si="6"/>
        <v>-55.229192530841161</v>
      </c>
      <c r="L19" s="28">
        <f t="shared" si="7"/>
        <v>-47.603230053586579</v>
      </c>
      <c r="M19" s="28"/>
      <c r="N19" s="28">
        <v>0.25640000000000002</v>
      </c>
      <c r="O19" s="28">
        <f t="shared" si="0"/>
        <v>25640</v>
      </c>
      <c r="P19" s="28">
        <f t="shared" si="1"/>
        <v>74360</v>
      </c>
      <c r="Q19" s="28">
        <f t="shared" si="2"/>
        <v>-100043.48323005359</v>
      </c>
      <c r="R19" s="28">
        <f t="shared" si="3"/>
        <v>-12005.217987606431</v>
      </c>
      <c r="S19" s="28">
        <f t="shared" si="8"/>
        <v>11961.734757552844</v>
      </c>
      <c r="T19" s="38">
        <f t="shared" si="9"/>
        <v>1223.1999916873638</v>
      </c>
      <c r="Z19" s="35"/>
      <c r="AA19" s="29" t="s">
        <v>48</v>
      </c>
      <c r="AB19" s="29" t="s">
        <v>49</v>
      </c>
    </row>
    <row r="20" spans="2:28" ht="25" customHeight="1" x14ac:dyDescent="0.2">
      <c r="B20" s="41"/>
      <c r="C20" s="46">
        <v>5</v>
      </c>
      <c r="D20" s="28">
        <f t="shared" si="10"/>
        <v>-11.745962477254579</v>
      </c>
      <c r="E20" s="28">
        <f>E19</f>
        <v>-45</v>
      </c>
      <c r="F20" s="28">
        <f t="shared" si="10"/>
        <v>-2.6032300535865773</v>
      </c>
      <c r="G20" s="28">
        <v>4</v>
      </c>
      <c r="H20" s="28">
        <f t="shared" si="11"/>
        <v>0.16</v>
      </c>
      <c r="I20" s="28">
        <f t="shared" si="4"/>
        <v>4.16</v>
      </c>
      <c r="J20" s="28">
        <f t="shared" si="5"/>
        <v>-55.189192530841154</v>
      </c>
      <c r="K20" s="28">
        <f t="shared" si="6"/>
        <v>-55.189192530841154</v>
      </c>
      <c r="L20" s="28">
        <f t="shared" si="7"/>
        <v>-47.603230053586579</v>
      </c>
      <c r="M20" s="28"/>
      <c r="N20" s="28">
        <v>0.25640000000000002</v>
      </c>
      <c r="O20" s="28">
        <f t="shared" si="0"/>
        <v>25640</v>
      </c>
      <c r="P20" s="28">
        <f t="shared" si="1"/>
        <v>74360</v>
      </c>
      <c r="Q20" s="28">
        <f t="shared" si="2"/>
        <v>-100043.44323005358</v>
      </c>
      <c r="R20" s="28">
        <f t="shared" si="3"/>
        <v>-12005.21318760643</v>
      </c>
      <c r="S20" s="28">
        <f t="shared" si="8"/>
        <v>11961.769957552844</v>
      </c>
      <c r="T20" s="38">
        <f t="shared" si="9"/>
        <v>1223.2035912187512</v>
      </c>
      <c r="Z20" s="29" t="s">
        <v>16</v>
      </c>
      <c r="AA20" s="35"/>
      <c r="AB20" s="35"/>
    </row>
    <row r="21" spans="2:28" ht="25" customHeight="1" x14ac:dyDescent="0.2">
      <c r="B21" s="41"/>
      <c r="C21" s="46">
        <v>6</v>
      </c>
      <c r="D21" s="28">
        <f t="shared" si="10"/>
        <v>-11.745962477254579</v>
      </c>
      <c r="E21" s="28">
        <f t="shared" si="10"/>
        <v>-45</v>
      </c>
      <c r="F21" s="28">
        <f t="shared" si="10"/>
        <v>-2.6032300535865773</v>
      </c>
      <c r="G21" s="28">
        <v>4</v>
      </c>
      <c r="H21" s="28">
        <f t="shared" si="11"/>
        <v>0.2</v>
      </c>
      <c r="I21" s="28">
        <f t="shared" si="4"/>
        <v>4.2</v>
      </c>
      <c r="J21" s="28">
        <f t="shared" si="5"/>
        <v>-55.149192530841155</v>
      </c>
      <c r="K21" s="28">
        <f t="shared" si="6"/>
        <v>-55.149192530841155</v>
      </c>
      <c r="L21" s="28">
        <f t="shared" si="7"/>
        <v>-47.603230053586579</v>
      </c>
      <c r="M21" s="28"/>
      <c r="N21" s="28">
        <v>0.25640000000000002</v>
      </c>
      <c r="O21" s="28">
        <f t="shared" si="0"/>
        <v>25640</v>
      </c>
      <c r="P21" s="28">
        <f t="shared" si="1"/>
        <v>74360</v>
      </c>
      <c r="Q21" s="28">
        <f t="shared" si="2"/>
        <v>-100043.40323005359</v>
      </c>
      <c r="R21" s="28">
        <f t="shared" si="3"/>
        <v>-12005.20838760643</v>
      </c>
      <c r="S21" s="28">
        <f t="shared" si="8"/>
        <v>11961.805157552843</v>
      </c>
      <c r="T21" s="38">
        <f t="shared" si="9"/>
        <v>1223.2071907501384</v>
      </c>
      <c r="Z21" s="29" t="s">
        <v>50</v>
      </c>
      <c r="AA21" s="32">
        <v>0.14000000000000001</v>
      </c>
      <c r="AB21" s="35"/>
    </row>
    <row r="22" spans="2:28" ht="25" customHeight="1" x14ac:dyDescent="0.2">
      <c r="B22" s="41"/>
      <c r="C22" s="46">
        <v>7</v>
      </c>
      <c r="D22" s="28">
        <f t="shared" si="10"/>
        <v>-11.745962477254579</v>
      </c>
      <c r="E22" s="28">
        <f t="shared" si="10"/>
        <v>-45</v>
      </c>
      <c r="F22" s="28">
        <f t="shared" si="10"/>
        <v>-2.6032300535865773</v>
      </c>
      <c r="G22" s="28">
        <v>4</v>
      </c>
      <c r="H22" s="28">
        <f t="shared" si="11"/>
        <v>0.24000000000000002</v>
      </c>
      <c r="I22" s="28">
        <f t="shared" si="4"/>
        <v>4.24</v>
      </c>
      <c r="J22" s="28">
        <f t="shared" si="5"/>
        <v>-55.109192530841156</v>
      </c>
      <c r="K22" s="28">
        <f t="shared" si="6"/>
        <v>-55.109192530841156</v>
      </c>
      <c r="L22" s="28">
        <f t="shared" si="7"/>
        <v>-47.603230053586579</v>
      </c>
      <c r="M22" s="28"/>
      <c r="N22" s="28">
        <v>0.25640000000000002</v>
      </c>
      <c r="O22" s="28">
        <f t="shared" si="0"/>
        <v>25640</v>
      </c>
      <c r="P22" s="28">
        <f t="shared" si="1"/>
        <v>74360</v>
      </c>
      <c r="Q22" s="28">
        <f t="shared" si="2"/>
        <v>-100043.36323005358</v>
      </c>
      <c r="R22" s="28">
        <f t="shared" si="3"/>
        <v>-12005.203587606429</v>
      </c>
      <c r="S22" s="28">
        <f t="shared" si="8"/>
        <v>11961.840357552843</v>
      </c>
      <c r="T22" s="38">
        <f t="shared" si="9"/>
        <v>1223.2107902815258</v>
      </c>
      <c r="Z22" s="29" t="s">
        <v>51</v>
      </c>
      <c r="AA22" s="35"/>
      <c r="AB22" s="35"/>
    </row>
    <row r="23" spans="2:28" ht="25" customHeight="1" x14ac:dyDescent="0.2">
      <c r="B23" s="41"/>
      <c r="C23" s="46">
        <v>8</v>
      </c>
      <c r="D23" s="28">
        <f t="shared" si="10"/>
        <v>-11.745962477254579</v>
      </c>
      <c r="E23" s="28">
        <f t="shared" si="10"/>
        <v>-45</v>
      </c>
      <c r="F23" s="28">
        <f t="shared" si="10"/>
        <v>-2.6032300535865773</v>
      </c>
      <c r="G23" s="28">
        <v>4</v>
      </c>
      <c r="H23" s="28">
        <f t="shared" si="11"/>
        <v>0.28000000000000003</v>
      </c>
      <c r="I23" s="28">
        <f t="shared" si="4"/>
        <v>4.28</v>
      </c>
      <c r="J23" s="28">
        <f t="shared" si="5"/>
        <v>-55.069192530841157</v>
      </c>
      <c r="K23" s="28">
        <f t="shared" si="6"/>
        <v>-55.069192530841157</v>
      </c>
      <c r="L23" s="28">
        <f t="shared" si="7"/>
        <v>-47.603230053586579</v>
      </c>
      <c r="M23" s="28"/>
      <c r="N23" s="28">
        <v>0.25640000000000002</v>
      </c>
      <c r="O23" s="28">
        <f t="shared" si="0"/>
        <v>25640</v>
      </c>
      <c r="P23" s="28">
        <f t="shared" si="1"/>
        <v>74360</v>
      </c>
      <c r="Q23" s="28">
        <f t="shared" si="2"/>
        <v>-100043.32323005359</v>
      </c>
      <c r="R23" s="28">
        <f t="shared" si="3"/>
        <v>-12005.19878760643</v>
      </c>
      <c r="S23" s="28">
        <f t="shared" si="8"/>
        <v>11961.875557552843</v>
      </c>
      <c r="T23" s="38">
        <f t="shared" si="9"/>
        <v>1223.2143898129132</v>
      </c>
    </row>
    <row r="24" spans="2:28" ht="25" customHeight="1" x14ac:dyDescent="0.2">
      <c r="B24" s="41"/>
      <c r="C24" s="46">
        <v>9</v>
      </c>
      <c r="D24" s="28">
        <f t="shared" si="10"/>
        <v>-11.745962477254579</v>
      </c>
      <c r="E24" s="28">
        <f t="shared" si="10"/>
        <v>-45</v>
      </c>
      <c r="F24" s="28">
        <f t="shared" si="10"/>
        <v>-2.6032300535865773</v>
      </c>
      <c r="G24" s="28">
        <v>4</v>
      </c>
      <c r="H24" s="28">
        <f t="shared" si="11"/>
        <v>0.32</v>
      </c>
      <c r="I24" s="28">
        <f t="shared" si="4"/>
        <v>4.32</v>
      </c>
      <c r="J24" s="28">
        <f t="shared" si="5"/>
        <v>-55.029192530841158</v>
      </c>
      <c r="K24" s="28">
        <f t="shared" si="6"/>
        <v>-55.029192530841158</v>
      </c>
      <c r="L24" s="28">
        <f t="shared" si="7"/>
        <v>-47.603230053586579</v>
      </c>
      <c r="M24" s="28"/>
      <c r="N24" s="28">
        <v>0.25640000000000002</v>
      </c>
      <c r="O24" s="28">
        <f t="shared" si="0"/>
        <v>25640</v>
      </c>
      <c r="P24" s="28">
        <f t="shared" si="1"/>
        <v>74360</v>
      </c>
      <c r="Q24" s="28">
        <f t="shared" si="2"/>
        <v>-100043.28323005358</v>
      </c>
      <c r="R24" s="28">
        <f t="shared" si="3"/>
        <v>-12005.19398760643</v>
      </c>
      <c r="S24" s="28">
        <f t="shared" si="8"/>
        <v>11961.910757552843</v>
      </c>
      <c r="T24" s="38">
        <f t="shared" si="9"/>
        <v>1223.2179893443006</v>
      </c>
    </row>
    <row r="25" spans="2:28" ht="25" customHeight="1" x14ac:dyDescent="0.2">
      <c r="B25" s="41"/>
      <c r="C25" s="46">
        <v>10</v>
      </c>
      <c r="D25" s="28">
        <f t="shared" si="10"/>
        <v>-11.745962477254579</v>
      </c>
      <c r="E25" s="28">
        <f t="shared" si="10"/>
        <v>-45</v>
      </c>
      <c r="F25" s="28">
        <f t="shared" si="10"/>
        <v>-2.6032300535865773</v>
      </c>
      <c r="G25" s="28">
        <v>4</v>
      </c>
      <c r="H25" s="28">
        <f t="shared" si="11"/>
        <v>0.36</v>
      </c>
      <c r="I25" s="28">
        <f t="shared" si="4"/>
        <v>4.3600000000000003</v>
      </c>
      <c r="J25" s="28">
        <f t="shared" si="5"/>
        <v>-54.989192530841159</v>
      </c>
      <c r="K25" s="28">
        <f t="shared" si="6"/>
        <v>-54.989192530841159</v>
      </c>
      <c r="L25" s="28">
        <f t="shared" si="7"/>
        <v>-47.603230053586579</v>
      </c>
      <c r="M25" s="28"/>
      <c r="N25" s="28">
        <v>0.25640000000000002</v>
      </c>
      <c r="O25" s="28">
        <f t="shared" si="0"/>
        <v>25640</v>
      </c>
      <c r="P25" s="28">
        <f t="shared" si="1"/>
        <v>74360</v>
      </c>
      <c r="Q25" s="28">
        <f t="shared" si="2"/>
        <v>-100043.24323005359</v>
      </c>
      <c r="R25" s="28">
        <f t="shared" si="3"/>
        <v>-12005.189187606429</v>
      </c>
      <c r="S25" s="28">
        <f t="shared" si="8"/>
        <v>11961.945957552842</v>
      </c>
      <c r="T25" s="38">
        <f t="shared" si="9"/>
        <v>1223.221588875688</v>
      </c>
    </row>
    <row r="26" spans="2:28" ht="25" customHeight="1" x14ac:dyDescent="0.2">
      <c r="B26" s="41"/>
      <c r="C26" s="46">
        <v>11</v>
      </c>
      <c r="D26" s="28">
        <f t="shared" si="10"/>
        <v>-11.745962477254579</v>
      </c>
      <c r="E26" s="28">
        <f t="shared" si="10"/>
        <v>-45</v>
      </c>
      <c r="F26" s="28">
        <f t="shared" si="10"/>
        <v>-2.6032300535865773</v>
      </c>
      <c r="G26" s="28">
        <v>4</v>
      </c>
      <c r="H26" s="28">
        <f t="shared" si="11"/>
        <v>0.39999999999999997</v>
      </c>
      <c r="I26" s="28">
        <f t="shared" si="4"/>
        <v>4.4000000000000004</v>
      </c>
      <c r="J26" s="28">
        <f t="shared" si="5"/>
        <v>-54.94919253084116</v>
      </c>
      <c r="K26" s="28">
        <f t="shared" si="6"/>
        <v>-54.94919253084116</v>
      </c>
      <c r="L26" s="28">
        <f t="shared" si="7"/>
        <v>-47.603230053586579</v>
      </c>
      <c r="M26" s="28"/>
      <c r="N26" s="28">
        <v>0.25640000000000002</v>
      </c>
      <c r="O26" s="28">
        <f t="shared" si="0"/>
        <v>25640</v>
      </c>
      <c r="P26" s="28">
        <f t="shared" si="1"/>
        <v>74360</v>
      </c>
      <c r="Q26" s="28">
        <f t="shared" si="2"/>
        <v>-100043.20323005358</v>
      </c>
      <c r="R26" s="28">
        <f t="shared" si="3"/>
        <v>-12005.184387606429</v>
      </c>
      <c r="S26" s="28">
        <f t="shared" si="8"/>
        <v>11961.981157552842</v>
      </c>
      <c r="T26" s="38">
        <f t="shared" si="9"/>
        <v>1223.2251884070754</v>
      </c>
    </row>
    <row r="27" spans="2:28" ht="25" customHeight="1" x14ac:dyDescent="0.2">
      <c r="B27" s="41"/>
      <c r="C27" s="46">
        <v>12</v>
      </c>
      <c r="D27" s="28">
        <f t="shared" si="10"/>
        <v>-11.745962477254579</v>
      </c>
      <c r="E27" s="28">
        <f t="shared" si="10"/>
        <v>-45</v>
      </c>
      <c r="F27" s="28">
        <f t="shared" si="10"/>
        <v>-2.6032300535865773</v>
      </c>
      <c r="G27" s="28">
        <v>4</v>
      </c>
      <c r="H27" s="28">
        <f t="shared" si="11"/>
        <v>0.43999999999999995</v>
      </c>
      <c r="I27" s="28">
        <f t="shared" si="4"/>
        <v>4.4399999999999995</v>
      </c>
      <c r="J27" s="28">
        <f t="shared" si="5"/>
        <v>-54.90919253084116</v>
      </c>
      <c r="K27" s="28">
        <f t="shared" si="6"/>
        <v>-54.90919253084116</v>
      </c>
      <c r="L27" s="28">
        <f t="shared" si="7"/>
        <v>-47.603230053586579</v>
      </c>
      <c r="M27" s="28"/>
      <c r="N27" s="28">
        <v>0.25640000000000002</v>
      </c>
      <c r="O27" s="28">
        <f t="shared" si="0"/>
        <v>25640</v>
      </c>
      <c r="P27" s="28">
        <f t="shared" si="1"/>
        <v>74360</v>
      </c>
      <c r="Q27" s="28">
        <f t="shared" si="2"/>
        <v>-100043.16323005359</v>
      </c>
      <c r="R27" s="28">
        <f t="shared" si="3"/>
        <v>-12005.17958760643</v>
      </c>
      <c r="S27" s="28">
        <f t="shared" si="8"/>
        <v>11962.016357552844</v>
      </c>
      <c r="T27" s="38">
        <f t="shared" si="9"/>
        <v>1223.2287879384628</v>
      </c>
    </row>
    <row r="28" spans="2:28" ht="25" customHeight="1" x14ac:dyDescent="0.2">
      <c r="B28" s="41"/>
      <c r="C28" s="46">
        <v>13</v>
      </c>
      <c r="D28" s="28">
        <f t="shared" si="10"/>
        <v>-11.745962477254579</v>
      </c>
      <c r="E28" s="28">
        <f t="shared" si="10"/>
        <v>-45</v>
      </c>
      <c r="F28" s="28">
        <f t="shared" si="10"/>
        <v>-2.6032300535865773</v>
      </c>
      <c r="G28" s="28">
        <v>4</v>
      </c>
      <c r="H28" s="28">
        <f t="shared" si="11"/>
        <v>0.47999999999999993</v>
      </c>
      <c r="I28" s="28">
        <f t="shared" si="4"/>
        <v>4.4799999999999995</v>
      </c>
      <c r="J28" s="28">
        <f t="shared" si="5"/>
        <v>-54.869192530841161</v>
      </c>
      <c r="K28" s="28">
        <f t="shared" si="6"/>
        <v>-54.869192530841161</v>
      </c>
      <c r="L28" s="28">
        <f t="shared" si="7"/>
        <v>-47.603230053586579</v>
      </c>
      <c r="M28" s="28"/>
      <c r="N28" s="28">
        <v>0.25640000000000002</v>
      </c>
      <c r="O28" s="28">
        <f t="shared" si="0"/>
        <v>25640</v>
      </c>
      <c r="P28" s="28">
        <f t="shared" si="1"/>
        <v>74360</v>
      </c>
      <c r="Q28" s="28">
        <f t="shared" si="2"/>
        <v>-100043.12323005359</v>
      </c>
      <c r="R28" s="28">
        <f t="shared" si="3"/>
        <v>-12005.174787606431</v>
      </c>
      <c r="S28" s="28">
        <f t="shared" si="8"/>
        <v>11962.051557552844</v>
      </c>
      <c r="T28" s="38">
        <f t="shared" si="9"/>
        <v>1223.2323874698502</v>
      </c>
    </row>
    <row r="29" spans="2:28" ht="25" customHeight="1" x14ac:dyDescent="0.2">
      <c r="B29" s="41"/>
      <c r="C29" s="46">
        <v>14</v>
      </c>
      <c r="D29" s="28">
        <f t="shared" si="10"/>
        <v>-11.745962477254579</v>
      </c>
      <c r="E29" s="28">
        <f t="shared" si="10"/>
        <v>-45</v>
      </c>
      <c r="F29" s="28">
        <f t="shared" si="10"/>
        <v>-2.6032300535865773</v>
      </c>
      <c r="G29" s="28">
        <v>4</v>
      </c>
      <c r="H29" s="28">
        <f t="shared" si="11"/>
        <v>0.51999999999999991</v>
      </c>
      <c r="I29" s="28">
        <f t="shared" si="4"/>
        <v>4.5199999999999996</v>
      </c>
      <c r="J29" s="28">
        <f t="shared" si="5"/>
        <v>-54.829192530841155</v>
      </c>
      <c r="K29" s="28">
        <f t="shared" si="6"/>
        <v>-54.829192530841155</v>
      </c>
      <c r="L29" s="28">
        <f t="shared" si="7"/>
        <v>-47.603230053586579</v>
      </c>
      <c r="M29" s="28"/>
      <c r="N29" s="28">
        <v>0.25640000000000002</v>
      </c>
      <c r="O29" s="28">
        <f t="shared" si="0"/>
        <v>25640</v>
      </c>
      <c r="P29" s="28">
        <f t="shared" si="1"/>
        <v>74360</v>
      </c>
      <c r="Q29" s="28">
        <f t="shared" si="2"/>
        <v>-100043.08323005358</v>
      </c>
      <c r="R29" s="28">
        <f t="shared" si="3"/>
        <v>-12005.16998760643</v>
      </c>
      <c r="S29" s="28">
        <f t="shared" si="8"/>
        <v>11962.086757552845</v>
      </c>
      <c r="T29" s="38">
        <f t="shared" si="9"/>
        <v>1223.2359870012376</v>
      </c>
    </row>
    <row r="30" spans="2:28" ht="25" customHeight="1" x14ac:dyDescent="0.2">
      <c r="B30" s="41"/>
      <c r="C30" s="46">
        <v>15</v>
      </c>
      <c r="D30" s="28">
        <f t="shared" si="10"/>
        <v>-11.745962477254579</v>
      </c>
      <c r="E30" s="28">
        <f t="shared" si="10"/>
        <v>-45</v>
      </c>
      <c r="F30" s="28">
        <f t="shared" si="10"/>
        <v>-2.6032300535865773</v>
      </c>
      <c r="G30" s="28">
        <v>4</v>
      </c>
      <c r="H30" s="28">
        <f t="shared" si="11"/>
        <v>0.55999999999999994</v>
      </c>
      <c r="I30" s="28">
        <f t="shared" si="4"/>
        <v>4.5599999999999996</v>
      </c>
      <c r="J30" s="28">
        <f t="shared" si="5"/>
        <v>-54.789192530841156</v>
      </c>
      <c r="K30" s="28">
        <f t="shared" si="6"/>
        <v>-54.789192530841156</v>
      </c>
      <c r="L30" s="28">
        <f t="shared" si="7"/>
        <v>-47.603230053586579</v>
      </c>
      <c r="M30" s="28"/>
      <c r="N30" s="28">
        <v>0.25640000000000002</v>
      </c>
      <c r="O30" s="28">
        <f t="shared" si="0"/>
        <v>25640</v>
      </c>
      <c r="P30" s="28">
        <f t="shared" si="1"/>
        <v>74360</v>
      </c>
      <c r="Q30" s="28">
        <f t="shared" si="2"/>
        <v>-100043.04323005359</v>
      </c>
      <c r="R30" s="28">
        <f t="shared" si="3"/>
        <v>-12005.16518760643</v>
      </c>
      <c r="S30" s="28">
        <f t="shared" si="8"/>
        <v>11962.121957552843</v>
      </c>
      <c r="T30" s="38">
        <f t="shared" si="9"/>
        <v>1223.239586532625</v>
      </c>
    </row>
    <row r="31" spans="2:28" ht="25" customHeight="1" x14ac:dyDescent="0.2">
      <c r="B31" s="41"/>
      <c r="C31" s="46">
        <v>16</v>
      </c>
      <c r="D31" s="28">
        <f t="shared" si="10"/>
        <v>-11.745962477254579</v>
      </c>
      <c r="E31" s="28">
        <f t="shared" si="10"/>
        <v>-45</v>
      </c>
      <c r="F31" s="28">
        <f t="shared" si="10"/>
        <v>-2.6032300535865773</v>
      </c>
      <c r="G31" s="28">
        <v>4</v>
      </c>
      <c r="H31" s="28">
        <f t="shared" si="11"/>
        <v>0.6</v>
      </c>
      <c r="I31" s="28">
        <f t="shared" si="4"/>
        <v>4.5999999999999996</v>
      </c>
      <c r="J31" s="28">
        <f t="shared" si="5"/>
        <v>-54.749192530841157</v>
      </c>
      <c r="K31" s="28">
        <f t="shared" si="6"/>
        <v>-54.749192530841157</v>
      </c>
      <c r="L31" s="28">
        <f t="shared" si="7"/>
        <v>-47.603230053586579</v>
      </c>
      <c r="M31" s="28"/>
      <c r="N31" s="28">
        <v>0.25640000000000002</v>
      </c>
      <c r="O31" s="28">
        <f t="shared" si="0"/>
        <v>25640</v>
      </c>
      <c r="P31" s="28">
        <f t="shared" si="1"/>
        <v>74360</v>
      </c>
      <c r="Q31" s="28">
        <f t="shared" si="2"/>
        <v>-100043.00323005358</v>
      </c>
      <c r="R31" s="28">
        <f t="shared" si="3"/>
        <v>-12005.160387606429</v>
      </c>
      <c r="S31" s="28">
        <f t="shared" si="8"/>
        <v>11962.157157552843</v>
      </c>
      <c r="T31" s="38">
        <f t="shared" si="9"/>
        <v>1223.2431860640124</v>
      </c>
    </row>
    <row r="32" spans="2:28" ht="25" customHeight="1" x14ac:dyDescent="0.2">
      <c r="B32" s="41"/>
      <c r="C32" s="46">
        <v>17</v>
      </c>
      <c r="D32" s="28">
        <f t="shared" si="10"/>
        <v>-11.745962477254579</v>
      </c>
      <c r="E32" s="28">
        <f t="shared" si="10"/>
        <v>-45</v>
      </c>
      <c r="F32" s="28">
        <f t="shared" si="10"/>
        <v>-2.6032300535865773</v>
      </c>
      <c r="G32" s="28">
        <v>4</v>
      </c>
      <c r="H32" s="28">
        <f t="shared" si="11"/>
        <v>0.64</v>
      </c>
      <c r="I32" s="28">
        <f t="shared" si="4"/>
        <v>4.6399999999999997</v>
      </c>
      <c r="J32" s="28">
        <f t="shared" si="5"/>
        <v>-54.709192530841158</v>
      </c>
      <c r="K32" s="28">
        <f t="shared" si="6"/>
        <v>-54.709192530841158</v>
      </c>
      <c r="L32" s="28">
        <f t="shared" si="7"/>
        <v>-47.603230053586579</v>
      </c>
      <c r="M32" s="28"/>
      <c r="N32" s="28">
        <v>0.25640000000000002</v>
      </c>
      <c r="O32" s="28">
        <f t="shared" si="0"/>
        <v>25640</v>
      </c>
      <c r="P32" s="28">
        <f t="shared" si="1"/>
        <v>74360</v>
      </c>
      <c r="Q32" s="28">
        <f t="shared" si="2"/>
        <v>-100042.96323005359</v>
      </c>
      <c r="R32" s="28">
        <f t="shared" si="3"/>
        <v>-12005.15558760643</v>
      </c>
      <c r="S32" s="28">
        <f t="shared" si="8"/>
        <v>11962.192357552844</v>
      </c>
      <c r="T32" s="38">
        <f t="shared" si="9"/>
        <v>1223.2467855953998</v>
      </c>
    </row>
    <row r="33" spans="2:20" ht="25" customHeight="1" x14ac:dyDescent="0.2">
      <c r="B33" s="41"/>
      <c r="C33" s="46">
        <v>18</v>
      </c>
      <c r="D33" s="28">
        <f t="shared" si="10"/>
        <v>-11.745962477254579</v>
      </c>
      <c r="E33" s="28">
        <f t="shared" si="10"/>
        <v>-45</v>
      </c>
      <c r="F33" s="28">
        <f t="shared" si="10"/>
        <v>-2.6032300535865773</v>
      </c>
      <c r="G33" s="28">
        <v>4</v>
      </c>
      <c r="H33" s="28">
        <f t="shared" si="11"/>
        <v>0.68</v>
      </c>
      <c r="I33" s="28">
        <f t="shared" si="4"/>
        <v>4.68</v>
      </c>
      <c r="J33" s="28">
        <f t="shared" si="5"/>
        <v>-54.669192530841158</v>
      </c>
      <c r="K33" s="28">
        <f t="shared" si="6"/>
        <v>-54.669192530841158</v>
      </c>
      <c r="L33" s="28">
        <f t="shared" si="7"/>
        <v>-47.603230053586579</v>
      </c>
      <c r="M33" s="28"/>
      <c r="N33" s="28">
        <v>0.25640000000000002</v>
      </c>
      <c r="O33" s="28">
        <f t="shared" si="0"/>
        <v>25640</v>
      </c>
      <c r="P33" s="28">
        <f t="shared" si="1"/>
        <v>74360</v>
      </c>
      <c r="Q33" s="28">
        <f t="shared" si="2"/>
        <v>-100042.92323005358</v>
      </c>
      <c r="R33" s="28">
        <f t="shared" si="3"/>
        <v>-12005.15078760643</v>
      </c>
      <c r="S33" s="28">
        <f t="shared" si="8"/>
        <v>11962.227557552844</v>
      </c>
      <c r="T33" s="38">
        <f t="shared" si="9"/>
        <v>1223.2503851267873</v>
      </c>
    </row>
    <row r="34" spans="2:20" ht="25" customHeight="1" x14ac:dyDescent="0.2">
      <c r="B34" s="41"/>
      <c r="C34" s="46">
        <v>19</v>
      </c>
      <c r="D34" s="28">
        <f t="shared" si="10"/>
        <v>-11.745962477254579</v>
      </c>
      <c r="E34" s="28">
        <f t="shared" si="10"/>
        <v>-45</v>
      </c>
      <c r="F34" s="28">
        <f t="shared" si="10"/>
        <v>-2.6032300535865773</v>
      </c>
      <c r="G34" s="28">
        <v>4</v>
      </c>
      <c r="H34" s="28">
        <f t="shared" si="11"/>
        <v>0.72000000000000008</v>
      </c>
      <c r="I34" s="28">
        <f t="shared" si="4"/>
        <v>4.72</v>
      </c>
      <c r="J34" s="28">
        <f t="shared" si="5"/>
        <v>-54.629192530841159</v>
      </c>
      <c r="K34" s="28">
        <f t="shared" si="6"/>
        <v>-54.629192530841159</v>
      </c>
      <c r="L34" s="28">
        <f t="shared" si="7"/>
        <v>-47.603230053586579</v>
      </c>
      <c r="M34" s="28"/>
      <c r="N34" s="28">
        <v>0.25640000000000002</v>
      </c>
      <c r="O34" s="28">
        <f t="shared" si="0"/>
        <v>25640</v>
      </c>
      <c r="P34" s="28">
        <f t="shared" si="1"/>
        <v>74360</v>
      </c>
      <c r="Q34" s="28">
        <f t="shared" si="2"/>
        <v>-100042.88323005359</v>
      </c>
      <c r="R34" s="28">
        <f t="shared" si="3"/>
        <v>-12005.145987606429</v>
      </c>
      <c r="S34" s="28">
        <f t="shared" si="8"/>
        <v>11962.262757552842</v>
      </c>
      <c r="T34" s="38">
        <f t="shared" si="9"/>
        <v>1223.2539846581744</v>
      </c>
    </row>
    <row r="35" spans="2:20" ht="25" customHeight="1" x14ac:dyDescent="0.2">
      <c r="B35" s="41"/>
      <c r="C35" s="46">
        <v>20</v>
      </c>
      <c r="D35" s="28">
        <f t="shared" si="10"/>
        <v>-11.745962477254579</v>
      </c>
      <c r="E35" s="28">
        <f t="shared" si="10"/>
        <v>-45</v>
      </c>
      <c r="F35" s="28">
        <f>F34</f>
        <v>-2.6032300535865773</v>
      </c>
      <c r="G35" s="28">
        <v>4</v>
      </c>
      <c r="H35" s="28">
        <f>H34+0.04</f>
        <v>0.76000000000000012</v>
      </c>
      <c r="I35" s="28">
        <f t="shared" si="4"/>
        <v>4.76</v>
      </c>
      <c r="J35" s="28">
        <f t="shared" si="5"/>
        <v>-54.58919253084116</v>
      </c>
      <c r="K35" s="28">
        <f t="shared" si="6"/>
        <v>-54.58919253084116</v>
      </c>
      <c r="L35" s="28">
        <f t="shared" si="7"/>
        <v>-47.603230053586579</v>
      </c>
      <c r="M35" s="28"/>
      <c r="N35" s="28">
        <v>0.25640000000000002</v>
      </c>
      <c r="O35" s="28">
        <f t="shared" si="0"/>
        <v>25640</v>
      </c>
      <c r="P35" s="28">
        <f t="shared" si="1"/>
        <v>74360</v>
      </c>
      <c r="Q35" s="28">
        <f t="shared" si="2"/>
        <v>-100042.84323005359</v>
      </c>
      <c r="R35" s="28">
        <f t="shared" si="3"/>
        <v>-12005.14118760643</v>
      </c>
      <c r="S35" s="28">
        <f t="shared" si="8"/>
        <v>11962.297957552844</v>
      </c>
      <c r="T35" s="38">
        <f t="shared" si="9"/>
        <v>1223.2575841895621</v>
      </c>
    </row>
    <row r="36" spans="2:20" ht="25" customHeight="1" x14ac:dyDescent="0.2">
      <c r="B36" s="41"/>
      <c r="C36" s="46">
        <v>21</v>
      </c>
      <c r="D36" s="28">
        <f t="shared" si="10"/>
        <v>-11.745962477254579</v>
      </c>
      <c r="E36" s="28">
        <f t="shared" si="10"/>
        <v>-45</v>
      </c>
      <c r="F36" s="28">
        <f t="shared" si="10"/>
        <v>-2.6032300535865773</v>
      </c>
      <c r="G36" s="28">
        <v>4</v>
      </c>
      <c r="H36" s="28">
        <f t="shared" si="11"/>
        <v>0.80000000000000016</v>
      </c>
      <c r="I36" s="28">
        <f t="shared" ref="I36:I51" si="12">G36+H36</f>
        <v>4.8</v>
      </c>
      <c r="J36" s="28">
        <f t="shared" ref="J36:J51" si="13">D36+E36+F36+I36</f>
        <v>-54.549192530841161</v>
      </c>
      <c r="K36" s="28">
        <f t="shared" ref="K36:K51" si="14">D36+E36+F36+I36</f>
        <v>-54.549192530841161</v>
      </c>
      <c r="L36" s="28">
        <f t="shared" ref="L36:L51" si="15">E36+F36</f>
        <v>-47.603230053586579</v>
      </c>
      <c r="M36" s="28"/>
      <c r="N36" s="28">
        <v>0.25640000000000002</v>
      </c>
      <c r="O36" s="28">
        <f t="shared" si="0"/>
        <v>25640</v>
      </c>
      <c r="P36" s="28">
        <f t="shared" si="1"/>
        <v>74360</v>
      </c>
      <c r="Q36" s="28">
        <f t="shared" si="2"/>
        <v>-100042.80323005359</v>
      </c>
      <c r="R36" s="28">
        <f t="shared" si="3"/>
        <v>-12005.13638760643</v>
      </c>
      <c r="S36" s="28">
        <f t="shared" si="8"/>
        <v>11962.333157552843</v>
      </c>
      <c r="T36" s="38">
        <f t="shared" si="9"/>
        <v>1223.2611837209492</v>
      </c>
    </row>
    <row r="37" spans="2:20" ht="25" customHeight="1" x14ac:dyDescent="0.2">
      <c r="B37" s="41"/>
      <c r="C37" s="46">
        <v>22</v>
      </c>
      <c r="D37" s="28">
        <f t="shared" ref="D37:F54" si="16">D36</f>
        <v>-11.745962477254579</v>
      </c>
      <c r="E37" s="28">
        <f t="shared" si="16"/>
        <v>-45</v>
      </c>
      <c r="F37" s="28">
        <f t="shared" si="16"/>
        <v>-2.6032300535865773</v>
      </c>
      <c r="G37" s="28">
        <v>4</v>
      </c>
      <c r="H37" s="28">
        <f t="shared" si="11"/>
        <v>0.84000000000000019</v>
      </c>
      <c r="I37" s="28">
        <f t="shared" si="12"/>
        <v>4.84</v>
      </c>
      <c r="J37" s="28">
        <f t="shared" si="13"/>
        <v>-54.509192530841162</v>
      </c>
      <c r="K37" s="28">
        <f t="shared" si="14"/>
        <v>-54.509192530841162</v>
      </c>
      <c r="L37" s="28">
        <f t="shared" si="15"/>
        <v>-47.603230053586579</v>
      </c>
      <c r="M37" s="28"/>
      <c r="N37" s="28">
        <v>0.25640000000000002</v>
      </c>
      <c r="O37" s="28">
        <f t="shared" si="0"/>
        <v>25640</v>
      </c>
      <c r="P37" s="28">
        <f t="shared" si="1"/>
        <v>74360</v>
      </c>
      <c r="Q37" s="28">
        <f t="shared" si="2"/>
        <v>-100042.76323005359</v>
      </c>
      <c r="R37" s="28">
        <f t="shared" si="3"/>
        <v>-12005.131587606431</v>
      </c>
      <c r="S37" s="28">
        <f t="shared" si="8"/>
        <v>11962.368357552845</v>
      </c>
      <c r="T37" s="38">
        <f t="shared" si="9"/>
        <v>1223.2647832523369</v>
      </c>
    </row>
    <row r="38" spans="2:20" ht="25" customHeight="1" x14ac:dyDescent="0.2">
      <c r="B38" s="41"/>
      <c r="C38" s="46">
        <v>23</v>
      </c>
      <c r="D38" s="28">
        <f t="shared" si="16"/>
        <v>-11.745962477254579</v>
      </c>
      <c r="E38" s="28">
        <f t="shared" si="16"/>
        <v>-45</v>
      </c>
      <c r="F38" s="28">
        <f t="shared" si="16"/>
        <v>-2.6032300535865773</v>
      </c>
      <c r="G38" s="28">
        <v>4</v>
      </c>
      <c r="H38" s="28">
        <f t="shared" si="11"/>
        <v>0.88000000000000023</v>
      </c>
      <c r="I38" s="28">
        <f t="shared" si="12"/>
        <v>4.88</v>
      </c>
      <c r="J38" s="28">
        <f t="shared" si="13"/>
        <v>-54.469192530841156</v>
      </c>
      <c r="K38" s="28">
        <f t="shared" si="14"/>
        <v>-54.469192530841156</v>
      </c>
      <c r="L38" s="28">
        <f t="shared" si="15"/>
        <v>-47.603230053586579</v>
      </c>
      <c r="M38" s="28"/>
      <c r="N38" s="28">
        <v>0.25640000000000002</v>
      </c>
      <c r="O38" s="28">
        <f t="shared" si="0"/>
        <v>25640</v>
      </c>
      <c r="P38" s="28">
        <f t="shared" si="1"/>
        <v>74360</v>
      </c>
      <c r="Q38" s="28">
        <f t="shared" si="2"/>
        <v>-100042.72323005358</v>
      </c>
      <c r="R38" s="28">
        <f t="shared" si="3"/>
        <v>-12005.12678760643</v>
      </c>
      <c r="S38" s="28">
        <f t="shared" si="8"/>
        <v>11962.403557552843</v>
      </c>
      <c r="T38" s="38">
        <f t="shared" si="9"/>
        <v>1223.2683827837243</v>
      </c>
    </row>
    <row r="39" spans="2:20" ht="25" customHeight="1" x14ac:dyDescent="0.2">
      <c r="B39" s="41"/>
      <c r="C39" s="46">
        <v>24</v>
      </c>
      <c r="D39" s="28">
        <f t="shared" si="16"/>
        <v>-11.745962477254579</v>
      </c>
      <c r="E39" s="28">
        <f t="shared" si="16"/>
        <v>-45</v>
      </c>
      <c r="F39" s="28">
        <f t="shared" si="16"/>
        <v>-2.6032300535865773</v>
      </c>
      <c r="G39" s="28">
        <v>4</v>
      </c>
      <c r="H39" s="28">
        <f t="shared" si="11"/>
        <v>0.92000000000000026</v>
      </c>
      <c r="I39" s="28">
        <f t="shared" si="12"/>
        <v>4.92</v>
      </c>
      <c r="J39" s="28">
        <f t="shared" si="13"/>
        <v>-54.429192530841156</v>
      </c>
      <c r="K39" s="28">
        <f t="shared" si="14"/>
        <v>-54.429192530841156</v>
      </c>
      <c r="L39" s="28">
        <f t="shared" si="15"/>
        <v>-47.603230053586579</v>
      </c>
      <c r="M39" s="28"/>
      <c r="N39" s="28">
        <v>0.25640000000000002</v>
      </c>
      <c r="O39" s="28">
        <f t="shared" si="0"/>
        <v>25640</v>
      </c>
      <c r="P39" s="28">
        <f t="shared" si="1"/>
        <v>74360</v>
      </c>
      <c r="Q39" s="28">
        <f t="shared" si="2"/>
        <v>-100042.68323005359</v>
      </c>
      <c r="R39" s="28">
        <f t="shared" si="3"/>
        <v>-12005.12198760643</v>
      </c>
      <c r="S39" s="28">
        <f t="shared" si="8"/>
        <v>11962.438757552844</v>
      </c>
      <c r="T39" s="38">
        <f t="shared" si="9"/>
        <v>1223.2719823151117</v>
      </c>
    </row>
    <row r="40" spans="2:20" ht="25" customHeight="1" x14ac:dyDescent="0.2">
      <c r="B40" s="41"/>
      <c r="C40" s="46">
        <v>25</v>
      </c>
      <c r="D40" s="28">
        <f t="shared" si="16"/>
        <v>-11.745962477254579</v>
      </c>
      <c r="E40" s="28">
        <f t="shared" si="16"/>
        <v>-45</v>
      </c>
      <c r="F40" s="28">
        <f t="shared" si="16"/>
        <v>-2.6032300535865773</v>
      </c>
      <c r="G40" s="28">
        <v>4</v>
      </c>
      <c r="H40" s="28">
        <f t="shared" si="11"/>
        <v>0.9600000000000003</v>
      </c>
      <c r="I40" s="28">
        <f t="shared" si="12"/>
        <v>4.96</v>
      </c>
      <c r="J40" s="28">
        <f t="shared" si="13"/>
        <v>-54.389192530841157</v>
      </c>
      <c r="K40" s="28">
        <f t="shared" si="14"/>
        <v>-54.389192530841157</v>
      </c>
      <c r="L40" s="28">
        <f t="shared" si="15"/>
        <v>-47.603230053586579</v>
      </c>
      <c r="M40" s="28"/>
      <c r="N40" s="28">
        <v>0.25640000000000002</v>
      </c>
      <c r="O40" s="28">
        <f t="shared" si="0"/>
        <v>25640</v>
      </c>
      <c r="P40" s="28">
        <f t="shared" si="1"/>
        <v>74360</v>
      </c>
      <c r="Q40" s="28">
        <f t="shared" si="2"/>
        <v>-100042.64323005358</v>
      </c>
      <c r="R40" s="28">
        <f t="shared" si="3"/>
        <v>-12005.117187606429</v>
      </c>
      <c r="S40" s="28">
        <f t="shared" si="8"/>
        <v>11962.473957552842</v>
      </c>
      <c r="T40" s="38">
        <f t="shared" si="9"/>
        <v>1223.2755818464989</v>
      </c>
    </row>
    <row r="41" spans="2:20" ht="25" customHeight="1" x14ac:dyDescent="0.2">
      <c r="B41" s="41"/>
      <c r="C41" s="46">
        <v>26</v>
      </c>
      <c r="D41" s="28">
        <f t="shared" si="16"/>
        <v>-11.745962477254579</v>
      </c>
      <c r="E41" s="28">
        <f t="shared" si="16"/>
        <v>-45</v>
      </c>
      <c r="F41" s="28">
        <f t="shared" si="16"/>
        <v>-2.6032300535865773</v>
      </c>
      <c r="G41" s="28">
        <v>4</v>
      </c>
      <c r="H41" s="28">
        <f t="shared" si="11"/>
        <v>1.0000000000000002</v>
      </c>
      <c r="I41" s="28">
        <f t="shared" si="12"/>
        <v>5</v>
      </c>
      <c r="J41" s="28">
        <f t="shared" si="13"/>
        <v>-54.349192530841158</v>
      </c>
      <c r="K41" s="28">
        <f t="shared" si="14"/>
        <v>-54.349192530841158</v>
      </c>
      <c r="L41" s="28">
        <f t="shared" si="15"/>
        <v>-47.603230053586579</v>
      </c>
      <c r="M41" s="28"/>
      <c r="N41" s="28">
        <v>0.25640000000000002</v>
      </c>
      <c r="O41" s="28">
        <f t="shared" si="0"/>
        <v>25640</v>
      </c>
      <c r="P41" s="28">
        <f t="shared" si="1"/>
        <v>74360</v>
      </c>
      <c r="Q41" s="28">
        <f t="shared" si="2"/>
        <v>-100042.60323005359</v>
      </c>
      <c r="R41" s="28">
        <f t="shared" si="3"/>
        <v>-12005.11238760643</v>
      </c>
      <c r="S41" s="28">
        <f t="shared" si="8"/>
        <v>11962.509157552844</v>
      </c>
      <c r="T41" s="38">
        <f t="shared" si="9"/>
        <v>1223.2791813778865</v>
      </c>
    </row>
    <row r="42" spans="2:20" ht="25" customHeight="1" x14ac:dyDescent="0.2">
      <c r="B42" s="41"/>
      <c r="C42" s="46">
        <v>27</v>
      </c>
      <c r="D42" s="28">
        <f t="shared" si="16"/>
        <v>-11.745962477254579</v>
      </c>
      <c r="E42" s="28">
        <f t="shared" si="16"/>
        <v>-45</v>
      </c>
      <c r="F42" s="28">
        <f t="shared" si="16"/>
        <v>-2.6032300535865773</v>
      </c>
      <c r="G42" s="28">
        <v>4</v>
      </c>
      <c r="H42" s="28">
        <f t="shared" si="11"/>
        <v>1.0400000000000003</v>
      </c>
      <c r="I42" s="28">
        <f t="shared" si="12"/>
        <v>5.04</v>
      </c>
      <c r="J42" s="28">
        <f t="shared" si="13"/>
        <v>-54.309192530841159</v>
      </c>
      <c r="K42" s="28">
        <f t="shared" si="14"/>
        <v>-54.309192530841159</v>
      </c>
      <c r="L42" s="28">
        <f t="shared" si="15"/>
        <v>-47.603230053586579</v>
      </c>
      <c r="M42" s="28"/>
      <c r="N42" s="28">
        <v>0.25640000000000002</v>
      </c>
      <c r="O42" s="28">
        <f t="shared" si="0"/>
        <v>25640</v>
      </c>
      <c r="P42" s="28">
        <f t="shared" si="1"/>
        <v>74360</v>
      </c>
      <c r="Q42" s="28">
        <f t="shared" si="2"/>
        <v>-100042.56323005358</v>
      </c>
      <c r="R42" s="28">
        <f t="shared" si="3"/>
        <v>-12005.10758760643</v>
      </c>
      <c r="S42" s="28">
        <f t="shared" si="8"/>
        <v>11962.544357552842</v>
      </c>
      <c r="T42" s="38">
        <f t="shared" si="9"/>
        <v>1223.2827809092737</v>
      </c>
    </row>
    <row r="43" spans="2:20" ht="25" customHeight="1" x14ac:dyDescent="0.2">
      <c r="B43" s="41"/>
      <c r="C43" s="46">
        <v>28</v>
      </c>
      <c r="D43" s="28">
        <f t="shared" si="16"/>
        <v>-11.745962477254579</v>
      </c>
      <c r="E43" s="28">
        <f t="shared" si="16"/>
        <v>-45</v>
      </c>
      <c r="F43" s="28">
        <f t="shared" si="16"/>
        <v>-2.6032300535865773</v>
      </c>
      <c r="G43" s="28">
        <v>4</v>
      </c>
      <c r="H43" s="28">
        <f t="shared" si="11"/>
        <v>1.0800000000000003</v>
      </c>
      <c r="I43" s="28">
        <f t="shared" si="12"/>
        <v>5.08</v>
      </c>
      <c r="J43" s="28">
        <f t="shared" si="13"/>
        <v>-54.26919253084116</v>
      </c>
      <c r="K43" s="28">
        <f t="shared" si="14"/>
        <v>-54.26919253084116</v>
      </c>
      <c r="L43" s="28">
        <f t="shared" si="15"/>
        <v>-47.603230053586579</v>
      </c>
      <c r="M43" s="28"/>
      <c r="N43" s="28">
        <v>0.25640000000000002</v>
      </c>
      <c r="O43" s="28">
        <f t="shared" si="0"/>
        <v>25640</v>
      </c>
      <c r="P43" s="28">
        <f t="shared" si="1"/>
        <v>74360</v>
      </c>
      <c r="Q43" s="28">
        <f t="shared" si="2"/>
        <v>-100042.52323005359</v>
      </c>
      <c r="R43" s="28">
        <f t="shared" si="3"/>
        <v>-12005.102787606429</v>
      </c>
      <c r="S43" s="28">
        <f t="shared" si="8"/>
        <v>11962.579557552843</v>
      </c>
      <c r="T43" s="38">
        <f t="shared" si="9"/>
        <v>1223.2863804406611</v>
      </c>
    </row>
    <row r="44" spans="2:20" ht="25" customHeight="1" x14ac:dyDescent="0.2">
      <c r="B44" s="41"/>
      <c r="C44" s="46">
        <v>29</v>
      </c>
      <c r="D44" s="28">
        <f t="shared" si="16"/>
        <v>-11.745962477254579</v>
      </c>
      <c r="E44" s="28">
        <f t="shared" si="16"/>
        <v>-45</v>
      </c>
      <c r="F44" s="28">
        <f t="shared" si="16"/>
        <v>-2.6032300535865773</v>
      </c>
      <c r="G44" s="28">
        <v>4</v>
      </c>
      <c r="H44" s="28">
        <f t="shared" si="11"/>
        <v>1.1200000000000003</v>
      </c>
      <c r="I44" s="28">
        <f t="shared" si="12"/>
        <v>5.12</v>
      </c>
      <c r="J44" s="28">
        <f t="shared" si="13"/>
        <v>-54.229192530841161</v>
      </c>
      <c r="K44" s="28">
        <f t="shared" si="14"/>
        <v>-54.229192530841161</v>
      </c>
      <c r="L44" s="28">
        <f t="shared" si="15"/>
        <v>-47.603230053586579</v>
      </c>
      <c r="M44" s="28"/>
      <c r="N44" s="28">
        <v>0.25640000000000002</v>
      </c>
      <c r="O44" s="28">
        <f t="shared" si="0"/>
        <v>25640</v>
      </c>
      <c r="P44" s="28">
        <f t="shared" si="1"/>
        <v>74360</v>
      </c>
      <c r="Q44" s="28">
        <f t="shared" si="2"/>
        <v>-100042.48323005359</v>
      </c>
      <c r="R44" s="28">
        <f t="shared" si="3"/>
        <v>-12005.09798760643</v>
      </c>
      <c r="S44" s="28">
        <f t="shared" si="8"/>
        <v>11962.614757552843</v>
      </c>
      <c r="T44" s="38">
        <f t="shared" si="9"/>
        <v>1223.2899799720485</v>
      </c>
    </row>
    <row r="45" spans="2:20" ht="25" customHeight="1" x14ac:dyDescent="0.2">
      <c r="B45" s="41"/>
      <c r="C45" s="46">
        <v>30</v>
      </c>
      <c r="D45" s="28">
        <f t="shared" si="16"/>
        <v>-11.745962477254579</v>
      </c>
      <c r="E45" s="28">
        <f t="shared" si="16"/>
        <v>-45</v>
      </c>
      <c r="F45" s="28">
        <f t="shared" si="16"/>
        <v>-2.6032300535865773</v>
      </c>
      <c r="G45" s="28">
        <v>4</v>
      </c>
      <c r="H45" s="28">
        <f t="shared" si="11"/>
        <v>1.1600000000000004</v>
      </c>
      <c r="I45" s="28">
        <f t="shared" si="12"/>
        <v>5.16</v>
      </c>
      <c r="J45" s="28">
        <f t="shared" si="13"/>
        <v>-54.189192530841154</v>
      </c>
      <c r="K45" s="28">
        <f t="shared" si="14"/>
        <v>-54.189192530841154</v>
      </c>
      <c r="L45" s="28">
        <f t="shared" si="15"/>
        <v>-47.603230053586579</v>
      </c>
      <c r="M45" s="28"/>
      <c r="N45" s="28">
        <v>0.25640000000000002</v>
      </c>
      <c r="O45" s="28">
        <f t="shared" si="0"/>
        <v>25640</v>
      </c>
      <c r="P45" s="28">
        <f t="shared" si="1"/>
        <v>74360</v>
      </c>
      <c r="Q45" s="28">
        <f t="shared" si="2"/>
        <v>-100042.44323005358</v>
      </c>
      <c r="R45" s="28">
        <f t="shared" si="3"/>
        <v>-12005.09318760643</v>
      </c>
      <c r="S45" s="28">
        <f t="shared" si="8"/>
        <v>11962.649957552843</v>
      </c>
      <c r="T45" s="38">
        <f t="shared" si="9"/>
        <v>1223.2935795034359</v>
      </c>
    </row>
    <row r="46" spans="2:20" ht="25" customHeight="1" x14ac:dyDescent="0.2">
      <c r="B46" s="41"/>
      <c r="C46" s="46">
        <v>31</v>
      </c>
      <c r="D46" s="28">
        <f t="shared" si="16"/>
        <v>-11.745962477254579</v>
      </c>
      <c r="E46" s="28">
        <f t="shared" si="16"/>
        <v>-45</v>
      </c>
      <c r="F46" s="28">
        <f t="shared" si="16"/>
        <v>-2.6032300535865773</v>
      </c>
      <c r="G46" s="28">
        <v>4</v>
      </c>
      <c r="H46" s="28">
        <f t="shared" si="11"/>
        <v>1.2000000000000004</v>
      </c>
      <c r="I46" s="28">
        <f t="shared" si="12"/>
        <v>5.2</v>
      </c>
      <c r="J46" s="28">
        <f t="shared" si="13"/>
        <v>-54.149192530841155</v>
      </c>
      <c r="K46" s="28">
        <f t="shared" si="14"/>
        <v>-54.149192530841155</v>
      </c>
      <c r="L46" s="28">
        <f t="shared" si="15"/>
        <v>-47.603230053586579</v>
      </c>
      <c r="M46" s="28"/>
      <c r="N46" s="28">
        <v>0.25640000000000002</v>
      </c>
      <c r="O46" s="28">
        <f t="shared" si="0"/>
        <v>25640</v>
      </c>
      <c r="P46" s="28">
        <f t="shared" si="1"/>
        <v>74360</v>
      </c>
      <c r="Q46" s="28">
        <f t="shared" si="2"/>
        <v>-100042.40323005359</v>
      </c>
      <c r="R46" s="28">
        <f t="shared" si="3"/>
        <v>-12005.088387606431</v>
      </c>
      <c r="S46" s="28">
        <f t="shared" si="8"/>
        <v>11962.685157552844</v>
      </c>
      <c r="T46" s="38">
        <f t="shared" si="9"/>
        <v>1223.2971790348233</v>
      </c>
    </row>
    <row r="47" spans="2:20" ht="25" customHeight="1" x14ac:dyDescent="0.2">
      <c r="B47" s="41"/>
      <c r="C47" s="46">
        <v>32</v>
      </c>
      <c r="D47" s="28">
        <f t="shared" si="16"/>
        <v>-11.745962477254579</v>
      </c>
      <c r="E47" s="28">
        <f t="shared" si="16"/>
        <v>-45</v>
      </c>
      <c r="F47" s="28">
        <f t="shared" si="16"/>
        <v>-2.6032300535865773</v>
      </c>
      <c r="G47" s="28">
        <v>4</v>
      </c>
      <c r="H47" s="28">
        <f t="shared" si="11"/>
        <v>1.2400000000000004</v>
      </c>
      <c r="I47" s="28">
        <f t="shared" si="12"/>
        <v>5.24</v>
      </c>
      <c r="J47" s="28">
        <f t="shared" si="13"/>
        <v>-54.109192530841156</v>
      </c>
      <c r="K47" s="28">
        <f t="shared" si="14"/>
        <v>-54.109192530841156</v>
      </c>
      <c r="L47" s="28">
        <f t="shared" si="15"/>
        <v>-47.603230053586579</v>
      </c>
      <c r="M47" s="28"/>
      <c r="N47" s="28">
        <v>0.25640000000000002</v>
      </c>
      <c r="O47" s="28">
        <f t="shared" si="0"/>
        <v>25640</v>
      </c>
      <c r="P47" s="28">
        <f t="shared" si="1"/>
        <v>74360</v>
      </c>
      <c r="Q47" s="28">
        <f t="shared" si="2"/>
        <v>-100042.36323005358</v>
      </c>
      <c r="R47" s="28">
        <f t="shared" si="3"/>
        <v>-12005.08358760643</v>
      </c>
      <c r="S47" s="28">
        <f t="shared" si="8"/>
        <v>11962.720357552844</v>
      </c>
      <c r="T47" s="38">
        <f t="shared" si="9"/>
        <v>1223.3007785662107</v>
      </c>
    </row>
    <row r="48" spans="2:20" ht="25" customHeight="1" x14ac:dyDescent="0.2">
      <c r="B48" s="41"/>
      <c r="C48" s="46">
        <v>33</v>
      </c>
      <c r="D48" s="28">
        <f t="shared" si="16"/>
        <v>-11.745962477254579</v>
      </c>
      <c r="E48" s="28">
        <f t="shared" si="16"/>
        <v>-45</v>
      </c>
      <c r="F48" s="28">
        <f t="shared" si="16"/>
        <v>-2.6032300535865773</v>
      </c>
      <c r="G48" s="28">
        <v>4</v>
      </c>
      <c r="H48" s="28">
        <f t="shared" si="11"/>
        <v>1.2800000000000005</v>
      </c>
      <c r="I48" s="28">
        <f t="shared" si="12"/>
        <v>5.28</v>
      </c>
      <c r="J48" s="28">
        <f t="shared" si="13"/>
        <v>-54.069192530841157</v>
      </c>
      <c r="K48" s="28">
        <f t="shared" si="14"/>
        <v>-54.069192530841157</v>
      </c>
      <c r="L48" s="28">
        <f t="shared" si="15"/>
        <v>-47.603230053586579</v>
      </c>
      <c r="M48" s="28"/>
      <c r="N48" s="28">
        <v>0.25640000000000002</v>
      </c>
      <c r="O48" s="28">
        <f t="shared" si="0"/>
        <v>25640</v>
      </c>
      <c r="P48" s="28">
        <f t="shared" si="1"/>
        <v>74360</v>
      </c>
      <c r="Q48" s="28">
        <f t="shared" si="2"/>
        <v>-100042.32323005359</v>
      </c>
      <c r="R48" s="28">
        <f t="shared" si="3"/>
        <v>-12005.07878760643</v>
      </c>
      <c r="S48" s="28">
        <f t="shared" si="8"/>
        <v>11962.755557552842</v>
      </c>
      <c r="T48" s="38">
        <f t="shared" si="9"/>
        <v>1223.3043780975979</v>
      </c>
    </row>
    <row r="49" spans="2:20" ht="25" customHeight="1" x14ac:dyDescent="0.2">
      <c r="B49" s="41"/>
      <c r="C49" s="46">
        <v>34</v>
      </c>
      <c r="D49" s="28">
        <f t="shared" si="16"/>
        <v>-11.745962477254579</v>
      </c>
      <c r="E49" s="28">
        <f t="shared" si="16"/>
        <v>-45</v>
      </c>
      <c r="F49" s="28">
        <f t="shared" si="16"/>
        <v>-2.6032300535865773</v>
      </c>
      <c r="G49" s="28">
        <v>4</v>
      </c>
      <c r="H49" s="28">
        <f t="shared" si="11"/>
        <v>1.3200000000000005</v>
      </c>
      <c r="I49" s="28">
        <f t="shared" si="12"/>
        <v>5.32</v>
      </c>
      <c r="J49" s="28">
        <f t="shared" si="13"/>
        <v>-54.029192530841158</v>
      </c>
      <c r="K49" s="28">
        <f t="shared" si="14"/>
        <v>-54.029192530841158</v>
      </c>
      <c r="L49" s="28">
        <f t="shared" si="15"/>
        <v>-47.603230053586579</v>
      </c>
      <c r="M49" s="28"/>
      <c r="N49" s="28">
        <v>0.25640000000000002</v>
      </c>
      <c r="O49" s="28">
        <f t="shared" si="0"/>
        <v>25640</v>
      </c>
      <c r="P49" s="28">
        <f t="shared" si="1"/>
        <v>74360</v>
      </c>
      <c r="Q49" s="28">
        <f t="shared" si="2"/>
        <v>-100042.28323005358</v>
      </c>
      <c r="R49" s="28">
        <f t="shared" si="3"/>
        <v>-12005.073987606429</v>
      </c>
      <c r="S49" s="28">
        <f t="shared" si="8"/>
        <v>11962.790757552842</v>
      </c>
      <c r="T49" s="38">
        <f t="shared" si="9"/>
        <v>1223.3079776289853</v>
      </c>
    </row>
    <row r="50" spans="2:20" ht="25" customHeight="1" x14ac:dyDescent="0.2">
      <c r="B50" s="41"/>
      <c r="C50" s="46">
        <v>35</v>
      </c>
      <c r="D50" s="28">
        <f t="shared" si="16"/>
        <v>-11.745962477254579</v>
      </c>
      <c r="E50" s="28">
        <f t="shared" si="16"/>
        <v>-45</v>
      </c>
      <c r="F50" s="28">
        <f t="shared" si="16"/>
        <v>-2.6032300535865773</v>
      </c>
      <c r="G50" s="28">
        <v>4</v>
      </c>
      <c r="H50" s="28">
        <f t="shared" si="11"/>
        <v>1.3600000000000005</v>
      </c>
      <c r="I50" s="28">
        <f t="shared" si="12"/>
        <v>5.36</v>
      </c>
      <c r="J50" s="28">
        <f t="shared" si="13"/>
        <v>-53.989192530841159</v>
      </c>
      <c r="K50" s="28">
        <f t="shared" si="14"/>
        <v>-53.989192530841159</v>
      </c>
      <c r="L50" s="28">
        <f t="shared" si="15"/>
        <v>-47.603230053586579</v>
      </c>
      <c r="M50" s="28"/>
      <c r="N50" s="28">
        <v>0.25640000000000002</v>
      </c>
      <c r="O50" s="28">
        <f t="shared" si="0"/>
        <v>25640</v>
      </c>
      <c r="P50" s="28">
        <f t="shared" si="1"/>
        <v>74360</v>
      </c>
      <c r="Q50" s="28">
        <f t="shared" si="2"/>
        <v>-100042.24323005359</v>
      </c>
      <c r="R50" s="28">
        <f t="shared" si="3"/>
        <v>-12005.06918760643</v>
      </c>
      <c r="S50" s="28">
        <f t="shared" si="8"/>
        <v>11962.825957552843</v>
      </c>
      <c r="T50" s="38">
        <f t="shared" si="9"/>
        <v>1223.3115771603727</v>
      </c>
    </row>
    <row r="51" spans="2:20" ht="25" customHeight="1" x14ac:dyDescent="0.2">
      <c r="B51" s="41"/>
      <c r="C51" s="46">
        <v>36</v>
      </c>
      <c r="D51" s="28">
        <f t="shared" si="16"/>
        <v>-11.745962477254579</v>
      </c>
      <c r="E51" s="28">
        <f t="shared" si="16"/>
        <v>-45</v>
      </c>
      <c r="F51" s="28">
        <f t="shared" si="16"/>
        <v>-2.6032300535865773</v>
      </c>
      <c r="G51" s="28">
        <f>150*0.32</f>
        <v>48</v>
      </c>
      <c r="H51" s="28">
        <f t="shared" si="11"/>
        <v>1.4000000000000006</v>
      </c>
      <c r="I51" s="28">
        <f t="shared" si="12"/>
        <v>49.4</v>
      </c>
      <c r="J51" s="28">
        <f t="shared" si="13"/>
        <v>-9.9491925308411595</v>
      </c>
      <c r="K51" s="28">
        <f t="shared" si="14"/>
        <v>-9.9491925308411595</v>
      </c>
      <c r="L51" s="28">
        <f t="shared" si="15"/>
        <v>-47.603230053586579</v>
      </c>
      <c r="M51" s="28"/>
      <c r="N51" s="28">
        <v>0.25640000000000002</v>
      </c>
      <c r="O51" s="28">
        <f t="shared" si="0"/>
        <v>25640</v>
      </c>
      <c r="P51" s="28">
        <f t="shared" si="1"/>
        <v>74360</v>
      </c>
      <c r="Q51" s="28">
        <f t="shared" si="2"/>
        <v>-99998.203230053579</v>
      </c>
      <c r="R51" s="28">
        <f t="shared" si="3"/>
        <v>-11999.784387606429</v>
      </c>
      <c r="S51" s="28">
        <f t="shared" si="8"/>
        <v>12001.581157552842</v>
      </c>
      <c r="T51" s="38">
        <f t="shared" si="9"/>
        <v>1227.2746612178844</v>
      </c>
    </row>
    <row r="52" spans="2:20" ht="25" customHeight="1" x14ac:dyDescent="0.2">
      <c r="B52" s="41"/>
      <c r="C52" s="46">
        <v>37</v>
      </c>
      <c r="D52" s="28">
        <f t="shared" si="16"/>
        <v>-11.745962477254579</v>
      </c>
      <c r="E52" s="28">
        <f t="shared" si="16"/>
        <v>-45</v>
      </c>
      <c r="F52" s="28">
        <f t="shared" si="16"/>
        <v>-2.6032300535865773</v>
      </c>
      <c r="G52" s="28">
        <v>4</v>
      </c>
      <c r="H52" s="28">
        <f>H51+0.04</f>
        <v>1.4400000000000006</v>
      </c>
      <c r="I52" s="28">
        <f>G52+H52</f>
        <v>5.44</v>
      </c>
      <c r="J52" s="28">
        <f>D52+E52+F52+I52</f>
        <v>-53.90919253084116</v>
      </c>
      <c r="K52" s="28">
        <f>D52+E52+F52+I52</f>
        <v>-53.90919253084116</v>
      </c>
      <c r="L52" s="28">
        <f>E52+F52</f>
        <v>-47.603230053586579</v>
      </c>
      <c r="M52" s="28"/>
      <c r="N52" s="28">
        <v>0.25640000000000002</v>
      </c>
      <c r="O52" s="28">
        <f t="shared" si="0"/>
        <v>25640</v>
      </c>
      <c r="P52" s="28">
        <f t="shared" si="1"/>
        <v>74360</v>
      </c>
      <c r="Q52" s="28">
        <f t="shared" si="2"/>
        <v>-100042.16323005359</v>
      </c>
      <c r="R52" s="28">
        <f t="shared" si="3"/>
        <v>-12005.059587606429</v>
      </c>
      <c r="S52" s="28">
        <f t="shared" si="8"/>
        <v>11962.896357552843</v>
      </c>
      <c r="T52" s="38">
        <f t="shared" si="9"/>
        <v>1223.3187762231476</v>
      </c>
    </row>
    <row r="53" spans="2:20" ht="25" customHeight="1" x14ac:dyDescent="0.2">
      <c r="B53" s="41"/>
      <c r="C53" s="46">
        <v>38</v>
      </c>
      <c r="D53" s="28">
        <f t="shared" si="16"/>
        <v>-11.745962477254579</v>
      </c>
      <c r="E53" s="28">
        <f t="shared" si="16"/>
        <v>-45</v>
      </c>
      <c r="F53" s="28">
        <f t="shared" si="16"/>
        <v>-2.6032300535865773</v>
      </c>
      <c r="G53" s="28">
        <v>4</v>
      </c>
      <c r="H53" s="28">
        <f>H52+0.04</f>
        <v>1.4800000000000006</v>
      </c>
      <c r="I53" s="28">
        <f>G53+H53</f>
        <v>5.48</v>
      </c>
      <c r="J53" s="28">
        <f>D53+E53+F53+I53</f>
        <v>-53.869192530841161</v>
      </c>
      <c r="K53" s="28">
        <f>D53+E53+F53+I53</f>
        <v>-53.869192530841161</v>
      </c>
      <c r="L53" s="28">
        <f>E53+F53</f>
        <v>-47.603230053586579</v>
      </c>
      <c r="M53" s="28"/>
      <c r="N53" s="28">
        <v>0.25640000000000002</v>
      </c>
      <c r="O53" s="28">
        <f t="shared" si="0"/>
        <v>25640</v>
      </c>
      <c r="P53" s="28">
        <f t="shared" si="1"/>
        <v>74360</v>
      </c>
      <c r="Q53" s="28">
        <f t="shared" si="2"/>
        <v>-100042.12323005359</v>
      </c>
      <c r="R53" s="28">
        <f t="shared" si="3"/>
        <v>-12005.05478760643</v>
      </c>
      <c r="S53" s="28">
        <f t="shared" si="8"/>
        <v>11962.931557552844</v>
      </c>
      <c r="T53" s="38">
        <f t="shared" si="9"/>
        <v>1223.322375754535</v>
      </c>
    </row>
    <row r="54" spans="2:20" ht="25" customHeight="1" thickBot="1" x14ac:dyDescent="0.25">
      <c r="B54" s="41"/>
      <c r="C54" s="47">
        <v>39</v>
      </c>
      <c r="D54" s="39">
        <f t="shared" si="16"/>
        <v>-11.745962477254579</v>
      </c>
      <c r="E54" s="39">
        <f t="shared" si="16"/>
        <v>-45</v>
      </c>
      <c r="F54" s="39">
        <f t="shared" si="16"/>
        <v>-2.6032300535865773</v>
      </c>
      <c r="G54" s="39">
        <v>4</v>
      </c>
      <c r="H54" s="39">
        <f>H53+0.04</f>
        <v>1.5200000000000007</v>
      </c>
      <c r="I54" s="39">
        <f>G54+H54</f>
        <v>5.5200000000000005</v>
      </c>
      <c r="J54" s="39">
        <f>D54+E54+F54+I54</f>
        <v>-53.829192530841155</v>
      </c>
      <c r="K54" s="39">
        <f>D54+E54+F54+I54</f>
        <v>-53.829192530841155</v>
      </c>
      <c r="L54" s="39">
        <f>E54+F54</f>
        <v>-47.603230053586579</v>
      </c>
      <c r="M54" s="39"/>
      <c r="N54" s="39">
        <v>0.25640000000000002</v>
      </c>
      <c r="O54" s="39">
        <f t="shared" si="0"/>
        <v>25640</v>
      </c>
      <c r="P54" s="39">
        <f t="shared" si="1"/>
        <v>74360</v>
      </c>
      <c r="Q54" s="39">
        <f t="shared" si="2"/>
        <v>-100042.08323005358</v>
      </c>
      <c r="R54" s="39">
        <f t="shared" si="3"/>
        <v>-12005.04998760643</v>
      </c>
      <c r="S54" s="39">
        <f t="shared" si="8"/>
        <v>11962.966757552844</v>
      </c>
      <c r="T54" s="40">
        <f t="shared" si="9"/>
        <v>1223.3259752859224</v>
      </c>
    </row>
  </sheetData>
  <mergeCells count="1">
    <mergeCell ref="G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3C1E-5D51-5845-A008-0F936079D2B0}">
  <dimension ref="B2:AB54"/>
  <sheetViews>
    <sheetView zoomScale="119" zoomScaleNormal="190" workbookViewId="0">
      <selection activeCell="O8" sqref="O8"/>
    </sheetView>
  </sheetViews>
  <sheetFormatPr baseColWidth="10" defaultRowHeight="16" x14ac:dyDescent="0.2"/>
  <cols>
    <col min="1" max="1" width="10.83203125" style="26"/>
    <col min="2" max="2" width="18" style="26" bestFit="1" customWidth="1"/>
    <col min="3" max="3" width="11" style="26" bestFit="1" customWidth="1"/>
    <col min="4" max="4" width="14.1640625" style="26" customWidth="1"/>
    <col min="5" max="13" width="10.83203125" style="26"/>
    <col min="14" max="14" width="14" style="26" bestFit="1" customWidth="1"/>
    <col min="15" max="16" width="10.83203125" style="26"/>
    <col min="17" max="17" width="12.6640625" style="26" bestFit="1" customWidth="1"/>
    <col min="18" max="18" width="11.5" style="26" bestFit="1" customWidth="1"/>
    <col min="19" max="25" width="10.83203125" style="26"/>
    <col min="26" max="26" width="68.1640625" style="26" bestFit="1" customWidth="1"/>
    <col min="27" max="27" width="14" style="26" bestFit="1" customWidth="1"/>
    <col min="28" max="16384" width="10.83203125" style="26"/>
  </cols>
  <sheetData>
    <row r="2" spans="2:28" x14ac:dyDescent="0.2">
      <c r="B2" s="25" t="s">
        <v>4</v>
      </c>
      <c r="C2" s="25" t="s">
        <v>5</v>
      </c>
      <c r="D2" s="25" t="s">
        <v>6</v>
      </c>
    </row>
    <row r="3" spans="2:28" x14ac:dyDescent="0.2">
      <c r="B3" s="25" t="s">
        <v>7</v>
      </c>
      <c r="C3" s="13">
        <v>100</v>
      </c>
      <c r="D3" s="48" t="s">
        <v>8</v>
      </c>
      <c r="G3" s="26" t="s">
        <v>53</v>
      </c>
      <c r="I3" s="26" t="s">
        <v>54</v>
      </c>
      <c r="J3" s="26" t="s">
        <v>55</v>
      </c>
      <c r="AA3" s="26" t="s">
        <v>77</v>
      </c>
    </row>
    <row r="4" spans="2:28" x14ac:dyDescent="0.2">
      <c r="B4" s="25" t="s">
        <v>9</v>
      </c>
      <c r="C4" s="13">
        <v>45</v>
      </c>
      <c r="D4" s="48" t="s">
        <v>10</v>
      </c>
    </row>
    <row r="5" spans="2:28" x14ac:dyDescent="0.2">
      <c r="B5" s="25" t="s">
        <v>11</v>
      </c>
      <c r="C5" s="13">
        <v>100</v>
      </c>
      <c r="D5" s="48" t="s">
        <v>12</v>
      </c>
    </row>
    <row r="6" spans="2:28" x14ac:dyDescent="0.2">
      <c r="B6" s="25" t="s">
        <v>13</v>
      </c>
      <c r="C6" s="5">
        <v>20</v>
      </c>
      <c r="D6" s="48" t="s">
        <v>14</v>
      </c>
    </row>
    <row r="7" spans="2:28" x14ac:dyDescent="0.2">
      <c r="B7" s="25" t="s">
        <v>15</v>
      </c>
      <c r="C7" s="20">
        <v>0.1</v>
      </c>
      <c r="D7" s="48" t="s">
        <v>18</v>
      </c>
      <c r="Z7" s="29" t="s">
        <v>30</v>
      </c>
      <c r="AA7" s="30">
        <v>191000</v>
      </c>
      <c r="AB7" s="29" t="s">
        <v>31</v>
      </c>
    </row>
    <row r="8" spans="2:28" x14ac:dyDescent="0.2">
      <c r="B8" s="25" t="s">
        <v>16</v>
      </c>
      <c r="C8" s="20">
        <v>0.15</v>
      </c>
      <c r="D8" s="48" t="s">
        <v>17</v>
      </c>
      <c r="E8" s="49"/>
      <c r="G8" s="26" t="s">
        <v>20</v>
      </c>
      <c r="J8" s="26" t="s">
        <v>21</v>
      </c>
      <c r="L8" s="26" t="s">
        <v>22</v>
      </c>
      <c r="Z8" s="29" t="s">
        <v>32</v>
      </c>
      <c r="AA8" s="31">
        <v>351</v>
      </c>
      <c r="AB8" s="29" t="s">
        <v>33</v>
      </c>
    </row>
    <row r="9" spans="2:28" x14ac:dyDescent="0.2">
      <c r="B9" s="50" t="s">
        <v>29</v>
      </c>
      <c r="C9" s="14">
        <v>350000</v>
      </c>
      <c r="D9" s="48"/>
      <c r="Z9" s="29" t="s">
        <v>7</v>
      </c>
      <c r="AA9" s="31">
        <f>AA7*AA8</f>
        <v>67041000</v>
      </c>
      <c r="AB9" s="29" t="s">
        <v>34</v>
      </c>
    </row>
    <row r="10" spans="2:28" x14ac:dyDescent="0.2">
      <c r="B10" s="25" t="s">
        <v>27</v>
      </c>
      <c r="C10" s="14">
        <v>15000</v>
      </c>
      <c r="D10" s="48"/>
      <c r="Z10" s="29" t="s">
        <v>35</v>
      </c>
      <c r="AA10" s="32">
        <v>0.15</v>
      </c>
      <c r="AB10" s="29" t="s">
        <v>36</v>
      </c>
    </row>
    <row r="11" spans="2:28" x14ac:dyDescent="0.2">
      <c r="B11" s="25" t="s">
        <v>76</v>
      </c>
      <c r="C11" s="27">
        <v>100000</v>
      </c>
      <c r="D11" s="48"/>
      <c r="Z11" s="29"/>
      <c r="AA11" s="32"/>
      <c r="AB11" s="29"/>
    </row>
    <row r="12" spans="2:28" x14ac:dyDescent="0.2">
      <c r="C12" s="33"/>
      <c r="Z12" s="29"/>
      <c r="AA12" s="32"/>
      <c r="AB12" s="29"/>
    </row>
    <row r="13" spans="2:28" ht="17" thickBot="1" x14ac:dyDescent="0.25">
      <c r="B13" s="41"/>
      <c r="C13" s="41">
        <v>149.1</v>
      </c>
      <c r="D13" s="41"/>
      <c r="E13" s="41"/>
      <c r="F13" s="41" t="s">
        <v>57</v>
      </c>
      <c r="G13" s="54" t="s">
        <v>52</v>
      </c>
      <c r="H13" s="54"/>
      <c r="I13" s="41"/>
      <c r="J13" s="41"/>
      <c r="K13" s="41"/>
      <c r="L13" s="41"/>
      <c r="M13" s="41"/>
      <c r="N13" s="41"/>
      <c r="O13" s="41"/>
      <c r="P13" s="41"/>
      <c r="Q13" s="41"/>
      <c r="R13" s="41">
        <v>0.12</v>
      </c>
      <c r="S13" s="41"/>
      <c r="T13" s="41"/>
      <c r="Z13" s="29" t="s">
        <v>37</v>
      </c>
      <c r="AA13" s="34">
        <f>AA9*1.3%</f>
        <v>871533.00000000012</v>
      </c>
      <c r="AB13" s="35"/>
    </row>
    <row r="14" spans="2:28" ht="36" customHeight="1" x14ac:dyDescent="0.2">
      <c r="B14" s="41"/>
      <c r="C14" s="42" t="s">
        <v>23</v>
      </c>
      <c r="D14" s="43" t="s">
        <v>7</v>
      </c>
      <c r="E14" s="44" t="s">
        <v>24</v>
      </c>
      <c r="F14" s="44" t="s">
        <v>11</v>
      </c>
      <c r="G14" s="44" t="s">
        <v>25</v>
      </c>
      <c r="H14" s="44" t="s">
        <v>26</v>
      </c>
      <c r="I14" s="44" t="s">
        <v>28</v>
      </c>
      <c r="J14" s="44"/>
      <c r="K14" s="44" t="s">
        <v>74</v>
      </c>
      <c r="L14" s="44" t="s">
        <v>64</v>
      </c>
      <c r="M14" s="44" t="s">
        <v>65</v>
      </c>
      <c r="N14" s="44" t="s">
        <v>66</v>
      </c>
      <c r="O14" s="44" t="s">
        <v>58</v>
      </c>
      <c r="P14" s="44" t="s">
        <v>68</v>
      </c>
      <c r="Q14" s="44" t="s">
        <v>69</v>
      </c>
      <c r="R14" s="44" t="s">
        <v>70</v>
      </c>
      <c r="S14" s="44" t="s">
        <v>60</v>
      </c>
      <c r="T14" s="45" t="s">
        <v>75</v>
      </c>
      <c r="Z14" s="29" t="s">
        <v>11</v>
      </c>
      <c r="AA14" s="34">
        <v>75</v>
      </c>
      <c r="AB14" s="29" t="s">
        <v>39</v>
      </c>
    </row>
    <row r="15" spans="2:28" ht="25" customHeight="1" x14ac:dyDescent="0.2">
      <c r="B15" s="41"/>
      <c r="C15" s="51">
        <v>0</v>
      </c>
      <c r="D15" s="28">
        <f>-C3</f>
        <v>-100</v>
      </c>
      <c r="E15" s="28">
        <f>PV(C7,C6,C4)</f>
        <v>-383.11036738913543</v>
      </c>
      <c r="F15" s="28">
        <f>PV(C7,C6,,149.1)</f>
        <v>-22.162764938399793</v>
      </c>
      <c r="G15" s="28"/>
      <c r="H15" s="28"/>
      <c r="I15" s="28">
        <f>NPV($C7,(I16:I35))</f>
        <v>36.270531342744491</v>
      </c>
      <c r="J15" s="28">
        <f>D15+E15+F15+I15</f>
        <v>-469.00260098479072</v>
      </c>
      <c r="K15" s="28" t="s">
        <v>61</v>
      </c>
      <c r="L15" s="28"/>
      <c r="M15" s="28"/>
      <c r="N15" s="28">
        <v>0.1391</v>
      </c>
      <c r="O15" s="28"/>
      <c r="P15" s="28"/>
      <c r="Q15" s="28"/>
      <c r="R15" s="28"/>
      <c r="S15" s="28"/>
      <c r="T15" s="38"/>
      <c r="Z15" s="29" t="s">
        <v>40</v>
      </c>
      <c r="AA15" s="35">
        <v>300</v>
      </c>
      <c r="AB15" s="29" t="s">
        <v>41</v>
      </c>
    </row>
    <row r="16" spans="2:28" ht="25" customHeight="1" x14ac:dyDescent="0.2">
      <c r="B16" s="41" t="s">
        <v>56</v>
      </c>
      <c r="C16" s="51">
        <v>1</v>
      </c>
      <c r="D16" s="28">
        <f>-PMT(C7,C6,D15)</f>
        <v>-11.745962477254579</v>
      </c>
      <c r="E16" s="28">
        <f>-($C4)</f>
        <v>-45</v>
      </c>
      <c r="F16" s="28">
        <f>PMT(C7,C6,,C13)</f>
        <v>-2.6032300535865773</v>
      </c>
      <c r="G16" s="28">
        <v>4</v>
      </c>
      <c r="H16" s="28"/>
      <c r="I16" s="28">
        <f>G16+H16</f>
        <v>4</v>
      </c>
      <c r="J16" s="28">
        <f>D16+E16+F16+I16</f>
        <v>-55.349192530841158</v>
      </c>
      <c r="K16" s="28">
        <f>D16+E16+F16+I16</f>
        <v>-55.349192530841158</v>
      </c>
      <c r="L16" s="28">
        <f>E16+F16</f>
        <v>-47.603230053586579</v>
      </c>
      <c r="M16" s="28"/>
      <c r="N16" s="28">
        <v>0.25640000000000002</v>
      </c>
      <c r="O16" s="28">
        <f>N16*$C$11</f>
        <v>25640</v>
      </c>
      <c r="P16" s="28">
        <f>$C$11-O16</f>
        <v>74360</v>
      </c>
      <c r="Q16" s="28">
        <f t="shared" ref="Q16:Q54" si="0">I16+L16-$C$11</f>
        <v>-100043.60323005359</v>
      </c>
      <c r="R16" s="28">
        <f t="shared" ref="R16:R54" si="1">Q16*$R$13</f>
        <v>-12005.232387606429</v>
      </c>
      <c r="S16" s="28">
        <f>I16+L16-R16</f>
        <v>11961.629157552843</v>
      </c>
      <c r="T16" s="38">
        <f>PMT($C$7,40,-S16)</f>
        <v>1223.1891930932015</v>
      </c>
      <c r="Z16" s="29" t="s">
        <v>11</v>
      </c>
      <c r="AA16" s="36"/>
      <c r="AB16" s="29" t="s">
        <v>43</v>
      </c>
    </row>
    <row r="17" spans="2:28" ht="25" customHeight="1" x14ac:dyDescent="0.2">
      <c r="B17" s="41"/>
      <c r="C17" s="51">
        <v>2</v>
      </c>
      <c r="D17" s="28">
        <f>D16</f>
        <v>-11.745962477254579</v>
      </c>
      <c r="E17" s="28">
        <f>E16</f>
        <v>-45</v>
      </c>
      <c r="F17" s="28">
        <f>F16</f>
        <v>-2.6032300535865773</v>
      </c>
      <c r="G17" s="28">
        <v>4</v>
      </c>
      <c r="H17" s="28">
        <v>0.04</v>
      </c>
      <c r="I17" s="28">
        <f t="shared" ref="I17:I54" si="2">G17+H17</f>
        <v>4.04</v>
      </c>
      <c r="J17" s="28">
        <f t="shared" ref="J17:J54" si="3">D17+E17+F17+I17</f>
        <v>-55.309192530841159</v>
      </c>
      <c r="K17" s="28">
        <f t="shared" ref="K17:K54" si="4">D17+E17+F17+I17</f>
        <v>-55.309192530841159</v>
      </c>
      <c r="L17" s="28">
        <f t="shared" ref="L17:L54" si="5">E17+F17</f>
        <v>-47.603230053586579</v>
      </c>
      <c r="M17" s="28"/>
      <c r="N17" s="28">
        <v>0.25640000000000002</v>
      </c>
      <c r="O17" s="28">
        <f t="shared" ref="O17:O54" si="6">N17*$C$11</f>
        <v>25640</v>
      </c>
      <c r="P17" s="28">
        <f t="shared" ref="P17:P54" si="7">$C$11-O17</f>
        <v>74360</v>
      </c>
      <c r="Q17" s="28">
        <f t="shared" si="0"/>
        <v>-100043.56323005358</v>
      </c>
      <c r="R17" s="28">
        <f t="shared" si="1"/>
        <v>-12005.227587606429</v>
      </c>
      <c r="S17" s="28">
        <f t="shared" ref="S17:S54" si="8">I17+L17-R17</f>
        <v>11961.664357552841</v>
      </c>
      <c r="T17" s="38">
        <f t="shared" ref="T17:T54" si="9">PMT($C$7,40,-S17)</f>
        <v>1223.1927926245887</v>
      </c>
      <c r="Z17" s="29" t="s">
        <v>44</v>
      </c>
      <c r="AA17" s="31">
        <f>AA13*50%</f>
        <v>435766.50000000006</v>
      </c>
      <c r="AB17" s="35"/>
    </row>
    <row r="18" spans="2:28" ht="25" customHeight="1" x14ac:dyDescent="0.2">
      <c r="B18" s="41"/>
      <c r="C18" s="51">
        <v>3</v>
      </c>
      <c r="D18" s="28">
        <f t="shared" ref="D18:F36" si="10">D17</f>
        <v>-11.745962477254579</v>
      </c>
      <c r="E18" s="28">
        <f t="shared" si="10"/>
        <v>-45</v>
      </c>
      <c r="F18" s="28">
        <f t="shared" si="10"/>
        <v>-2.6032300535865773</v>
      </c>
      <c r="G18" s="28">
        <v>4</v>
      </c>
      <c r="H18" s="28">
        <f>H17+0.04</f>
        <v>0.08</v>
      </c>
      <c r="I18" s="28">
        <f t="shared" si="2"/>
        <v>4.08</v>
      </c>
      <c r="J18" s="28">
        <f t="shared" si="3"/>
        <v>-55.26919253084116</v>
      </c>
      <c r="K18" s="28">
        <f t="shared" si="4"/>
        <v>-55.26919253084116</v>
      </c>
      <c r="L18" s="28">
        <f t="shared" si="5"/>
        <v>-47.603230053586579</v>
      </c>
      <c r="M18" s="28"/>
      <c r="N18" s="28">
        <v>0.25640000000000002</v>
      </c>
      <c r="O18" s="28">
        <f t="shared" si="6"/>
        <v>25640</v>
      </c>
      <c r="P18" s="28">
        <f t="shared" si="7"/>
        <v>74360</v>
      </c>
      <c r="Q18" s="28">
        <f t="shared" si="0"/>
        <v>-100043.52323005359</v>
      </c>
      <c r="R18" s="28">
        <f t="shared" si="1"/>
        <v>-12005.22278760643</v>
      </c>
      <c r="S18" s="28">
        <f t="shared" si="8"/>
        <v>11961.699557552844</v>
      </c>
      <c r="T18" s="38">
        <f t="shared" si="9"/>
        <v>1223.1963921559764</v>
      </c>
      <c r="Z18" s="37" t="s">
        <v>45</v>
      </c>
      <c r="AA18" s="29" t="s">
        <v>46</v>
      </c>
      <c r="AB18" s="29" t="s">
        <v>47</v>
      </c>
    </row>
    <row r="19" spans="2:28" ht="25" customHeight="1" x14ac:dyDescent="0.2">
      <c r="B19" s="41"/>
      <c r="C19" s="51">
        <v>4</v>
      </c>
      <c r="D19" s="28">
        <f t="shared" si="10"/>
        <v>-11.745962477254579</v>
      </c>
      <c r="E19" s="28">
        <f t="shared" si="10"/>
        <v>-45</v>
      </c>
      <c r="F19" s="28">
        <f t="shared" si="10"/>
        <v>-2.6032300535865773</v>
      </c>
      <c r="G19" s="28">
        <v>4</v>
      </c>
      <c r="H19" s="28">
        <f t="shared" ref="H19:H54" si="11">H18+0.04</f>
        <v>0.12</v>
      </c>
      <c r="I19" s="28">
        <f t="shared" si="2"/>
        <v>4.12</v>
      </c>
      <c r="J19" s="28">
        <f t="shared" si="3"/>
        <v>-55.229192530841161</v>
      </c>
      <c r="K19" s="28">
        <f t="shared" si="4"/>
        <v>-55.229192530841161</v>
      </c>
      <c r="L19" s="28">
        <f t="shared" si="5"/>
        <v>-47.603230053586579</v>
      </c>
      <c r="M19" s="28"/>
      <c r="N19" s="28">
        <v>0.25640000000000002</v>
      </c>
      <c r="O19" s="28">
        <f t="shared" si="6"/>
        <v>25640</v>
      </c>
      <c r="P19" s="28">
        <f t="shared" si="7"/>
        <v>74360</v>
      </c>
      <c r="Q19" s="28">
        <f t="shared" si="0"/>
        <v>-100043.48323005359</v>
      </c>
      <c r="R19" s="28">
        <f t="shared" si="1"/>
        <v>-12005.217987606431</v>
      </c>
      <c r="S19" s="28">
        <f t="shared" si="8"/>
        <v>11961.734757552844</v>
      </c>
      <c r="T19" s="38">
        <f t="shared" si="9"/>
        <v>1223.1999916873638</v>
      </c>
      <c r="Z19" s="35"/>
      <c r="AA19" s="29" t="s">
        <v>48</v>
      </c>
      <c r="AB19" s="29" t="s">
        <v>49</v>
      </c>
    </row>
    <row r="20" spans="2:28" ht="25" customHeight="1" x14ac:dyDescent="0.2">
      <c r="B20" s="41"/>
      <c r="C20" s="51">
        <v>5</v>
      </c>
      <c r="D20" s="28">
        <f t="shared" si="10"/>
        <v>-11.745962477254579</v>
      </c>
      <c r="E20" s="28">
        <f>E19</f>
        <v>-45</v>
      </c>
      <c r="F20" s="28">
        <f t="shared" si="10"/>
        <v>-2.6032300535865773</v>
      </c>
      <c r="G20" s="28">
        <v>4</v>
      </c>
      <c r="H20" s="28">
        <f t="shared" si="11"/>
        <v>0.16</v>
      </c>
      <c r="I20" s="28">
        <f t="shared" si="2"/>
        <v>4.16</v>
      </c>
      <c r="J20" s="28">
        <f t="shared" si="3"/>
        <v>-55.189192530841154</v>
      </c>
      <c r="K20" s="28">
        <f t="shared" si="4"/>
        <v>-55.189192530841154</v>
      </c>
      <c r="L20" s="28">
        <f t="shared" si="5"/>
        <v>-47.603230053586579</v>
      </c>
      <c r="M20" s="28"/>
      <c r="N20" s="28">
        <v>0.25640000000000002</v>
      </c>
      <c r="O20" s="28">
        <f t="shared" si="6"/>
        <v>25640</v>
      </c>
      <c r="P20" s="28">
        <f t="shared" si="7"/>
        <v>74360</v>
      </c>
      <c r="Q20" s="28">
        <f t="shared" si="0"/>
        <v>-100043.44323005358</v>
      </c>
      <c r="R20" s="28">
        <f t="shared" si="1"/>
        <v>-12005.21318760643</v>
      </c>
      <c r="S20" s="28">
        <f t="shared" si="8"/>
        <v>11961.769957552844</v>
      </c>
      <c r="T20" s="38">
        <f t="shared" si="9"/>
        <v>1223.2035912187512</v>
      </c>
      <c r="Z20" s="29" t="s">
        <v>16</v>
      </c>
      <c r="AA20" s="35"/>
      <c r="AB20" s="35"/>
    </row>
    <row r="21" spans="2:28" ht="25" customHeight="1" x14ac:dyDescent="0.2">
      <c r="B21" s="41"/>
      <c r="C21" s="51">
        <v>6</v>
      </c>
      <c r="D21" s="28">
        <f t="shared" si="10"/>
        <v>-11.745962477254579</v>
      </c>
      <c r="E21" s="28">
        <f t="shared" si="10"/>
        <v>-45</v>
      </c>
      <c r="F21" s="28">
        <f t="shared" si="10"/>
        <v>-2.6032300535865773</v>
      </c>
      <c r="G21" s="28">
        <v>4</v>
      </c>
      <c r="H21" s="28">
        <f t="shared" si="11"/>
        <v>0.2</v>
      </c>
      <c r="I21" s="28">
        <f t="shared" si="2"/>
        <v>4.2</v>
      </c>
      <c r="J21" s="28">
        <f t="shared" si="3"/>
        <v>-55.149192530841155</v>
      </c>
      <c r="K21" s="28">
        <f t="shared" si="4"/>
        <v>-55.149192530841155</v>
      </c>
      <c r="L21" s="28">
        <f t="shared" si="5"/>
        <v>-47.603230053586579</v>
      </c>
      <c r="M21" s="28"/>
      <c r="N21" s="28">
        <v>0.25640000000000002</v>
      </c>
      <c r="O21" s="28">
        <f t="shared" si="6"/>
        <v>25640</v>
      </c>
      <c r="P21" s="28">
        <f t="shared" si="7"/>
        <v>74360</v>
      </c>
      <c r="Q21" s="28">
        <f t="shared" si="0"/>
        <v>-100043.40323005359</v>
      </c>
      <c r="R21" s="28">
        <f t="shared" si="1"/>
        <v>-12005.20838760643</v>
      </c>
      <c r="S21" s="28">
        <f t="shared" si="8"/>
        <v>11961.805157552843</v>
      </c>
      <c r="T21" s="38">
        <f t="shared" si="9"/>
        <v>1223.2071907501384</v>
      </c>
      <c r="Z21" s="29" t="s">
        <v>50</v>
      </c>
      <c r="AA21" s="32">
        <v>0.14000000000000001</v>
      </c>
      <c r="AB21" s="35"/>
    </row>
    <row r="22" spans="2:28" ht="25" customHeight="1" x14ac:dyDescent="0.2">
      <c r="B22" s="41"/>
      <c r="C22" s="51">
        <v>7</v>
      </c>
      <c r="D22" s="28">
        <f t="shared" si="10"/>
        <v>-11.745962477254579</v>
      </c>
      <c r="E22" s="28">
        <f t="shared" si="10"/>
        <v>-45</v>
      </c>
      <c r="F22" s="28">
        <f t="shared" si="10"/>
        <v>-2.6032300535865773</v>
      </c>
      <c r="G22" s="28">
        <v>4</v>
      </c>
      <c r="H22" s="28">
        <f t="shared" si="11"/>
        <v>0.24000000000000002</v>
      </c>
      <c r="I22" s="28">
        <f t="shared" si="2"/>
        <v>4.24</v>
      </c>
      <c r="J22" s="28">
        <f t="shared" si="3"/>
        <v>-55.109192530841156</v>
      </c>
      <c r="K22" s="28">
        <f t="shared" si="4"/>
        <v>-55.109192530841156</v>
      </c>
      <c r="L22" s="28">
        <f t="shared" si="5"/>
        <v>-47.603230053586579</v>
      </c>
      <c r="M22" s="28"/>
      <c r="N22" s="28">
        <v>0.25640000000000002</v>
      </c>
      <c r="O22" s="28">
        <f t="shared" si="6"/>
        <v>25640</v>
      </c>
      <c r="P22" s="28">
        <f t="shared" si="7"/>
        <v>74360</v>
      </c>
      <c r="Q22" s="28">
        <f t="shared" si="0"/>
        <v>-100043.36323005358</v>
      </c>
      <c r="R22" s="28">
        <f t="shared" si="1"/>
        <v>-12005.203587606429</v>
      </c>
      <c r="S22" s="28">
        <f t="shared" si="8"/>
        <v>11961.840357552843</v>
      </c>
      <c r="T22" s="38">
        <f t="shared" si="9"/>
        <v>1223.2107902815258</v>
      </c>
      <c r="Z22" s="29" t="s">
        <v>51</v>
      </c>
      <c r="AA22" s="35"/>
      <c r="AB22" s="35"/>
    </row>
    <row r="23" spans="2:28" ht="25" customHeight="1" x14ac:dyDescent="0.2">
      <c r="B23" s="41"/>
      <c r="C23" s="51">
        <v>8</v>
      </c>
      <c r="D23" s="28">
        <f t="shared" si="10"/>
        <v>-11.745962477254579</v>
      </c>
      <c r="E23" s="28">
        <f t="shared" si="10"/>
        <v>-45</v>
      </c>
      <c r="F23" s="28">
        <f t="shared" si="10"/>
        <v>-2.6032300535865773</v>
      </c>
      <c r="G23" s="28">
        <v>4</v>
      </c>
      <c r="H23" s="28">
        <f t="shared" si="11"/>
        <v>0.28000000000000003</v>
      </c>
      <c r="I23" s="28">
        <f t="shared" si="2"/>
        <v>4.28</v>
      </c>
      <c r="J23" s="28">
        <f t="shared" si="3"/>
        <v>-55.069192530841157</v>
      </c>
      <c r="K23" s="28">
        <f t="shared" si="4"/>
        <v>-55.069192530841157</v>
      </c>
      <c r="L23" s="28">
        <f t="shared" si="5"/>
        <v>-47.603230053586579</v>
      </c>
      <c r="M23" s="28"/>
      <c r="N23" s="28">
        <v>0.25640000000000002</v>
      </c>
      <c r="O23" s="28">
        <f t="shared" si="6"/>
        <v>25640</v>
      </c>
      <c r="P23" s="28">
        <f t="shared" si="7"/>
        <v>74360</v>
      </c>
      <c r="Q23" s="28">
        <f t="shared" si="0"/>
        <v>-100043.32323005359</v>
      </c>
      <c r="R23" s="28">
        <f t="shared" si="1"/>
        <v>-12005.19878760643</v>
      </c>
      <c r="S23" s="28">
        <f t="shared" si="8"/>
        <v>11961.875557552843</v>
      </c>
      <c r="T23" s="38">
        <f t="shared" si="9"/>
        <v>1223.2143898129132</v>
      </c>
    </row>
    <row r="24" spans="2:28" ht="25" customHeight="1" x14ac:dyDescent="0.2">
      <c r="B24" s="41"/>
      <c r="C24" s="51">
        <v>9</v>
      </c>
      <c r="D24" s="28">
        <f t="shared" si="10"/>
        <v>-11.745962477254579</v>
      </c>
      <c r="E24" s="28">
        <f t="shared" si="10"/>
        <v>-45</v>
      </c>
      <c r="F24" s="28">
        <f t="shared" si="10"/>
        <v>-2.6032300535865773</v>
      </c>
      <c r="G24" s="28">
        <v>4</v>
      </c>
      <c r="H24" s="28">
        <f t="shared" si="11"/>
        <v>0.32</v>
      </c>
      <c r="I24" s="28">
        <f t="shared" si="2"/>
        <v>4.32</v>
      </c>
      <c r="J24" s="28">
        <f t="shared" si="3"/>
        <v>-55.029192530841158</v>
      </c>
      <c r="K24" s="28">
        <f t="shared" si="4"/>
        <v>-55.029192530841158</v>
      </c>
      <c r="L24" s="28">
        <f t="shared" si="5"/>
        <v>-47.603230053586579</v>
      </c>
      <c r="M24" s="28"/>
      <c r="N24" s="28">
        <v>0.25640000000000002</v>
      </c>
      <c r="O24" s="28">
        <f t="shared" si="6"/>
        <v>25640</v>
      </c>
      <c r="P24" s="28">
        <f t="shared" si="7"/>
        <v>74360</v>
      </c>
      <c r="Q24" s="28">
        <f t="shared" si="0"/>
        <v>-100043.28323005358</v>
      </c>
      <c r="R24" s="28">
        <f t="shared" si="1"/>
        <v>-12005.19398760643</v>
      </c>
      <c r="S24" s="28">
        <f t="shared" si="8"/>
        <v>11961.910757552843</v>
      </c>
      <c r="T24" s="38">
        <f t="shared" si="9"/>
        <v>1223.2179893443006</v>
      </c>
    </row>
    <row r="25" spans="2:28" ht="25" customHeight="1" x14ac:dyDescent="0.2">
      <c r="B25" s="41"/>
      <c r="C25" s="51">
        <v>10</v>
      </c>
      <c r="D25" s="28">
        <f t="shared" si="10"/>
        <v>-11.745962477254579</v>
      </c>
      <c r="E25" s="28">
        <f t="shared" si="10"/>
        <v>-45</v>
      </c>
      <c r="F25" s="28">
        <f t="shared" si="10"/>
        <v>-2.6032300535865773</v>
      </c>
      <c r="G25" s="28">
        <v>4</v>
      </c>
      <c r="H25" s="28">
        <f t="shared" si="11"/>
        <v>0.36</v>
      </c>
      <c r="I25" s="28">
        <f t="shared" si="2"/>
        <v>4.3600000000000003</v>
      </c>
      <c r="J25" s="28">
        <f t="shared" si="3"/>
        <v>-54.989192530841159</v>
      </c>
      <c r="K25" s="28">
        <f t="shared" si="4"/>
        <v>-54.989192530841159</v>
      </c>
      <c r="L25" s="28">
        <f t="shared" si="5"/>
        <v>-47.603230053586579</v>
      </c>
      <c r="M25" s="28"/>
      <c r="N25" s="28">
        <v>0.25640000000000002</v>
      </c>
      <c r="O25" s="28">
        <f t="shared" si="6"/>
        <v>25640</v>
      </c>
      <c r="P25" s="28">
        <f t="shared" si="7"/>
        <v>74360</v>
      </c>
      <c r="Q25" s="28">
        <f t="shared" si="0"/>
        <v>-100043.24323005359</v>
      </c>
      <c r="R25" s="28">
        <f t="shared" si="1"/>
        <v>-12005.189187606429</v>
      </c>
      <c r="S25" s="28">
        <f t="shared" si="8"/>
        <v>11961.945957552842</v>
      </c>
      <c r="T25" s="38">
        <f t="shared" si="9"/>
        <v>1223.221588875688</v>
      </c>
    </row>
    <row r="26" spans="2:28" ht="25" customHeight="1" x14ac:dyDescent="0.2">
      <c r="B26" s="41"/>
      <c r="C26" s="51">
        <v>11</v>
      </c>
      <c r="D26" s="28">
        <f t="shared" si="10"/>
        <v>-11.745962477254579</v>
      </c>
      <c r="E26" s="28">
        <f t="shared" si="10"/>
        <v>-45</v>
      </c>
      <c r="F26" s="28">
        <f t="shared" si="10"/>
        <v>-2.6032300535865773</v>
      </c>
      <c r="G26" s="28">
        <v>4</v>
      </c>
      <c r="H26" s="28">
        <f t="shared" si="11"/>
        <v>0.39999999999999997</v>
      </c>
      <c r="I26" s="28">
        <f t="shared" si="2"/>
        <v>4.4000000000000004</v>
      </c>
      <c r="J26" s="28">
        <f t="shared" si="3"/>
        <v>-54.94919253084116</v>
      </c>
      <c r="K26" s="28">
        <f t="shared" si="4"/>
        <v>-54.94919253084116</v>
      </c>
      <c r="L26" s="28">
        <f t="shared" si="5"/>
        <v>-47.603230053586579</v>
      </c>
      <c r="M26" s="28"/>
      <c r="N26" s="28">
        <v>0.25640000000000002</v>
      </c>
      <c r="O26" s="28">
        <f t="shared" si="6"/>
        <v>25640</v>
      </c>
      <c r="P26" s="28">
        <f t="shared" si="7"/>
        <v>74360</v>
      </c>
      <c r="Q26" s="28">
        <f t="shared" si="0"/>
        <v>-100043.20323005358</v>
      </c>
      <c r="R26" s="28">
        <f t="shared" si="1"/>
        <v>-12005.184387606429</v>
      </c>
      <c r="S26" s="28">
        <f t="shared" si="8"/>
        <v>11961.981157552842</v>
      </c>
      <c r="T26" s="38">
        <f t="shared" si="9"/>
        <v>1223.2251884070754</v>
      </c>
    </row>
    <row r="27" spans="2:28" ht="25" customHeight="1" x14ac:dyDescent="0.2">
      <c r="B27" s="41"/>
      <c r="C27" s="51">
        <v>12</v>
      </c>
      <c r="D27" s="28">
        <f t="shared" si="10"/>
        <v>-11.745962477254579</v>
      </c>
      <c r="E27" s="28">
        <f t="shared" si="10"/>
        <v>-45</v>
      </c>
      <c r="F27" s="28">
        <f t="shared" si="10"/>
        <v>-2.6032300535865773</v>
      </c>
      <c r="G27" s="28">
        <v>4</v>
      </c>
      <c r="H27" s="28">
        <f t="shared" si="11"/>
        <v>0.43999999999999995</v>
      </c>
      <c r="I27" s="28">
        <f t="shared" si="2"/>
        <v>4.4399999999999995</v>
      </c>
      <c r="J27" s="28">
        <f t="shared" si="3"/>
        <v>-54.90919253084116</v>
      </c>
      <c r="K27" s="28">
        <f t="shared" si="4"/>
        <v>-54.90919253084116</v>
      </c>
      <c r="L27" s="28">
        <f t="shared" si="5"/>
        <v>-47.603230053586579</v>
      </c>
      <c r="M27" s="28"/>
      <c r="N27" s="28">
        <v>0.25640000000000002</v>
      </c>
      <c r="O27" s="28">
        <f t="shared" si="6"/>
        <v>25640</v>
      </c>
      <c r="P27" s="28">
        <f t="shared" si="7"/>
        <v>74360</v>
      </c>
      <c r="Q27" s="28">
        <f t="shared" si="0"/>
        <v>-100043.16323005359</v>
      </c>
      <c r="R27" s="28">
        <f t="shared" si="1"/>
        <v>-12005.17958760643</v>
      </c>
      <c r="S27" s="28">
        <f t="shared" si="8"/>
        <v>11962.016357552844</v>
      </c>
      <c r="T27" s="38">
        <f t="shared" si="9"/>
        <v>1223.2287879384628</v>
      </c>
    </row>
    <row r="28" spans="2:28" ht="25" customHeight="1" x14ac:dyDescent="0.2">
      <c r="B28" s="41"/>
      <c r="C28" s="51">
        <v>13</v>
      </c>
      <c r="D28" s="28">
        <f t="shared" si="10"/>
        <v>-11.745962477254579</v>
      </c>
      <c r="E28" s="28">
        <f t="shared" si="10"/>
        <v>-45</v>
      </c>
      <c r="F28" s="28">
        <f t="shared" si="10"/>
        <v>-2.6032300535865773</v>
      </c>
      <c r="G28" s="28">
        <v>4</v>
      </c>
      <c r="H28" s="28">
        <f t="shared" si="11"/>
        <v>0.47999999999999993</v>
      </c>
      <c r="I28" s="28">
        <f t="shared" si="2"/>
        <v>4.4799999999999995</v>
      </c>
      <c r="J28" s="28">
        <f t="shared" si="3"/>
        <v>-54.869192530841161</v>
      </c>
      <c r="K28" s="28">
        <f t="shared" si="4"/>
        <v>-54.869192530841161</v>
      </c>
      <c r="L28" s="28">
        <f t="shared" si="5"/>
        <v>-47.603230053586579</v>
      </c>
      <c r="M28" s="28"/>
      <c r="N28" s="28">
        <v>0.25640000000000002</v>
      </c>
      <c r="O28" s="28">
        <f t="shared" si="6"/>
        <v>25640</v>
      </c>
      <c r="P28" s="28">
        <f t="shared" si="7"/>
        <v>74360</v>
      </c>
      <c r="Q28" s="28">
        <f t="shared" si="0"/>
        <v>-100043.12323005359</v>
      </c>
      <c r="R28" s="28">
        <f t="shared" si="1"/>
        <v>-12005.174787606431</v>
      </c>
      <c r="S28" s="28">
        <f t="shared" si="8"/>
        <v>11962.051557552844</v>
      </c>
      <c r="T28" s="38">
        <f t="shared" si="9"/>
        <v>1223.2323874698502</v>
      </c>
    </row>
    <row r="29" spans="2:28" ht="25" customHeight="1" x14ac:dyDescent="0.2">
      <c r="B29" s="41"/>
      <c r="C29" s="51">
        <v>14</v>
      </c>
      <c r="D29" s="28">
        <f t="shared" si="10"/>
        <v>-11.745962477254579</v>
      </c>
      <c r="E29" s="28">
        <f t="shared" si="10"/>
        <v>-45</v>
      </c>
      <c r="F29" s="28">
        <f t="shared" si="10"/>
        <v>-2.6032300535865773</v>
      </c>
      <c r="G29" s="28">
        <v>4</v>
      </c>
      <c r="H29" s="28">
        <f t="shared" si="11"/>
        <v>0.51999999999999991</v>
      </c>
      <c r="I29" s="28">
        <f t="shared" si="2"/>
        <v>4.5199999999999996</v>
      </c>
      <c r="J29" s="28">
        <f t="shared" si="3"/>
        <v>-54.829192530841155</v>
      </c>
      <c r="K29" s="28">
        <f t="shared" si="4"/>
        <v>-54.829192530841155</v>
      </c>
      <c r="L29" s="28">
        <f t="shared" si="5"/>
        <v>-47.603230053586579</v>
      </c>
      <c r="M29" s="28"/>
      <c r="N29" s="28">
        <v>0.25640000000000002</v>
      </c>
      <c r="O29" s="28">
        <f t="shared" si="6"/>
        <v>25640</v>
      </c>
      <c r="P29" s="28">
        <f t="shared" si="7"/>
        <v>74360</v>
      </c>
      <c r="Q29" s="28">
        <f t="shared" si="0"/>
        <v>-100043.08323005358</v>
      </c>
      <c r="R29" s="28">
        <f t="shared" si="1"/>
        <v>-12005.16998760643</v>
      </c>
      <c r="S29" s="28">
        <f t="shared" si="8"/>
        <v>11962.086757552845</v>
      </c>
      <c r="T29" s="38">
        <f t="shared" si="9"/>
        <v>1223.2359870012376</v>
      </c>
    </row>
    <row r="30" spans="2:28" ht="25" customHeight="1" x14ac:dyDescent="0.2">
      <c r="B30" s="41"/>
      <c r="C30" s="51">
        <v>15</v>
      </c>
      <c r="D30" s="28">
        <f t="shared" si="10"/>
        <v>-11.745962477254579</v>
      </c>
      <c r="E30" s="28">
        <f t="shared" si="10"/>
        <v>-45</v>
      </c>
      <c r="F30" s="28">
        <f t="shared" si="10"/>
        <v>-2.6032300535865773</v>
      </c>
      <c r="G30" s="28">
        <v>4</v>
      </c>
      <c r="H30" s="28">
        <f t="shared" si="11"/>
        <v>0.55999999999999994</v>
      </c>
      <c r="I30" s="28">
        <f t="shared" si="2"/>
        <v>4.5599999999999996</v>
      </c>
      <c r="J30" s="28">
        <f t="shared" si="3"/>
        <v>-54.789192530841156</v>
      </c>
      <c r="K30" s="28">
        <f t="shared" si="4"/>
        <v>-54.789192530841156</v>
      </c>
      <c r="L30" s="28">
        <f t="shared" si="5"/>
        <v>-47.603230053586579</v>
      </c>
      <c r="M30" s="28"/>
      <c r="N30" s="28">
        <v>0.25640000000000002</v>
      </c>
      <c r="O30" s="28">
        <f t="shared" si="6"/>
        <v>25640</v>
      </c>
      <c r="P30" s="28">
        <f t="shared" si="7"/>
        <v>74360</v>
      </c>
      <c r="Q30" s="28">
        <f t="shared" si="0"/>
        <v>-100043.04323005359</v>
      </c>
      <c r="R30" s="28">
        <f t="shared" si="1"/>
        <v>-12005.16518760643</v>
      </c>
      <c r="S30" s="28">
        <f t="shared" si="8"/>
        <v>11962.121957552843</v>
      </c>
      <c r="T30" s="38">
        <f t="shared" si="9"/>
        <v>1223.239586532625</v>
      </c>
    </row>
    <row r="31" spans="2:28" ht="25" customHeight="1" x14ac:dyDescent="0.2">
      <c r="B31" s="41"/>
      <c r="C31" s="51">
        <v>16</v>
      </c>
      <c r="D31" s="28">
        <f t="shared" si="10"/>
        <v>-11.745962477254579</v>
      </c>
      <c r="E31" s="28">
        <f t="shared" si="10"/>
        <v>-45</v>
      </c>
      <c r="F31" s="28">
        <f t="shared" si="10"/>
        <v>-2.6032300535865773</v>
      </c>
      <c r="G31" s="28">
        <v>4</v>
      </c>
      <c r="H31" s="28">
        <f t="shared" si="11"/>
        <v>0.6</v>
      </c>
      <c r="I31" s="28">
        <f t="shared" si="2"/>
        <v>4.5999999999999996</v>
      </c>
      <c r="J31" s="28">
        <f t="shared" si="3"/>
        <v>-54.749192530841157</v>
      </c>
      <c r="K31" s="28">
        <f t="shared" si="4"/>
        <v>-54.749192530841157</v>
      </c>
      <c r="L31" s="28">
        <f t="shared" si="5"/>
        <v>-47.603230053586579</v>
      </c>
      <c r="M31" s="28"/>
      <c r="N31" s="28">
        <v>0.25640000000000002</v>
      </c>
      <c r="O31" s="28">
        <f t="shared" si="6"/>
        <v>25640</v>
      </c>
      <c r="P31" s="28">
        <f t="shared" si="7"/>
        <v>74360</v>
      </c>
      <c r="Q31" s="28">
        <f t="shared" si="0"/>
        <v>-100043.00323005358</v>
      </c>
      <c r="R31" s="28">
        <f t="shared" si="1"/>
        <v>-12005.160387606429</v>
      </c>
      <c r="S31" s="28">
        <f t="shared" si="8"/>
        <v>11962.157157552843</v>
      </c>
      <c r="T31" s="38">
        <f t="shared" si="9"/>
        <v>1223.2431860640124</v>
      </c>
    </row>
    <row r="32" spans="2:28" ht="25" customHeight="1" x14ac:dyDescent="0.2">
      <c r="B32" s="41"/>
      <c r="C32" s="51">
        <v>17</v>
      </c>
      <c r="D32" s="28">
        <f t="shared" si="10"/>
        <v>-11.745962477254579</v>
      </c>
      <c r="E32" s="28">
        <f t="shared" si="10"/>
        <v>-45</v>
      </c>
      <c r="F32" s="28">
        <f t="shared" si="10"/>
        <v>-2.6032300535865773</v>
      </c>
      <c r="G32" s="28">
        <v>4</v>
      </c>
      <c r="H32" s="28">
        <f t="shared" si="11"/>
        <v>0.64</v>
      </c>
      <c r="I32" s="28">
        <f t="shared" si="2"/>
        <v>4.6399999999999997</v>
      </c>
      <c r="J32" s="28">
        <f t="shared" si="3"/>
        <v>-54.709192530841158</v>
      </c>
      <c r="K32" s="28">
        <f t="shared" si="4"/>
        <v>-54.709192530841158</v>
      </c>
      <c r="L32" s="28">
        <f t="shared" si="5"/>
        <v>-47.603230053586579</v>
      </c>
      <c r="M32" s="28"/>
      <c r="N32" s="28">
        <v>0.25640000000000002</v>
      </c>
      <c r="O32" s="28">
        <f t="shared" si="6"/>
        <v>25640</v>
      </c>
      <c r="P32" s="28">
        <f t="shared" si="7"/>
        <v>74360</v>
      </c>
      <c r="Q32" s="28">
        <f t="shared" si="0"/>
        <v>-100042.96323005359</v>
      </c>
      <c r="R32" s="28">
        <f t="shared" si="1"/>
        <v>-12005.15558760643</v>
      </c>
      <c r="S32" s="28">
        <f t="shared" si="8"/>
        <v>11962.192357552844</v>
      </c>
      <c r="T32" s="38">
        <f t="shared" si="9"/>
        <v>1223.2467855953998</v>
      </c>
    </row>
    <row r="33" spans="2:20" ht="25" customHeight="1" x14ac:dyDescent="0.2">
      <c r="B33" s="41"/>
      <c r="C33" s="51">
        <v>18</v>
      </c>
      <c r="D33" s="28">
        <f t="shared" si="10"/>
        <v>-11.745962477254579</v>
      </c>
      <c r="E33" s="28">
        <f t="shared" si="10"/>
        <v>-45</v>
      </c>
      <c r="F33" s="28">
        <f t="shared" si="10"/>
        <v>-2.6032300535865773</v>
      </c>
      <c r="G33" s="28">
        <v>4</v>
      </c>
      <c r="H33" s="28">
        <f t="shared" si="11"/>
        <v>0.68</v>
      </c>
      <c r="I33" s="28">
        <f t="shared" si="2"/>
        <v>4.68</v>
      </c>
      <c r="J33" s="28">
        <f t="shared" si="3"/>
        <v>-54.669192530841158</v>
      </c>
      <c r="K33" s="28">
        <f t="shared" si="4"/>
        <v>-54.669192530841158</v>
      </c>
      <c r="L33" s="28">
        <f t="shared" si="5"/>
        <v>-47.603230053586579</v>
      </c>
      <c r="M33" s="28"/>
      <c r="N33" s="28">
        <v>0.25640000000000002</v>
      </c>
      <c r="O33" s="28">
        <f t="shared" si="6"/>
        <v>25640</v>
      </c>
      <c r="P33" s="28">
        <f t="shared" si="7"/>
        <v>74360</v>
      </c>
      <c r="Q33" s="28">
        <f t="shared" si="0"/>
        <v>-100042.92323005358</v>
      </c>
      <c r="R33" s="28">
        <f t="shared" si="1"/>
        <v>-12005.15078760643</v>
      </c>
      <c r="S33" s="28">
        <f t="shared" si="8"/>
        <v>11962.227557552844</v>
      </c>
      <c r="T33" s="38">
        <f t="shared" si="9"/>
        <v>1223.2503851267873</v>
      </c>
    </row>
    <row r="34" spans="2:20" ht="25" customHeight="1" x14ac:dyDescent="0.2">
      <c r="B34" s="41"/>
      <c r="C34" s="51">
        <v>19</v>
      </c>
      <c r="D34" s="28">
        <f t="shared" si="10"/>
        <v>-11.745962477254579</v>
      </c>
      <c r="E34" s="28">
        <f t="shared" si="10"/>
        <v>-45</v>
      </c>
      <c r="F34" s="28">
        <f t="shared" si="10"/>
        <v>-2.6032300535865773</v>
      </c>
      <c r="G34" s="28">
        <v>4</v>
      </c>
      <c r="H34" s="28">
        <f t="shared" si="11"/>
        <v>0.72000000000000008</v>
      </c>
      <c r="I34" s="28">
        <f t="shared" si="2"/>
        <v>4.72</v>
      </c>
      <c r="J34" s="28">
        <f t="shared" si="3"/>
        <v>-54.629192530841159</v>
      </c>
      <c r="K34" s="28">
        <f t="shared" si="4"/>
        <v>-54.629192530841159</v>
      </c>
      <c r="L34" s="28">
        <f t="shared" si="5"/>
        <v>-47.603230053586579</v>
      </c>
      <c r="M34" s="28"/>
      <c r="N34" s="28">
        <v>0.25640000000000002</v>
      </c>
      <c r="O34" s="28">
        <f t="shared" si="6"/>
        <v>25640</v>
      </c>
      <c r="P34" s="28">
        <f t="shared" si="7"/>
        <v>74360</v>
      </c>
      <c r="Q34" s="28">
        <f t="shared" si="0"/>
        <v>-100042.88323005359</v>
      </c>
      <c r="R34" s="28">
        <f t="shared" si="1"/>
        <v>-12005.145987606429</v>
      </c>
      <c r="S34" s="28">
        <f t="shared" si="8"/>
        <v>11962.262757552842</v>
      </c>
      <c r="T34" s="38">
        <f t="shared" si="9"/>
        <v>1223.2539846581744</v>
      </c>
    </row>
    <row r="35" spans="2:20" ht="25" customHeight="1" x14ac:dyDescent="0.2">
      <c r="B35" s="41"/>
      <c r="C35" s="51">
        <v>20</v>
      </c>
      <c r="D35" s="28">
        <f t="shared" si="10"/>
        <v>-11.745962477254579</v>
      </c>
      <c r="E35" s="28">
        <f t="shared" si="10"/>
        <v>-45</v>
      </c>
      <c r="F35" s="28">
        <f>F34</f>
        <v>-2.6032300535865773</v>
      </c>
      <c r="G35" s="28">
        <v>4</v>
      </c>
      <c r="H35" s="28">
        <f>H34+0.04</f>
        <v>0.76000000000000012</v>
      </c>
      <c r="I35" s="28">
        <f t="shared" si="2"/>
        <v>4.76</v>
      </c>
      <c r="J35" s="28">
        <f t="shared" si="3"/>
        <v>-54.58919253084116</v>
      </c>
      <c r="K35" s="28">
        <f t="shared" si="4"/>
        <v>-54.58919253084116</v>
      </c>
      <c r="L35" s="28">
        <f t="shared" si="5"/>
        <v>-47.603230053586579</v>
      </c>
      <c r="M35" s="28"/>
      <c r="N35" s="28">
        <v>0.25640000000000002</v>
      </c>
      <c r="O35" s="28">
        <f t="shared" si="6"/>
        <v>25640</v>
      </c>
      <c r="P35" s="28">
        <f t="shared" si="7"/>
        <v>74360</v>
      </c>
      <c r="Q35" s="28">
        <f t="shared" si="0"/>
        <v>-100042.84323005359</v>
      </c>
      <c r="R35" s="28">
        <f t="shared" si="1"/>
        <v>-12005.14118760643</v>
      </c>
      <c r="S35" s="28">
        <f t="shared" si="8"/>
        <v>11962.297957552844</v>
      </c>
      <c r="T35" s="38">
        <f t="shared" si="9"/>
        <v>1223.2575841895621</v>
      </c>
    </row>
    <row r="36" spans="2:20" ht="25" customHeight="1" x14ac:dyDescent="0.2">
      <c r="B36" s="41"/>
      <c r="C36" s="51">
        <v>21</v>
      </c>
      <c r="D36" s="28">
        <f t="shared" si="10"/>
        <v>-11.745962477254579</v>
      </c>
      <c r="E36" s="28">
        <f t="shared" si="10"/>
        <v>-45</v>
      </c>
      <c r="F36" s="28">
        <f t="shared" si="10"/>
        <v>-2.6032300535865773</v>
      </c>
      <c r="G36" s="28">
        <v>4</v>
      </c>
      <c r="H36" s="28">
        <f t="shared" si="11"/>
        <v>0.80000000000000016</v>
      </c>
      <c r="I36" s="28">
        <f t="shared" si="2"/>
        <v>4.8</v>
      </c>
      <c r="J36" s="28">
        <f t="shared" si="3"/>
        <v>-54.549192530841161</v>
      </c>
      <c r="K36" s="28">
        <f t="shared" si="4"/>
        <v>-54.549192530841161</v>
      </c>
      <c r="L36" s="28">
        <f t="shared" si="5"/>
        <v>-47.603230053586579</v>
      </c>
      <c r="M36" s="28"/>
      <c r="N36" s="28">
        <v>0.25640000000000002</v>
      </c>
      <c r="O36" s="28">
        <f t="shared" si="6"/>
        <v>25640</v>
      </c>
      <c r="P36" s="28">
        <f t="shared" si="7"/>
        <v>74360</v>
      </c>
      <c r="Q36" s="28">
        <f t="shared" si="0"/>
        <v>-100042.80323005359</v>
      </c>
      <c r="R36" s="28">
        <f t="shared" si="1"/>
        <v>-12005.13638760643</v>
      </c>
      <c r="S36" s="28">
        <f t="shared" si="8"/>
        <v>11962.333157552843</v>
      </c>
      <c r="T36" s="38">
        <f t="shared" si="9"/>
        <v>1223.2611837209492</v>
      </c>
    </row>
    <row r="37" spans="2:20" ht="25" customHeight="1" x14ac:dyDescent="0.2">
      <c r="B37" s="41"/>
      <c r="C37" s="51">
        <v>22</v>
      </c>
      <c r="D37" s="28">
        <f t="shared" ref="D37:F54" si="12">D36</f>
        <v>-11.745962477254579</v>
      </c>
      <c r="E37" s="28">
        <f t="shared" si="12"/>
        <v>-45</v>
      </c>
      <c r="F37" s="28">
        <f t="shared" si="12"/>
        <v>-2.6032300535865773</v>
      </c>
      <c r="G37" s="28">
        <v>4</v>
      </c>
      <c r="H37" s="28">
        <f t="shared" si="11"/>
        <v>0.84000000000000019</v>
      </c>
      <c r="I37" s="28">
        <f t="shared" si="2"/>
        <v>4.84</v>
      </c>
      <c r="J37" s="28">
        <f t="shared" si="3"/>
        <v>-54.509192530841162</v>
      </c>
      <c r="K37" s="28">
        <f t="shared" si="4"/>
        <v>-54.509192530841162</v>
      </c>
      <c r="L37" s="28">
        <f t="shared" si="5"/>
        <v>-47.603230053586579</v>
      </c>
      <c r="M37" s="28"/>
      <c r="N37" s="28">
        <v>0.25640000000000002</v>
      </c>
      <c r="O37" s="28">
        <f t="shared" si="6"/>
        <v>25640</v>
      </c>
      <c r="P37" s="28">
        <f t="shared" si="7"/>
        <v>74360</v>
      </c>
      <c r="Q37" s="28">
        <f t="shared" si="0"/>
        <v>-100042.76323005359</v>
      </c>
      <c r="R37" s="28">
        <f t="shared" si="1"/>
        <v>-12005.131587606431</v>
      </c>
      <c r="S37" s="28">
        <f t="shared" si="8"/>
        <v>11962.368357552845</v>
      </c>
      <c r="T37" s="38">
        <f t="shared" si="9"/>
        <v>1223.2647832523369</v>
      </c>
    </row>
    <row r="38" spans="2:20" ht="25" customHeight="1" x14ac:dyDescent="0.2">
      <c r="B38" s="41"/>
      <c r="C38" s="51">
        <v>23</v>
      </c>
      <c r="D38" s="28">
        <f t="shared" si="12"/>
        <v>-11.745962477254579</v>
      </c>
      <c r="E38" s="28">
        <f t="shared" si="12"/>
        <v>-45</v>
      </c>
      <c r="F38" s="28">
        <f t="shared" si="12"/>
        <v>-2.6032300535865773</v>
      </c>
      <c r="G38" s="28">
        <v>4</v>
      </c>
      <c r="H38" s="28">
        <f t="shared" si="11"/>
        <v>0.88000000000000023</v>
      </c>
      <c r="I38" s="28">
        <f t="shared" si="2"/>
        <v>4.88</v>
      </c>
      <c r="J38" s="28">
        <f t="shared" si="3"/>
        <v>-54.469192530841156</v>
      </c>
      <c r="K38" s="28">
        <f t="shared" si="4"/>
        <v>-54.469192530841156</v>
      </c>
      <c r="L38" s="28">
        <f t="shared" si="5"/>
        <v>-47.603230053586579</v>
      </c>
      <c r="M38" s="28"/>
      <c r="N38" s="28">
        <v>0.25640000000000002</v>
      </c>
      <c r="O38" s="28">
        <f t="shared" si="6"/>
        <v>25640</v>
      </c>
      <c r="P38" s="28">
        <f t="shared" si="7"/>
        <v>74360</v>
      </c>
      <c r="Q38" s="28">
        <f t="shared" si="0"/>
        <v>-100042.72323005358</v>
      </c>
      <c r="R38" s="28">
        <f t="shared" si="1"/>
        <v>-12005.12678760643</v>
      </c>
      <c r="S38" s="28">
        <f t="shared" si="8"/>
        <v>11962.403557552843</v>
      </c>
      <c r="T38" s="38">
        <f t="shared" si="9"/>
        <v>1223.2683827837243</v>
      </c>
    </row>
    <row r="39" spans="2:20" ht="25" customHeight="1" x14ac:dyDescent="0.2">
      <c r="B39" s="41"/>
      <c r="C39" s="51">
        <v>24</v>
      </c>
      <c r="D39" s="28">
        <f t="shared" si="12"/>
        <v>-11.745962477254579</v>
      </c>
      <c r="E39" s="28">
        <f t="shared" si="12"/>
        <v>-45</v>
      </c>
      <c r="F39" s="28">
        <f t="shared" si="12"/>
        <v>-2.6032300535865773</v>
      </c>
      <c r="G39" s="28">
        <v>4</v>
      </c>
      <c r="H39" s="28">
        <f t="shared" si="11"/>
        <v>0.92000000000000026</v>
      </c>
      <c r="I39" s="28">
        <f t="shared" si="2"/>
        <v>4.92</v>
      </c>
      <c r="J39" s="28">
        <f t="shared" si="3"/>
        <v>-54.429192530841156</v>
      </c>
      <c r="K39" s="28">
        <f t="shared" si="4"/>
        <v>-54.429192530841156</v>
      </c>
      <c r="L39" s="28">
        <f t="shared" si="5"/>
        <v>-47.603230053586579</v>
      </c>
      <c r="M39" s="28"/>
      <c r="N39" s="28">
        <v>0.25640000000000002</v>
      </c>
      <c r="O39" s="28">
        <f t="shared" si="6"/>
        <v>25640</v>
      </c>
      <c r="P39" s="28">
        <f t="shared" si="7"/>
        <v>74360</v>
      </c>
      <c r="Q39" s="28">
        <f t="shared" si="0"/>
        <v>-100042.68323005359</v>
      </c>
      <c r="R39" s="28">
        <f t="shared" si="1"/>
        <v>-12005.12198760643</v>
      </c>
      <c r="S39" s="28">
        <f t="shared" si="8"/>
        <v>11962.438757552844</v>
      </c>
      <c r="T39" s="38">
        <f t="shared" si="9"/>
        <v>1223.2719823151117</v>
      </c>
    </row>
    <row r="40" spans="2:20" ht="25" customHeight="1" x14ac:dyDescent="0.2">
      <c r="B40" s="41"/>
      <c r="C40" s="51">
        <v>25</v>
      </c>
      <c r="D40" s="28">
        <f t="shared" si="12"/>
        <v>-11.745962477254579</v>
      </c>
      <c r="E40" s="28">
        <f t="shared" si="12"/>
        <v>-45</v>
      </c>
      <c r="F40" s="28">
        <f t="shared" si="12"/>
        <v>-2.6032300535865773</v>
      </c>
      <c r="G40" s="28">
        <v>4</v>
      </c>
      <c r="H40" s="28">
        <f t="shared" si="11"/>
        <v>0.9600000000000003</v>
      </c>
      <c r="I40" s="28">
        <f t="shared" si="2"/>
        <v>4.96</v>
      </c>
      <c r="J40" s="28">
        <f t="shared" si="3"/>
        <v>-54.389192530841157</v>
      </c>
      <c r="K40" s="28">
        <f t="shared" si="4"/>
        <v>-54.389192530841157</v>
      </c>
      <c r="L40" s="28">
        <f t="shared" si="5"/>
        <v>-47.603230053586579</v>
      </c>
      <c r="M40" s="28"/>
      <c r="N40" s="28">
        <v>0.25640000000000002</v>
      </c>
      <c r="O40" s="28">
        <f t="shared" si="6"/>
        <v>25640</v>
      </c>
      <c r="P40" s="28">
        <f t="shared" si="7"/>
        <v>74360</v>
      </c>
      <c r="Q40" s="28">
        <f t="shared" si="0"/>
        <v>-100042.64323005358</v>
      </c>
      <c r="R40" s="28">
        <f t="shared" si="1"/>
        <v>-12005.117187606429</v>
      </c>
      <c r="S40" s="28">
        <f t="shared" si="8"/>
        <v>11962.473957552842</v>
      </c>
      <c r="T40" s="38">
        <f t="shared" si="9"/>
        <v>1223.2755818464989</v>
      </c>
    </row>
    <row r="41" spans="2:20" ht="25" customHeight="1" x14ac:dyDescent="0.2">
      <c r="B41" s="41"/>
      <c r="C41" s="51">
        <v>26</v>
      </c>
      <c r="D41" s="28">
        <f t="shared" si="12"/>
        <v>-11.745962477254579</v>
      </c>
      <c r="E41" s="28">
        <f t="shared" si="12"/>
        <v>-45</v>
      </c>
      <c r="F41" s="28">
        <f t="shared" si="12"/>
        <v>-2.6032300535865773</v>
      </c>
      <c r="G41" s="28">
        <v>4</v>
      </c>
      <c r="H41" s="28">
        <f t="shared" si="11"/>
        <v>1.0000000000000002</v>
      </c>
      <c r="I41" s="28">
        <f t="shared" si="2"/>
        <v>5</v>
      </c>
      <c r="J41" s="28">
        <f t="shared" si="3"/>
        <v>-54.349192530841158</v>
      </c>
      <c r="K41" s="28">
        <f t="shared" si="4"/>
        <v>-54.349192530841158</v>
      </c>
      <c r="L41" s="28">
        <f t="shared" si="5"/>
        <v>-47.603230053586579</v>
      </c>
      <c r="M41" s="28"/>
      <c r="N41" s="28">
        <v>0.25640000000000002</v>
      </c>
      <c r="O41" s="28">
        <f t="shared" si="6"/>
        <v>25640</v>
      </c>
      <c r="P41" s="28">
        <f t="shared" si="7"/>
        <v>74360</v>
      </c>
      <c r="Q41" s="28">
        <f t="shared" si="0"/>
        <v>-100042.60323005359</v>
      </c>
      <c r="R41" s="28">
        <f t="shared" si="1"/>
        <v>-12005.11238760643</v>
      </c>
      <c r="S41" s="28">
        <f t="shared" si="8"/>
        <v>11962.509157552844</v>
      </c>
      <c r="T41" s="38">
        <f t="shared" si="9"/>
        <v>1223.2791813778865</v>
      </c>
    </row>
    <row r="42" spans="2:20" ht="25" customHeight="1" x14ac:dyDescent="0.2">
      <c r="B42" s="41"/>
      <c r="C42" s="51">
        <v>27</v>
      </c>
      <c r="D42" s="28">
        <f t="shared" si="12"/>
        <v>-11.745962477254579</v>
      </c>
      <c r="E42" s="28">
        <f t="shared" si="12"/>
        <v>-45</v>
      </c>
      <c r="F42" s="28">
        <f t="shared" si="12"/>
        <v>-2.6032300535865773</v>
      </c>
      <c r="G42" s="28">
        <v>4</v>
      </c>
      <c r="H42" s="28">
        <f t="shared" si="11"/>
        <v>1.0400000000000003</v>
      </c>
      <c r="I42" s="28">
        <f t="shared" si="2"/>
        <v>5.04</v>
      </c>
      <c r="J42" s="28">
        <f t="shared" si="3"/>
        <v>-54.309192530841159</v>
      </c>
      <c r="K42" s="28">
        <f t="shared" si="4"/>
        <v>-54.309192530841159</v>
      </c>
      <c r="L42" s="28">
        <f t="shared" si="5"/>
        <v>-47.603230053586579</v>
      </c>
      <c r="M42" s="28"/>
      <c r="N42" s="28">
        <v>0.25640000000000002</v>
      </c>
      <c r="O42" s="28">
        <f t="shared" si="6"/>
        <v>25640</v>
      </c>
      <c r="P42" s="28">
        <f t="shared" si="7"/>
        <v>74360</v>
      </c>
      <c r="Q42" s="28">
        <f t="shared" si="0"/>
        <v>-100042.56323005358</v>
      </c>
      <c r="R42" s="28">
        <f t="shared" si="1"/>
        <v>-12005.10758760643</v>
      </c>
      <c r="S42" s="28">
        <f t="shared" si="8"/>
        <v>11962.544357552842</v>
      </c>
      <c r="T42" s="38">
        <f t="shared" si="9"/>
        <v>1223.2827809092737</v>
      </c>
    </row>
    <row r="43" spans="2:20" ht="25" customHeight="1" x14ac:dyDescent="0.2">
      <c r="B43" s="41"/>
      <c r="C43" s="51">
        <v>28</v>
      </c>
      <c r="D43" s="28">
        <f t="shared" si="12"/>
        <v>-11.745962477254579</v>
      </c>
      <c r="E43" s="28">
        <f t="shared" si="12"/>
        <v>-45</v>
      </c>
      <c r="F43" s="28">
        <f t="shared" si="12"/>
        <v>-2.6032300535865773</v>
      </c>
      <c r="G43" s="28">
        <v>4</v>
      </c>
      <c r="H43" s="28">
        <f t="shared" si="11"/>
        <v>1.0800000000000003</v>
      </c>
      <c r="I43" s="28">
        <f t="shared" si="2"/>
        <v>5.08</v>
      </c>
      <c r="J43" s="28">
        <f t="shared" si="3"/>
        <v>-54.26919253084116</v>
      </c>
      <c r="K43" s="28">
        <f t="shared" si="4"/>
        <v>-54.26919253084116</v>
      </c>
      <c r="L43" s="28">
        <f t="shared" si="5"/>
        <v>-47.603230053586579</v>
      </c>
      <c r="M43" s="28"/>
      <c r="N43" s="28">
        <v>0.25640000000000002</v>
      </c>
      <c r="O43" s="28">
        <f t="shared" si="6"/>
        <v>25640</v>
      </c>
      <c r="P43" s="28">
        <f t="shared" si="7"/>
        <v>74360</v>
      </c>
      <c r="Q43" s="28">
        <f t="shared" si="0"/>
        <v>-100042.52323005359</v>
      </c>
      <c r="R43" s="28">
        <f t="shared" si="1"/>
        <v>-12005.102787606429</v>
      </c>
      <c r="S43" s="28">
        <f t="shared" si="8"/>
        <v>11962.579557552843</v>
      </c>
      <c r="T43" s="38">
        <f t="shared" si="9"/>
        <v>1223.2863804406611</v>
      </c>
    </row>
    <row r="44" spans="2:20" ht="25" customHeight="1" x14ac:dyDescent="0.2">
      <c r="B44" s="41"/>
      <c r="C44" s="51">
        <v>29</v>
      </c>
      <c r="D44" s="28">
        <f t="shared" si="12"/>
        <v>-11.745962477254579</v>
      </c>
      <c r="E44" s="28">
        <f t="shared" si="12"/>
        <v>-45</v>
      </c>
      <c r="F44" s="28">
        <f t="shared" si="12"/>
        <v>-2.6032300535865773</v>
      </c>
      <c r="G44" s="28">
        <v>4</v>
      </c>
      <c r="H44" s="28">
        <f t="shared" si="11"/>
        <v>1.1200000000000003</v>
      </c>
      <c r="I44" s="28">
        <f t="shared" si="2"/>
        <v>5.12</v>
      </c>
      <c r="J44" s="28">
        <f t="shared" si="3"/>
        <v>-54.229192530841161</v>
      </c>
      <c r="K44" s="28">
        <f t="shared" si="4"/>
        <v>-54.229192530841161</v>
      </c>
      <c r="L44" s="28">
        <f t="shared" si="5"/>
        <v>-47.603230053586579</v>
      </c>
      <c r="M44" s="28"/>
      <c r="N44" s="28">
        <v>0.25640000000000002</v>
      </c>
      <c r="O44" s="28">
        <f t="shared" si="6"/>
        <v>25640</v>
      </c>
      <c r="P44" s="28">
        <f t="shared" si="7"/>
        <v>74360</v>
      </c>
      <c r="Q44" s="28">
        <f t="shared" si="0"/>
        <v>-100042.48323005359</v>
      </c>
      <c r="R44" s="28">
        <f t="shared" si="1"/>
        <v>-12005.09798760643</v>
      </c>
      <c r="S44" s="28">
        <f t="shared" si="8"/>
        <v>11962.614757552843</v>
      </c>
      <c r="T44" s="38">
        <f t="shared" si="9"/>
        <v>1223.2899799720485</v>
      </c>
    </row>
    <row r="45" spans="2:20" ht="25" customHeight="1" x14ac:dyDescent="0.2">
      <c r="B45" s="41"/>
      <c r="C45" s="51">
        <v>30</v>
      </c>
      <c r="D45" s="28">
        <f t="shared" si="12"/>
        <v>-11.745962477254579</v>
      </c>
      <c r="E45" s="28">
        <f t="shared" si="12"/>
        <v>-45</v>
      </c>
      <c r="F45" s="28">
        <f t="shared" si="12"/>
        <v>-2.6032300535865773</v>
      </c>
      <c r="G45" s="28">
        <v>4</v>
      </c>
      <c r="H45" s="28">
        <f t="shared" si="11"/>
        <v>1.1600000000000004</v>
      </c>
      <c r="I45" s="28">
        <f t="shared" si="2"/>
        <v>5.16</v>
      </c>
      <c r="J45" s="28">
        <f t="shared" si="3"/>
        <v>-54.189192530841154</v>
      </c>
      <c r="K45" s="28">
        <f t="shared" si="4"/>
        <v>-54.189192530841154</v>
      </c>
      <c r="L45" s="28">
        <f t="shared" si="5"/>
        <v>-47.603230053586579</v>
      </c>
      <c r="M45" s="28"/>
      <c r="N45" s="28">
        <v>0.25640000000000002</v>
      </c>
      <c r="O45" s="28">
        <f t="shared" si="6"/>
        <v>25640</v>
      </c>
      <c r="P45" s="28">
        <f t="shared" si="7"/>
        <v>74360</v>
      </c>
      <c r="Q45" s="28">
        <f t="shared" si="0"/>
        <v>-100042.44323005358</v>
      </c>
      <c r="R45" s="28">
        <f t="shared" si="1"/>
        <v>-12005.09318760643</v>
      </c>
      <c r="S45" s="28">
        <f t="shared" si="8"/>
        <v>11962.649957552843</v>
      </c>
      <c r="T45" s="38">
        <f t="shared" si="9"/>
        <v>1223.2935795034359</v>
      </c>
    </row>
    <row r="46" spans="2:20" ht="25" customHeight="1" x14ac:dyDescent="0.2">
      <c r="B46" s="41"/>
      <c r="C46" s="51">
        <v>31</v>
      </c>
      <c r="D46" s="28">
        <f t="shared" si="12"/>
        <v>-11.745962477254579</v>
      </c>
      <c r="E46" s="28">
        <f t="shared" si="12"/>
        <v>-45</v>
      </c>
      <c r="F46" s="28">
        <f t="shared" si="12"/>
        <v>-2.6032300535865773</v>
      </c>
      <c r="G46" s="28">
        <v>4</v>
      </c>
      <c r="H46" s="28">
        <f t="shared" si="11"/>
        <v>1.2000000000000004</v>
      </c>
      <c r="I46" s="28">
        <f t="shared" si="2"/>
        <v>5.2</v>
      </c>
      <c r="J46" s="28">
        <f t="shared" si="3"/>
        <v>-54.149192530841155</v>
      </c>
      <c r="K46" s="28">
        <f t="shared" si="4"/>
        <v>-54.149192530841155</v>
      </c>
      <c r="L46" s="28">
        <f t="shared" si="5"/>
        <v>-47.603230053586579</v>
      </c>
      <c r="M46" s="28"/>
      <c r="N46" s="28">
        <v>0.25640000000000002</v>
      </c>
      <c r="O46" s="28">
        <f t="shared" si="6"/>
        <v>25640</v>
      </c>
      <c r="P46" s="28">
        <f t="shared" si="7"/>
        <v>74360</v>
      </c>
      <c r="Q46" s="28">
        <f t="shared" si="0"/>
        <v>-100042.40323005359</v>
      </c>
      <c r="R46" s="28">
        <f t="shared" si="1"/>
        <v>-12005.088387606431</v>
      </c>
      <c r="S46" s="28">
        <f t="shared" si="8"/>
        <v>11962.685157552844</v>
      </c>
      <c r="T46" s="38">
        <f t="shared" si="9"/>
        <v>1223.2971790348233</v>
      </c>
    </row>
    <row r="47" spans="2:20" ht="25" customHeight="1" x14ac:dyDescent="0.2">
      <c r="B47" s="41"/>
      <c r="C47" s="51">
        <v>32</v>
      </c>
      <c r="D47" s="28">
        <f t="shared" si="12"/>
        <v>-11.745962477254579</v>
      </c>
      <c r="E47" s="28">
        <f t="shared" si="12"/>
        <v>-45</v>
      </c>
      <c r="F47" s="28">
        <f t="shared" si="12"/>
        <v>-2.6032300535865773</v>
      </c>
      <c r="G47" s="28">
        <v>4</v>
      </c>
      <c r="H47" s="28">
        <f t="shared" si="11"/>
        <v>1.2400000000000004</v>
      </c>
      <c r="I47" s="28">
        <f t="shared" si="2"/>
        <v>5.24</v>
      </c>
      <c r="J47" s="28">
        <f t="shared" si="3"/>
        <v>-54.109192530841156</v>
      </c>
      <c r="K47" s="28">
        <f t="shared" si="4"/>
        <v>-54.109192530841156</v>
      </c>
      <c r="L47" s="28">
        <f t="shared" si="5"/>
        <v>-47.603230053586579</v>
      </c>
      <c r="M47" s="28"/>
      <c r="N47" s="28">
        <v>0.25640000000000002</v>
      </c>
      <c r="O47" s="28">
        <f t="shared" si="6"/>
        <v>25640</v>
      </c>
      <c r="P47" s="28">
        <f t="shared" si="7"/>
        <v>74360</v>
      </c>
      <c r="Q47" s="28">
        <f t="shared" si="0"/>
        <v>-100042.36323005358</v>
      </c>
      <c r="R47" s="28">
        <f t="shared" si="1"/>
        <v>-12005.08358760643</v>
      </c>
      <c r="S47" s="28">
        <f t="shared" si="8"/>
        <v>11962.720357552844</v>
      </c>
      <c r="T47" s="38">
        <f t="shared" si="9"/>
        <v>1223.3007785662107</v>
      </c>
    </row>
    <row r="48" spans="2:20" ht="25" customHeight="1" x14ac:dyDescent="0.2">
      <c r="B48" s="41"/>
      <c r="C48" s="51">
        <v>33</v>
      </c>
      <c r="D48" s="28">
        <f t="shared" si="12"/>
        <v>-11.745962477254579</v>
      </c>
      <c r="E48" s="28">
        <f t="shared" si="12"/>
        <v>-45</v>
      </c>
      <c r="F48" s="28">
        <f t="shared" si="12"/>
        <v>-2.6032300535865773</v>
      </c>
      <c r="G48" s="28">
        <v>4</v>
      </c>
      <c r="H48" s="28">
        <f t="shared" si="11"/>
        <v>1.2800000000000005</v>
      </c>
      <c r="I48" s="28">
        <f t="shared" si="2"/>
        <v>5.28</v>
      </c>
      <c r="J48" s="28">
        <f t="shared" si="3"/>
        <v>-54.069192530841157</v>
      </c>
      <c r="K48" s="28">
        <f t="shared" si="4"/>
        <v>-54.069192530841157</v>
      </c>
      <c r="L48" s="28">
        <f t="shared" si="5"/>
        <v>-47.603230053586579</v>
      </c>
      <c r="M48" s="28"/>
      <c r="N48" s="28">
        <v>0.25640000000000002</v>
      </c>
      <c r="O48" s="28">
        <f t="shared" si="6"/>
        <v>25640</v>
      </c>
      <c r="P48" s="28">
        <f t="shared" si="7"/>
        <v>74360</v>
      </c>
      <c r="Q48" s="28">
        <f t="shared" si="0"/>
        <v>-100042.32323005359</v>
      </c>
      <c r="R48" s="28">
        <f t="shared" si="1"/>
        <v>-12005.07878760643</v>
      </c>
      <c r="S48" s="28">
        <f t="shared" si="8"/>
        <v>11962.755557552842</v>
      </c>
      <c r="T48" s="38">
        <f t="shared" si="9"/>
        <v>1223.3043780975979</v>
      </c>
    </row>
    <row r="49" spans="2:20" ht="25" customHeight="1" x14ac:dyDescent="0.2">
      <c r="B49" s="41"/>
      <c r="C49" s="51">
        <v>34</v>
      </c>
      <c r="D49" s="28">
        <f t="shared" si="12"/>
        <v>-11.745962477254579</v>
      </c>
      <c r="E49" s="28">
        <f t="shared" si="12"/>
        <v>-45</v>
      </c>
      <c r="F49" s="28">
        <f t="shared" si="12"/>
        <v>-2.6032300535865773</v>
      </c>
      <c r="G49" s="28">
        <v>4</v>
      </c>
      <c r="H49" s="28">
        <f t="shared" si="11"/>
        <v>1.3200000000000005</v>
      </c>
      <c r="I49" s="28">
        <f t="shared" si="2"/>
        <v>5.32</v>
      </c>
      <c r="J49" s="28">
        <f t="shared" si="3"/>
        <v>-54.029192530841158</v>
      </c>
      <c r="K49" s="28">
        <f t="shared" si="4"/>
        <v>-54.029192530841158</v>
      </c>
      <c r="L49" s="28">
        <f t="shared" si="5"/>
        <v>-47.603230053586579</v>
      </c>
      <c r="M49" s="28"/>
      <c r="N49" s="28">
        <v>0.25640000000000002</v>
      </c>
      <c r="O49" s="28">
        <f t="shared" si="6"/>
        <v>25640</v>
      </c>
      <c r="P49" s="28">
        <f t="shared" si="7"/>
        <v>74360</v>
      </c>
      <c r="Q49" s="28">
        <f t="shared" si="0"/>
        <v>-100042.28323005358</v>
      </c>
      <c r="R49" s="28">
        <f t="shared" si="1"/>
        <v>-12005.073987606429</v>
      </c>
      <c r="S49" s="28">
        <f t="shared" si="8"/>
        <v>11962.790757552842</v>
      </c>
      <c r="T49" s="38">
        <f t="shared" si="9"/>
        <v>1223.3079776289853</v>
      </c>
    </row>
    <row r="50" spans="2:20" ht="25" customHeight="1" x14ac:dyDescent="0.2">
      <c r="B50" s="41"/>
      <c r="C50" s="51">
        <v>35</v>
      </c>
      <c r="D50" s="28">
        <f t="shared" si="12"/>
        <v>-11.745962477254579</v>
      </c>
      <c r="E50" s="28">
        <f t="shared" si="12"/>
        <v>-45</v>
      </c>
      <c r="F50" s="28">
        <f t="shared" si="12"/>
        <v>-2.6032300535865773</v>
      </c>
      <c r="G50" s="28">
        <v>4</v>
      </c>
      <c r="H50" s="28">
        <f t="shared" si="11"/>
        <v>1.3600000000000005</v>
      </c>
      <c r="I50" s="28">
        <f t="shared" si="2"/>
        <v>5.36</v>
      </c>
      <c r="J50" s="28">
        <f t="shared" si="3"/>
        <v>-53.989192530841159</v>
      </c>
      <c r="K50" s="28">
        <f t="shared" si="4"/>
        <v>-53.989192530841159</v>
      </c>
      <c r="L50" s="28">
        <f t="shared" si="5"/>
        <v>-47.603230053586579</v>
      </c>
      <c r="M50" s="28"/>
      <c r="N50" s="28">
        <v>0.25640000000000002</v>
      </c>
      <c r="O50" s="28">
        <f t="shared" si="6"/>
        <v>25640</v>
      </c>
      <c r="P50" s="28">
        <f t="shared" si="7"/>
        <v>74360</v>
      </c>
      <c r="Q50" s="28">
        <f t="shared" si="0"/>
        <v>-100042.24323005359</v>
      </c>
      <c r="R50" s="28">
        <f t="shared" si="1"/>
        <v>-12005.06918760643</v>
      </c>
      <c r="S50" s="28">
        <f t="shared" si="8"/>
        <v>11962.825957552843</v>
      </c>
      <c r="T50" s="38">
        <f t="shared" si="9"/>
        <v>1223.3115771603727</v>
      </c>
    </row>
    <row r="51" spans="2:20" ht="25" customHeight="1" x14ac:dyDescent="0.2">
      <c r="B51" s="41"/>
      <c r="C51" s="51">
        <v>36</v>
      </c>
      <c r="D51" s="28">
        <f t="shared" si="12"/>
        <v>-11.745962477254579</v>
      </c>
      <c r="E51" s="28">
        <f t="shared" si="12"/>
        <v>-45</v>
      </c>
      <c r="F51" s="28">
        <f t="shared" si="12"/>
        <v>-2.6032300535865773</v>
      </c>
      <c r="G51" s="28">
        <f>150*0.32</f>
        <v>48</v>
      </c>
      <c r="H51" s="28">
        <f t="shared" si="11"/>
        <v>1.4000000000000006</v>
      </c>
      <c r="I51" s="28">
        <f t="shared" si="2"/>
        <v>49.4</v>
      </c>
      <c r="J51" s="28">
        <f t="shared" si="3"/>
        <v>-9.9491925308411595</v>
      </c>
      <c r="K51" s="28">
        <f t="shared" si="4"/>
        <v>-9.9491925308411595</v>
      </c>
      <c r="L51" s="28">
        <f t="shared" si="5"/>
        <v>-47.603230053586579</v>
      </c>
      <c r="M51" s="28"/>
      <c r="N51" s="28">
        <v>0.25640000000000002</v>
      </c>
      <c r="O51" s="28">
        <f t="shared" si="6"/>
        <v>25640</v>
      </c>
      <c r="P51" s="28">
        <f t="shared" si="7"/>
        <v>74360</v>
      </c>
      <c r="Q51" s="28">
        <f t="shared" si="0"/>
        <v>-99998.203230053579</v>
      </c>
      <c r="R51" s="28">
        <f t="shared" si="1"/>
        <v>-11999.784387606429</v>
      </c>
      <c r="S51" s="28">
        <f t="shared" si="8"/>
        <v>12001.581157552842</v>
      </c>
      <c r="T51" s="38">
        <f t="shared" si="9"/>
        <v>1227.2746612178844</v>
      </c>
    </row>
    <row r="52" spans="2:20" ht="25" customHeight="1" x14ac:dyDescent="0.2">
      <c r="B52" s="41"/>
      <c r="C52" s="51">
        <v>37</v>
      </c>
      <c r="D52" s="28">
        <f t="shared" si="12"/>
        <v>-11.745962477254579</v>
      </c>
      <c r="E52" s="28">
        <f t="shared" si="12"/>
        <v>-45</v>
      </c>
      <c r="F52" s="28">
        <f t="shared" si="12"/>
        <v>-2.6032300535865773</v>
      </c>
      <c r="G52" s="28">
        <v>4</v>
      </c>
      <c r="H52" s="28">
        <f t="shared" si="11"/>
        <v>1.4400000000000006</v>
      </c>
      <c r="I52" s="28">
        <f t="shared" si="2"/>
        <v>5.44</v>
      </c>
      <c r="J52" s="28">
        <f t="shared" si="3"/>
        <v>-53.90919253084116</v>
      </c>
      <c r="K52" s="28">
        <f t="shared" si="4"/>
        <v>-53.90919253084116</v>
      </c>
      <c r="L52" s="28">
        <f t="shared" si="5"/>
        <v>-47.603230053586579</v>
      </c>
      <c r="M52" s="28"/>
      <c r="N52" s="28">
        <v>0.25640000000000002</v>
      </c>
      <c r="O52" s="28">
        <f t="shared" si="6"/>
        <v>25640</v>
      </c>
      <c r="P52" s="28">
        <f t="shared" si="7"/>
        <v>74360</v>
      </c>
      <c r="Q52" s="28">
        <f t="shared" si="0"/>
        <v>-100042.16323005359</v>
      </c>
      <c r="R52" s="28">
        <f t="shared" si="1"/>
        <v>-12005.059587606429</v>
      </c>
      <c r="S52" s="28">
        <f t="shared" si="8"/>
        <v>11962.896357552843</v>
      </c>
      <c r="T52" s="38">
        <f t="shared" si="9"/>
        <v>1223.3187762231476</v>
      </c>
    </row>
    <row r="53" spans="2:20" ht="25" customHeight="1" x14ac:dyDescent="0.2">
      <c r="B53" s="41"/>
      <c r="C53" s="51">
        <v>38</v>
      </c>
      <c r="D53" s="28">
        <f t="shared" si="12"/>
        <v>-11.745962477254579</v>
      </c>
      <c r="E53" s="28">
        <f t="shared" si="12"/>
        <v>-45</v>
      </c>
      <c r="F53" s="28">
        <f t="shared" si="12"/>
        <v>-2.6032300535865773</v>
      </c>
      <c r="G53" s="28">
        <v>4</v>
      </c>
      <c r="H53" s="28">
        <f t="shared" si="11"/>
        <v>1.4800000000000006</v>
      </c>
      <c r="I53" s="28">
        <f t="shared" si="2"/>
        <v>5.48</v>
      </c>
      <c r="J53" s="28">
        <f t="shared" si="3"/>
        <v>-53.869192530841161</v>
      </c>
      <c r="K53" s="28">
        <f t="shared" si="4"/>
        <v>-53.869192530841161</v>
      </c>
      <c r="L53" s="28">
        <f t="shared" si="5"/>
        <v>-47.603230053586579</v>
      </c>
      <c r="M53" s="28"/>
      <c r="N53" s="28">
        <v>0.25640000000000002</v>
      </c>
      <c r="O53" s="28">
        <f t="shared" si="6"/>
        <v>25640</v>
      </c>
      <c r="P53" s="28">
        <f t="shared" si="7"/>
        <v>74360</v>
      </c>
      <c r="Q53" s="28">
        <f t="shared" si="0"/>
        <v>-100042.12323005359</v>
      </c>
      <c r="R53" s="28">
        <f t="shared" si="1"/>
        <v>-12005.05478760643</v>
      </c>
      <c r="S53" s="28">
        <f t="shared" si="8"/>
        <v>11962.931557552844</v>
      </c>
      <c r="T53" s="38">
        <f t="shared" si="9"/>
        <v>1223.322375754535</v>
      </c>
    </row>
    <row r="54" spans="2:20" ht="25" customHeight="1" thickBot="1" x14ac:dyDescent="0.25">
      <c r="B54" s="41"/>
      <c r="C54" s="52">
        <v>39</v>
      </c>
      <c r="D54" s="39">
        <f t="shared" si="12"/>
        <v>-11.745962477254579</v>
      </c>
      <c r="E54" s="39">
        <f t="shared" si="12"/>
        <v>-45</v>
      </c>
      <c r="F54" s="39">
        <f t="shared" si="12"/>
        <v>-2.6032300535865773</v>
      </c>
      <c r="G54" s="39">
        <v>4</v>
      </c>
      <c r="H54" s="39">
        <f t="shared" si="11"/>
        <v>1.5200000000000007</v>
      </c>
      <c r="I54" s="39">
        <f t="shared" si="2"/>
        <v>5.5200000000000005</v>
      </c>
      <c r="J54" s="39">
        <f t="shared" si="3"/>
        <v>-53.829192530841155</v>
      </c>
      <c r="K54" s="39">
        <f t="shared" si="4"/>
        <v>-53.829192530841155</v>
      </c>
      <c r="L54" s="28">
        <f t="shared" si="5"/>
        <v>-47.603230053586579</v>
      </c>
      <c r="M54" s="39"/>
      <c r="N54" s="39">
        <v>0.25640000000000002</v>
      </c>
      <c r="O54" s="28">
        <f t="shared" si="6"/>
        <v>25640</v>
      </c>
      <c r="P54" s="28">
        <f t="shared" si="7"/>
        <v>74360</v>
      </c>
      <c r="Q54" s="28">
        <f t="shared" si="0"/>
        <v>-100042.08323005358</v>
      </c>
      <c r="R54" s="28">
        <f t="shared" si="1"/>
        <v>-12005.04998760643</v>
      </c>
      <c r="S54" s="39">
        <f t="shared" si="8"/>
        <v>11962.966757552844</v>
      </c>
      <c r="T54" s="40">
        <f t="shared" si="9"/>
        <v>1223.3259752859224</v>
      </c>
    </row>
  </sheetData>
  <mergeCells count="1">
    <mergeCell ref="G13: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BAAF-3ADA-354A-9F28-4624ED9B9DD0}">
  <sheetPr>
    <tabColor theme="7"/>
  </sheetPr>
  <dimension ref="A1:Y63"/>
  <sheetViews>
    <sheetView zoomScale="150" workbookViewId="0">
      <pane xSplit="2" ySplit="2" topLeftCell="C28" activePane="bottomRight" state="frozen"/>
      <selection pane="topRight" activeCell="C1" sqref="C1"/>
      <selection pane="bottomLeft" activeCell="A3" sqref="A3"/>
      <selection pane="bottomRight" activeCell="F60" sqref="F60"/>
    </sheetView>
  </sheetViews>
  <sheetFormatPr baseColWidth="10" defaultColWidth="15.83203125" defaultRowHeight="25" customHeight="1" x14ac:dyDescent="0.2"/>
  <cols>
    <col min="1" max="1" width="6" style="56" customWidth="1"/>
    <col min="2" max="2" width="15.83203125" style="56"/>
    <col min="3" max="3" width="17.1640625" style="56" bestFit="1" customWidth="1"/>
    <col min="4" max="5" width="15.83203125" style="56" hidden="1" customWidth="1"/>
    <col min="6" max="6" width="19.1640625" style="56" bestFit="1" customWidth="1"/>
    <col min="7" max="18" width="15.83203125" style="56"/>
    <col min="19" max="20" width="24.6640625" style="56" customWidth="1"/>
    <col min="21" max="21" width="20.33203125" style="56" customWidth="1"/>
    <col min="22" max="22" width="18.5" style="56" bestFit="1" customWidth="1"/>
    <col min="23" max="16384" width="15.83203125" style="56"/>
  </cols>
  <sheetData>
    <row r="1" spans="2:25" ht="25" customHeight="1" x14ac:dyDescent="0.2">
      <c r="B1" s="119" t="s">
        <v>95</v>
      </c>
      <c r="F1" s="114"/>
      <c r="G1" s="115"/>
      <c r="H1" s="115"/>
      <c r="I1" s="118">
        <v>0.15</v>
      </c>
      <c r="J1" s="115"/>
      <c r="K1" s="115"/>
      <c r="L1" s="115"/>
      <c r="M1" s="115"/>
      <c r="N1" s="115"/>
      <c r="O1" s="115" t="s">
        <v>101</v>
      </c>
      <c r="P1" s="115" t="s">
        <v>103</v>
      </c>
      <c r="Q1" s="115" t="s">
        <v>104</v>
      </c>
      <c r="R1" s="116">
        <v>0.25</v>
      </c>
      <c r="S1" s="115" t="s">
        <v>107</v>
      </c>
      <c r="T1" s="123"/>
      <c r="U1" s="123"/>
      <c r="V1" s="124" t="s">
        <v>106</v>
      </c>
      <c r="W1" s="123"/>
      <c r="X1" s="123"/>
    </row>
    <row r="2" spans="2:25" ht="34" x14ac:dyDescent="0.2">
      <c r="B2" s="120" t="s">
        <v>79</v>
      </c>
      <c r="C2" s="120" t="s">
        <v>7</v>
      </c>
      <c r="D2" s="121"/>
      <c r="E2" s="120"/>
      <c r="F2" s="120" t="s">
        <v>24</v>
      </c>
      <c r="G2" s="120" t="s">
        <v>11</v>
      </c>
      <c r="H2" s="120" t="s">
        <v>25</v>
      </c>
      <c r="I2" s="120" t="s">
        <v>98</v>
      </c>
      <c r="J2" s="120" t="s">
        <v>28</v>
      </c>
      <c r="K2" s="120" t="s">
        <v>29</v>
      </c>
      <c r="L2" s="122" t="s">
        <v>99</v>
      </c>
      <c r="M2" s="120" t="s">
        <v>65</v>
      </c>
      <c r="N2" s="120" t="s">
        <v>66</v>
      </c>
      <c r="O2" s="120" t="s">
        <v>102</v>
      </c>
      <c r="P2" s="120" t="s">
        <v>100</v>
      </c>
      <c r="Q2" s="120" t="s">
        <v>69</v>
      </c>
      <c r="R2" s="120" t="s">
        <v>70</v>
      </c>
      <c r="S2" s="120" t="s">
        <v>60</v>
      </c>
      <c r="T2" s="93" t="s">
        <v>108</v>
      </c>
      <c r="U2" s="93" t="s">
        <v>105</v>
      </c>
      <c r="V2" s="55" t="s">
        <v>105</v>
      </c>
      <c r="Y2" s="56" t="s">
        <v>111</v>
      </c>
    </row>
    <row r="3" spans="2:25" ht="25" customHeight="1" x14ac:dyDescent="0.2">
      <c r="B3" s="59">
        <v>0</v>
      </c>
      <c r="C3" s="94">
        <f>-F54</f>
        <v>-100.32100000000001</v>
      </c>
      <c r="D3" s="59"/>
      <c r="E3" s="59"/>
      <c r="F3" s="94">
        <f>PV($F$61,40,$F$48)</f>
        <v>-618.28325113606593</v>
      </c>
      <c r="G3" s="59"/>
      <c r="H3" s="59"/>
      <c r="I3" s="59"/>
      <c r="J3" s="94">
        <f>NPV($F$61,J4:J42)</f>
        <v>7737.0247496680959</v>
      </c>
      <c r="K3" s="94">
        <f>C3+F3+G3+J3</f>
        <v>7018.4204985320303</v>
      </c>
      <c r="L3" s="94">
        <f>F3+G3</f>
        <v>-618.28325113606593</v>
      </c>
      <c r="M3" s="59"/>
      <c r="N3" s="111"/>
      <c r="O3" s="96"/>
      <c r="P3" s="96"/>
      <c r="Q3" s="94">
        <f>K3+L3-O3</f>
        <v>6400.1372473959646</v>
      </c>
      <c r="R3" s="94">
        <f>Q3*$F$62</f>
        <v>1600.0343118489911</v>
      </c>
      <c r="S3" s="110">
        <f>-(F54+F53+F55+F57)</f>
        <v>-251.50360000000001</v>
      </c>
      <c r="T3" s="110">
        <f>-PV($F$60,B3,,S3)</f>
        <v>-251.50360000000001</v>
      </c>
      <c r="U3" s="94" t="e">
        <f>-PMT($F$60,B3,T3)</f>
        <v>#NUM!</v>
      </c>
      <c r="V3" s="55" t="s">
        <v>109</v>
      </c>
      <c r="W3" s="56" t="s">
        <v>110</v>
      </c>
    </row>
    <row r="4" spans="2:25" ht="25" customHeight="1" x14ac:dyDescent="0.2">
      <c r="B4" s="59">
        <v>1</v>
      </c>
      <c r="C4" s="94">
        <f>PMT($F$61,40,$F$54)</f>
        <v>-12.169301022104145</v>
      </c>
      <c r="D4" s="59"/>
      <c r="E4" s="59"/>
      <c r="F4" s="94">
        <f>-$F$55</f>
        <v>-60.192600000000006</v>
      </c>
      <c r="G4" s="94">
        <f>-$F$57</f>
        <v>-13.82</v>
      </c>
      <c r="H4" s="97">
        <f>$F$58</f>
        <v>100</v>
      </c>
      <c r="I4" s="98">
        <f>H4*1.15</f>
        <v>114.99999999999999</v>
      </c>
      <c r="J4" s="61">
        <f>H4+I4</f>
        <v>215</v>
      </c>
      <c r="K4" s="94">
        <f>C4+F4+G4+J4</f>
        <v>128.81809897789586</v>
      </c>
      <c r="L4" s="94">
        <f t="shared" ref="L4:L42" si="0">F4+G4</f>
        <v>-74.012600000000006</v>
      </c>
      <c r="M4" s="59"/>
      <c r="N4" s="95">
        <v>1.391E-2</v>
      </c>
      <c r="O4" s="109">
        <f>N4*$F$54</f>
        <v>1.3954651100000002</v>
      </c>
      <c r="P4" s="96">
        <f>$F$54-O4</f>
        <v>98.925534890000009</v>
      </c>
      <c r="Q4" s="94">
        <f>K4+L4-O4</f>
        <v>53.410033867895848</v>
      </c>
      <c r="R4" s="94">
        <f>Q4*$F$62</f>
        <v>13.352508466973962</v>
      </c>
      <c r="S4" s="110">
        <f>K4+L4-M4-O4-R4</f>
        <v>40.05752540092189</v>
      </c>
      <c r="T4" s="110">
        <f>-PV($F$60,B4,,S4)</f>
        <v>29.027192319508618</v>
      </c>
      <c r="U4" s="94">
        <f>-PMT($F$60,B4,T4)</f>
        <v>40.057525400921897</v>
      </c>
      <c r="V4" s="69">
        <f>NPV($F$60,S4)</f>
        <v>29.027192319508618</v>
      </c>
      <c r="W4" s="112">
        <f>-PMT($F$60,B4,T4)</f>
        <v>40.057525400921897</v>
      </c>
      <c r="X4" s="69">
        <f>-PMT($F$60,40,$T$45)</f>
        <v>4.6620189524321312</v>
      </c>
    </row>
    <row r="5" spans="2:25" ht="25" customHeight="1" x14ac:dyDescent="0.2">
      <c r="B5" s="59">
        <v>2</v>
      </c>
      <c r="C5" s="94">
        <f>PMT($F$61,40,$F$54)</f>
        <v>-12.169301022104145</v>
      </c>
      <c r="D5" s="59"/>
      <c r="E5" s="59"/>
      <c r="F5" s="94">
        <f t="shared" ref="F5:F41" si="1">-$F$55</f>
        <v>-60.192600000000006</v>
      </c>
      <c r="G5" s="94">
        <f t="shared" ref="G5:G43" si="2">-$F$57</f>
        <v>-13.82</v>
      </c>
      <c r="H5" s="97">
        <f t="shared" ref="H5:H43" si="3">$F$58</f>
        <v>100</v>
      </c>
      <c r="I5" s="98">
        <f>I4*1.15</f>
        <v>132.24999999999997</v>
      </c>
      <c r="J5" s="61">
        <f t="shared" ref="J5:J42" si="4">H5+I5</f>
        <v>232.24999999999997</v>
      </c>
      <c r="K5" s="94">
        <f t="shared" ref="K5:K42" si="5">C5+F5+G5+J5</f>
        <v>146.06809897789583</v>
      </c>
      <c r="L5" s="94">
        <f t="shared" si="0"/>
        <v>-74.012600000000006</v>
      </c>
      <c r="M5" s="59"/>
      <c r="N5" s="95">
        <v>2.564E-2</v>
      </c>
      <c r="O5" s="109">
        <f>N5*$F$54</f>
        <v>2.5722304400000002</v>
      </c>
      <c r="P5" s="96">
        <f>P4-O5</f>
        <v>96.35330445000001</v>
      </c>
      <c r="Q5" s="94">
        <f>K5+L5-O5</f>
        <v>69.483268537895825</v>
      </c>
      <c r="R5" s="59">
        <f t="shared" ref="R5:R43" si="6">Q5*$F$62</f>
        <v>17.370817134473956</v>
      </c>
      <c r="S5" s="110">
        <f>K5+L5-M5-O5-R5</f>
        <v>52.112451403421872</v>
      </c>
      <c r="T5" s="110">
        <f>-PV($F$60,B5,,S5)</f>
        <v>27.364236191672905</v>
      </c>
      <c r="U5" s="94">
        <f t="shared" ref="U4:U43" si="7">-PMT($F$60,B5,T5)</f>
        <v>21.895987984631049</v>
      </c>
      <c r="V5" s="69">
        <f>NPV($F$60,S5)</f>
        <v>37.762645944508606</v>
      </c>
      <c r="W5" s="112">
        <f>-PMT($F$60,B5,T5)</f>
        <v>21.895987984631049</v>
      </c>
      <c r="X5" s="69">
        <f t="shared" ref="X5:X12" si="8">-PMT($F$60,40,$T$45)</f>
        <v>4.6620189524321312</v>
      </c>
    </row>
    <row r="6" spans="2:25" ht="25" customHeight="1" x14ac:dyDescent="0.2">
      <c r="B6" s="59">
        <v>3</v>
      </c>
      <c r="C6" s="94">
        <f>PMT($F$61,40,$F$54)</f>
        <v>-12.169301022104145</v>
      </c>
      <c r="D6" s="59"/>
      <c r="E6" s="59"/>
      <c r="F6" s="94">
        <f t="shared" si="1"/>
        <v>-60.192600000000006</v>
      </c>
      <c r="G6" s="94">
        <f t="shared" si="2"/>
        <v>-13.82</v>
      </c>
      <c r="H6" s="97">
        <f t="shared" si="3"/>
        <v>100</v>
      </c>
      <c r="I6" s="98">
        <f t="shared" ref="I6:I42" si="9">I5*1.15</f>
        <v>152.08749999999995</v>
      </c>
      <c r="J6" s="61">
        <f t="shared" si="4"/>
        <v>252.08749999999995</v>
      </c>
      <c r="K6" s="94">
        <f t="shared" si="5"/>
        <v>165.90559897789581</v>
      </c>
      <c r="L6" s="94">
        <f t="shared" si="0"/>
        <v>-74.012600000000006</v>
      </c>
      <c r="M6" s="59"/>
      <c r="N6" s="95">
        <v>2.564E-2</v>
      </c>
      <c r="O6" s="109">
        <f>N6*$F$54</f>
        <v>2.5722304400000002</v>
      </c>
      <c r="P6" s="96">
        <f>P5-O6</f>
        <v>93.781074010000012</v>
      </c>
      <c r="Q6" s="94">
        <f>K6+L6-O6</f>
        <v>89.320768537895802</v>
      </c>
      <c r="R6" s="59">
        <f t="shared" si="6"/>
        <v>22.33019213447395</v>
      </c>
      <c r="S6" s="110">
        <f>K6+L6-M6-O6-R6</f>
        <v>66.990576403421855</v>
      </c>
      <c r="T6" s="110">
        <f>-PV($F$60,B6,,S6)</f>
        <v>25.490388544690507</v>
      </c>
      <c r="U6" s="94">
        <f t="shared" si="7"/>
        <v>15.635929512515613</v>
      </c>
      <c r="V6" s="69">
        <f t="shared" ref="V6:V44" si="10">NPV($F$60,S6)</f>
        <v>48.543895944508591</v>
      </c>
      <c r="W6" s="112">
        <f>-PMT($F$60,B6,T6)</f>
        <v>15.635929512515613</v>
      </c>
      <c r="X6" s="69">
        <f t="shared" si="8"/>
        <v>4.6620189524321312</v>
      </c>
    </row>
    <row r="7" spans="2:25" ht="25" customHeight="1" x14ac:dyDescent="0.2">
      <c r="B7" s="59">
        <v>4</v>
      </c>
      <c r="C7" s="94">
        <f>PMT($F$61,40,$F$54)</f>
        <v>-12.169301022104145</v>
      </c>
      <c r="D7" s="59"/>
      <c r="E7" s="59"/>
      <c r="F7" s="94">
        <f t="shared" si="1"/>
        <v>-60.192600000000006</v>
      </c>
      <c r="G7" s="94">
        <f t="shared" si="2"/>
        <v>-13.82</v>
      </c>
      <c r="H7" s="97">
        <f t="shared" si="3"/>
        <v>100</v>
      </c>
      <c r="I7" s="98">
        <f t="shared" si="9"/>
        <v>174.90062499999993</v>
      </c>
      <c r="J7" s="61">
        <f t="shared" si="4"/>
        <v>274.90062499999993</v>
      </c>
      <c r="K7" s="94">
        <f t="shared" si="5"/>
        <v>188.71872397789579</v>
      </c>
      <c r="L7" s="94">
        <f t="shared" si="0"/>
        <v>-74.012600000000006</v>
      </c>
      <c r="M7" s="59"/>
      <c r="N7" s="95">
        <v>2.564E-2</v>
      </c>
      <c r="O7" s="109">
        <f>N7*$F$54</f>
        <v>2.5722304400000002</v>
      </c>
      <c r="P7" s="96">
        <f>P6-O7</f>
        <v>91.208843570000013</v>
      </c>
      <c r="Q7" s="94">
        <f>K7+L7-O7</f>
        <v>112.13389353789579</v>
      </c>
      <c r="R7" s="59">
        <f t="shared" si="6"/>
        <v>28.033473384473947</v>
      </c>
      <c r="S7" s="110">
        <f>K7+L7-M7-O7-R7</f>
        <v>84.100420153421837</v>
      </c>
      <c r="T7" s="110">
        <f>-PV($F$60,B7,,S7)</f>
        <v>23.188989283592154</v>
      </c>
      <c r="U7" s="94">
        <f t="shared" si="7"/>
        <v>12.166475343903294</v>
      </c>
      <c r="V7" s="69">
        <f t="shared" si="10"/>
        <v>60.942333444508584</v>
      </c>
      <c r="W7" s="112">
        <f>-PMT($F$60,B7,T7)</f>
        <v>12.166475343903294</v>
      </c>
      <c r="X7" s="69">
        <f t="shared" si="8"/>
        <v>4.6620189524321312</v>
      </c>
    </row>
    <row r="8" spans="2:25" ht="25" customHeight="1" x14ac:dyDescent="0.2">
      <c r="B8" s="59">
        <v>5</v>
      </c>
      <c r="C8" s="94">
        <f>PMT($F$61,40,$F$54)</f>
        <v>-12.169301022104145</v>
      </c>
      <c r="D8" s="59"/>
      <c r="E8" s="59"/>
      <c r="F8" s="94">
        <f t="shared" si="1"/>
        <v>-60.192600000000006</v>
      </c>
      <c r="G8" s="94">
        <f t="shared" si="2"/>
        <v>-13.82</v>
      </c>
      <c r="H8" s="97">
        <f t="shared" si="3"/>
        <v>100</v>
      </c>
      <c r="I8" s="98">
        <f t="shared" si="9"/>
        <v>201.13571874999991</v>
      </c>
      <c r="J8" s="61">
        <f t="shared" si="4"/>
        <v>301.13571874999991</v>
      </c>
      <c r="K8" s="94">
        <f t="shared" si="5"/>
        <v>214.95381772789577</v>
      </c>
      <c r="L8" s="94">
        <f t="shared" si="0"/>
        <v>-74.012600000000006</v>
      </c>
      <c r="M8" s="59"/>
      <c r="N8" s="95">
        <v>2.564E-2</v>
      </c>
      <c r="O8" s="109">
        <f>N8*$F$54</f>
        <v>2.5722304400000002</v>
      </c>
      <c r="P8" s="96">
        <f>P7-O8</f>
        <v>88.636613130000015</v>
      </c>
      <c r="Q8" s="94">
        <f>K8+L8-O8</f>
        <v>138.36898728789578</v>
      </c>
      <c r="R8" s="59">
        <f t="shared" si="6"/>
        <v>34.592246821973944</v>
      </c>
      <c r="S8" s="110">
        <f>K8+L8-M8-O8-R8</f>
        <v>103.77674046592183</v>
      </c>
      <c r="T8" s="110">
        <f>-PV($F$60,B8,,S8)</f>
        <v>20.735026453488679</v>
      </c>
      <c r="U8" s="94">
        <f t="shared" si="7"/>
        <v>9.8467273234305726</v>
      </c>
      <c r="V8" s="69">
        <f t="shared" si="10"/>
        <v>75.200536569508586</v>
      </c>
      <c r="W8" s="112">
        <f>-PMT($F$60,B8,T8)</f>
        <v>9.8467273234305726</v>
      </c>
      <c r="X8" s="69">
        <f t="shared" si="8"/>
        <v>4.6620189524321312</v>
      </c>
    </row>
    <row r="9" spans="2:25" ht="25" customHeight="1" x14ac:dyDescent="0.2">
      <c r="B9" s="59">
        <v>6</v>
      </c>
      <c r="C9" s="94">
        <f>PMT($F$61,40,$F$54)</f>
        <v>-12.169301022104145</v>
      </c>
      <c r="D9" s="59"/>
      <c r="E9" s="59"/>
      <c r="F9" s="94">
        <f t="shared" si="1"/>
        <v>-60.192600000000006</v>
      </c>
      <c r="G9" s="94">
        <f t="shared" si="2"/>
        <v>-13.82</v>
      </c>
      <c r="H9" s="97">
        <f t="shared" si="3"/>
        <v>100</v>
      </c>
      <c r="I9" s="98">
        <f t="shared" si="9"/>
        <v>231.30607656249987</v>
      </c>
      <c r="J9" s="61">
        <f t="shared" si="4"/>
        <v>331.30607656249987</v>
      </c>
      <c r="K9" s="94">
        <f t="shared" si="5"/>
        <v>245.12417554039573</v>
      </c>
      <c r="L9" s="94">
        <f t="shared" si="0"/>
        <v>-74.012600000000006</v>
      </c>
      <c r="M9" s="59"/>
      <c r="N9" s="95">
        <v>2.564E-2</v>
      </c>
      <c r="O9" s="109">
        <f>N9*$F$54</f>
        <v>2.5722304400000002</v>
      </c>
      <c r="P9" s="96">
        <f>P8-O9</f>
        <v>86.064382690000016</v>
      </c>
      <c r="Q9" s="94">
        <f>K9+L9-O9</f>
        <v>168.53934510039574</v>
      </c>
      <c r="R9" s="59">
        <f t="shared" si="6"/>
        <v>42.134836275098934</v>
      </c>
      <c r="S9" s="110">
        <f>K9+L9-M9-O9-R9</f>
        <v>126.4045088252968</v>
      </c>
      <c r="T9" s="110">
        <f>-PV($F$60,B9,,S9)</f>
        <v>18.30155734686512</v>
      </c>
      <c r="U9" s="94">
        <f t="shared" si="7"/>
        <v>8.131986661801907</v>
      </c>
      <c r="V9" s="69">
        <f t="shared" si="10"/>
        <v>91.597470163258564</v>
      </c>
      <c r="W9" s="112">
        <f>-PMT($F$60,B9,T9)</f>
        <v>8.131986661801907</v>
      </c>
      <c r="X9" s="69">
        <f t="shared" si="8"/>
        <v>4.6620189524321312</v>
      </c>
    </row>
    <row r="10" spans="2:25" ht="25" customHeight="1" x14ac:dyDescent="0.2">
      <c r="B10" s="59">
        <v>7</v>
      </c>
      <c r="C10" s="94">
        <f>PMT($F$61,40,$F$54)</f>
        <v>-12.169301022104145</v>
      </c>
      <c r="D10" s="59"/>
      <c r="E10" s="59"/>
      <c r="F10" s="94">
        <f t="shared" si="1"/>
        <v>-60.192600000000006</v>
      </c>
      <c r="G10" s="94">
        <f t="shared" si="2"/>
        <v>-13.82</v>
      </c>
      <c r="H10" s="97">
        <f t="shared" si="3"/>
        <v>100</v>
      </c>
      <c r="I10" s="98">
        <f t="shared" si="9"/>
        <v>266.00198804687483</v>
      </c>
      <c r="J10" s="61">
        <f t="shared" si="4"/>
        <v>366.00198804687483</v>
      </c>
      <c r="K10" s="94">
        <f t="shared" si="5"/>
        <v>279.82008702477071</v>
      </c>
      <c r="L10" s="94">
        <f t="shared" si="0"/>
        <v>-74.012600000000006</v>
      </c>
      <c r="M10" s="59"/>
      <c r="N10" s="95">
        <v>2.564E-2</v>
      </c>
      <c r="O10" s="109">
        <f>N10*$F$54</f>
        <v>2.5722304400000002</v>
      </c>
      <c r="P10" s="96">
        <f>P9-O10</f>
        <v>83.492152250000018</v>
      </c>
      <c r="Q10" s="94">
        <f>K10+L10-O10</f>
        <v>203.2352565847707</v>
      </c>
      <c r="R10" s="59">
        <f t="shared" si="6"/>
        <v>50.808814146192674</v>
      </c>
      <c r="S10" s="110">
        <f>K10+L10-M10-O10-R10</f>
        <v>152.42644243857802</v>
      </c>
      <c r="T10" s="110">
        <f>-PV($F$60,B10,,S10)</f>
        <v>15.992144626463359</v>
      </c>
      <c r="U10" s="94">
        <f t="shared" si="7"/>
        <v>6.7893321954727845</v>
      </c>
      <c r="V10" s="69">
        <f t="shared" si="10"/>
        <v>110.45394379607104</v>
      </c>
      <c r="W10" s="112">
        <f>-PMT($F$60,B10,T10)</f>
        <v>6.7893321954727845</v>
      </c>
      <c r="X10" s="69">
        <f t="shared" si="8"/>
        <v>4.6620189524321312</v>
      </c>
    </row>
    <row r="11" spans="2:25" ht="25" customHeight="1" x14ac:dyDescent="0.2">
      <c r="B11" s="59">
        <v>8</v>
      </c>
      <c r="C11" s="94">
        <f>PMT($F$61,40,$F$54)</f>
        <v>-12.169301022104145</v>
      </c>
      <c r="D11" s="59"/>
      <c r="E11" s="59"/>
      <c r="F11" s="94">
        <f t="shared" si="1"/>
        <v>-60.192600000000006</v>
      </c>
      <c r="G11" s="94">
        <f t="shared" si="2"/>
        <v>-13.82</v>
      </c>
      <c r="H11" s="97">
        <f t="shared" si="3"/>
        <v>100</v>
      </c>
      <c r="I11" s="98">
        <f t="shared" si="9"/>
        <v>305.90228625390603</v>
      </c>
      <c r="J11" s="61">
        <f t="shared" si="4"/>
        <v>405.90228625390603</v>
      </c>
      <c r="K11" s="94">
        <f t="shared" si="5"/>
        <v>319.72038523180186</v>
      </c>
      <c r="L11" s="94">
        <f t="shared" si="0"/>
        <v>-74.012600000000006</v>
      </c>
      <c r="M11" s="59"/>
      <c r="N11" s="95">
        <v>2.564E-2</v>
      </c>
      <c r="O11" s="109">
        <f>N11*$F$54</f>
        <v>2.5722304400000002</v>
      </c>
      <c r="P11" s="96">
        <f>P10-O11</f>
        <v>80.919921810000019</v>
      </c>
      <c r="Q11" s="94">
        <f>K11+L11-O11</f>
        <v>243.13555479180184</v>
      </c>
      <c r="R11" s="59">
        <f t="shared" si="6"/>
        <v>60.783888697950459</v>
      </c>
      <c r="S11" s="110">
        <f>K11+L11-M11-O11-R11</f>
        <v>182.35166609385138</v>
      </c>
      <c r="T11" s="110">
        <f>-PV($F$60,B11,,S11)</f>
        <v>13.863632723073881</v>
      </c>
      <c r="U11" s="94">
        <f t="shared" si="7"/>
        <v>5.7016599953359393</v>
      </c>
      <c r="V11" s="69">
        <f t="shared" si="10"/>
        <v>132.13888847380537</v>
      </c>
      <c r="W11" s="112">
        <f>-PMT($F$60,B11,T11)</f>
        <v>5.7016599953359393</v>
      </c>
      <c r="X11" s="69">
        <f t="shared" si="8"/>
        <v>4.6620189524321312</v>
      </c>
    </row>
    <row r="12" spans="2:25" ht="25" customHeight="1" x14ac:dyDescent="0.2">
      <c r="B12" s="59">
        <v>9</v>
      </c>
      <c r="C12" s="94">
        <f>PMT($F$61,40,$F$54)</f>
        <v>-12.169301022104145</v>
      </c>
      <c r="D12" s="59"/>
      <c r="E12" s="59"/>
      <c r="F12" s="94">
        <f t="shared" si="1"/>
        <v>-60.192600000000006</v>
      </c>
      <c r="G12" s="94">
        <f t="shared" si="2"/>
        <v>-13.82</v>
      </c>
      <c r="H12" s="97">
        <f t="shared" si="3"/>
        <v>100</v>
      </c>
      <c r="I12" s="98">
        <f t="shared" si="9"/>
        <v>351.78762919199193</v>
      </c>
      <c r="J12" s="61">
        <f t="shared" si="4"/>
        <v>451.78762919199193</v>
      </c>
      <c r="K12" s="94">
        <f t="shared" si="5"/>
        <v>365.60572816988781</v>
      </c>
      <c r="L12" s="94">
        <f t="shared" si="0"/>
        <v>-74.012600000000006</v>
      </c>
      <c r="M12" s="59"/>
      <c r="N12" s="95">
        <v>2.564E-2</v>
      </c>
      <c r="O12" s="109">
        <f>N12*$F$54</f>
        <v>2.5722304400000002</v>
      </c>
      <c r="P12" s="96">
        <f>P11-O12</f>
        <v>78.347691370000021</v>
      </c>
      <c r="Q12" s="94">
        <f>K12+L12-O12</f>
        <v>289.02089772988779</v>
      </c>
      <c r="R12" s="59">
        <f t="shared" si="6"/>
        <v>72.255224432471948</v>
      </c>
      <c r="S12" s="110">
        <f>K12+L12-M12-O12-R12</f>
        <v>216.76567329741584</v>
      </c>
      <c r="T12" s="110">
        <f>-PV($F$60,B12,,S12)</f>
        <v>11.942045772383613</v>
      </c>
      <c r="U12" s="94">
        <f t="shared" si="7"/>
        <v>4.8025598267051119</v>
      </c>
      <c r="V12" s="69">
        <f t="shared" si="10"/>
        <v>157.0765748531999</v>
      </c>
      <c r="W12" s="112">
        <f>-PMT($F$60,B12,T12)</f>
        <v>4.8025598267051119</v>
      </c>
      <c r="X12" s="69">
        <f t="shared" si="8"/>
        <v>4.6620189524321312</v>
      </c>
    </row>
    <row r="13" spans="2:25" ht="25" customHeight="1" x14ac:dyDescent="0.2">
      <c r="B13" s="59">
        <v>10</v>
      </c>
      <c r="C13" s="94">
        <f>PMT($F$61,40,$F$54)</f>
        <v>-12.169301022104145</v>
      </c>
      <c r="D13" s="59"/>
      <c r="E13" s="59"/>
      <c r="F13" s="94">
        <f t="shared" si="1"/>
        <v>-60.192600000000006</v>
      </c>
      <c r="G13" s="94">
        <f t="shared" si="2"/>
        <v>-13.82</v>
      </c>
      <c r="H13" s="97">
        <f t="shared" si="3"/>
        <v>100</v>
      </c>
      <c r="I13" s="98">
        <f t="shared" si="9"/>
        <v>404.55577357079068</v>
      </c>
      <c r="J13" s="61">
        <f t="shared" si="4"/>
        <v>504.55577357079068</v>
      </c>
      <c r="K13" s="94">
        <f t="shared" si="5"/>
        <v>418.37387254868656</v>
      </c>
      <c r="L13" s="94">
        <f t="shared" si="0"/>
        <v>-74.012600000000006</v>
      </c>
      <c r="M13" s="59"/>
      <c r="N13" s="95">
        <v>2.564E-2</v>
      </c>
      <c r="O13" s="109">
        <f>N13*$F$54</f>
        <v>2.5722304400000002</v>
      </c>
      <c r="P13" s="96">
        <f>P12-O13</f>
        <v>75.775460930000023</v>
      </c>
      <c r="Q13" s="94">
        <f>K13+L13-O13</f>
        <v>341.78904210868654</v>
      </c>
      <c r="R13" s="59">
        <f t="shared" si="6"/>
        <v>85.447260527171636</v>
      </c>
      <c r="S13" s="110">
        <f>K13+L13-M13-O13-R13</f>
        <v>256.34178158151491</v>
      </c>
      <c r="T13" s="110">
        <f>-PV($F$60,B13,,S13)</f>
        <v>10.233602276374297</v>
      </c>
      <c r="U13" s="94">
        <f t="shared" si="7"/>
        <v>4.0504705769350391</v>
      </c>
      <c r="V13" s="69">
        <f t="shared" si="10"/>
        <v>185.75491418950358</v>
      </c>
      <c r="W13" s="112">
        <f>-PMT($F$60,B13,T13)</f>
        <v>4.0504705769350391</v>
      </c>
    </row>
    <row r="14" spans="2:25" ht="25" customHeight="1" x14ac:dyDescent="0.2">
      <c r="B14" s="59">
        <v>11</v>
      </c>
      <c r="C14" s="94">
        <f>PMT($F$61,40,$F$54)</f>
        <v>-12.169301022104145</v>
      </c>
      <c r="D14" s="59"/>
      <c r="E14" s="59"/>
      <c r="F14" s="94">
        <f t="shared" si="1"/>
        <v>-60.192600000000006</v>
      </c>
      <c r="G14" s="94">
        <f t="shared" si="2"/>
        <v>-13.82</v>
      </c>
      <c r="H14" s="97">
        <f t="shared" si="3"/>
        <v>100</v>
      </c>
      <c r="I14" s="98">
        <f t="shared" si="9"/>
        <v>465.23913960640925</v>
      </c>
      <c r="J14" s="61">
        <f t="shared" si="4"/>
        <v>565.23913960640925</v>
      </c>
      <c r="K14" s="94">
        <f t="shared" si="5"/>
        <v>479.05723858430508</v>
      </c>
      <c r="L14" s="94">
        <f t="shared" si="0"/>
        <v>-74.012600000000006</v>
      </c>
      <c r="M14" s="59"/>
      <c r="N14" s="95">
        <v>2.564E-2</v>
      </c>
      <c r="O14" s="109">
        <f>N14*$F$54</f>
        <v>2.5722304400000002</v>
      </c>
      <c r="P14" s="96">
        <f>P13-O14</f>
        <v>73.203230490000024</v>
      </c>
      <c r="Q14" s="94">
        <f>K14+L14-O14</f>
        <v>402.47240814430506</v>
      </c>
      <c r="R14" s="59">
        <f t="shared" si="6"/>
        <v>100.61810203607627</v>
      </c>
      <c r="S14" s="110">
        <f>K14+L14-M14-O14-R14</f>
        <v>301.8543061082288</v>
      </c>
      <c r="T14" s="110">
        <f>-PV($F$60,B14,,S14)</f>
        <v>8.732275423105115</v>
      </c>
      <c r="U14" s="94">
        <f t="shared" si="7"/>
        <v>3.4171176909563536</v>
      </c>
      <c r="V14" s="69">
        <f t="shared" si="10"/>
        <v>218.73500442625277</v>
      </c>
      <c r="W14" s="112">
        <f>-PMT($F$60,B14,T14)</f>
        <v>3.4171176909563536</v>
      </c>
    </row>
    <row r="15" spans="2:25" ht="25" customHeight="1" x14ac:dyDescent="0.2">
      <c r="B15" s="59">
        <v>12</v>
      </c>
      <c r="C15" s="94">
        <f>PMT($F$61,40,$F$54)</f>
        <v>-12.169301022104145</v>
      </c>
      <c r="D15" s="59"/>
      <c r="E15" s="59"/>
      <c r="F15" s="94">
        <f t="shared" si="1"/>
        <v>-60.192600000000006</v>
      </c>
      <c r="G15" s="94">
        <f t="shared" si="2"/>
        <v>-13.82</v>
      </c>
      <c r="H15" s="97">
        <f t="shared" si="3"/>
        <v>100</v>
      </c>
      <c r="I15" s="98">
        <f t="shared" si="9"/>
        <v>535.02501054737058</v>
      </c>
      <c r="J15" s="61">
        <f t="shared" si="4"/>
        <v>635.02501054737058</v>
      </c>
      <c r="K15" s="94">
        <f t="shared" si="5"/>
        <v>548.84310952526641</v>
      </c>
      <c r="L15" s="94">
        <f t="shared" si="0"/>
        <v>-74.012600000000006</v>
      </c>
      <c r="M15" s="59"/>
      <c r="N15" s="95">
        <v>2.564E-2</v>
      </c>
      <c r="O15" s="109">
        <f>N15*$F$54</f>
        <v>2.5722304400000002</v>
      </c>
      <c r="P15" s="96">
        <f>P14-O15</f>
        <v>70.631000050000026</v>
      </c>
      <c r="Q15" s="94">
        <f>K15+L15-O15</f>
        <v>472.25827908526639</v>
      </c>
      <c r="R15" s="59">
        <f t="shared" si="6"/>
        <v>118.0645697713166</v>
      </c>
      <c r="S15" s="110">
        <f>K15+L15-M15-O15-R15</f>
        <v>354.1937093139498</v>
      </c>
      <c r="T15" s="110">
        <f>-PV($F$60,B15,,S15)</f>
        <v>7.4249204802155209</v>
      </c>
      <c r="U15" s="94">
        <f t="shared" si="7"/>
        <v>2.881882338187145</v>
      </c>
      <c r="V15" s="69">
        <f t="shared" si="10"/>
        <v>256.66210819851437</v>
      </c>
      <c r="W15" s="112">
        <f>-PMT($F$60,B15,T15)</f>
        <v>2.881882338187145</v>
      </c>
    </row>
    <row r="16" spans="2:25" ht="25" customHeight="1" x14ac:dyDescent="0.2">
      <c r="B16" s="59">
        <v>13</v>
      </c>
      <c r="C16" s="94">
        <f>PMT($F$61,40,$F$54)</f>
        <v>-12.169301022104145</v>
      </c>
      <c r="D16" s="59"/>
      <c r="E16" s="59"/>
      <c r="F16" s="94">
        <f t="shared" si="1"/>
        <v>-60.192600000000006</v>
      </c>
      <c r="G16" s="94">
        <f t="shared" si="2"/>
        <v>-13.82</v>
      </c>
      <c r="H16" s="97">
        <f t="shared" si="3"/>
        <v>100</v>
      </c>
      <c r="I16" s="98">
        <f t="shared" si="9"/>
        <v>615.27876212947615</v>
      </c>
      <c r="J16" s="61">
        <f t="shared" si="4"/>
        <v>715.27876212947615</v>
      </c>
      <c r="K16" s="94">
        <f t="shared" si="5"/>
        <v>629.09686110737198</v>
      </c>
      <c r="L16" s="94">
        <f t="shared" si="0"/>
        <v>-74.012600000000006</v>
      </c>
      <c r="M16" s="59"/>
      <c r="N16" s="95">
        <v>2.564E-2</v>
      </c>
      <c r="O16" s="109">
        <f>N16*$F$54</f>
        <v>2.5722304400000002</v>
      </c>
      <c r="P16" s="96">
        <f>P15-O16</f>
        <v>68.058769610000027</v>
      </c>
      <c r="Q16" s="94">
        <f>K16+L16-O16</f>
        <v>552.51203066737196</v>
      </c>
      <c r="R16" s="59">
        <f t="shared" si="6"/>
        <v>138.12800766684299</v>
      </c>
      <c r="S16" s="110">
        <f>K16+L16-M16-O16-R16</f>
        <v>414.38402300052894</v>
      </c>
      <c r="T16" s="110">
        <f>-PV($F$60,B16,,S16)</f>
        <v>6.2946977148858263</v>
      </c>
      <c r="U16" s="94">
        <f t="shared" si="7"/>
        <v>2.4288810326502031</v>
      </c>
      <c r="V16" s="69">
        <f t="shared" si="10"/>
        <v>300.27827753661518</v>
      </c>
      <c r="W16" s="112">
        <f>-PMT($F$60,B16,T16)</f>
        <v>2.4288810326502031</v>
      </c>
    </row>
    <row r="17" spans="2:23" ht="25" customHeight="1" x14ac:dyDescent="0.2">
      <c r="B17" s="59">
        <v>14</v>
      </c>
      <c r="C17" s="94">
        <f>PMT($F$61,40,$F$54)</f>
        <v>-12.169301022104145</v>
      </c>
      <c r="D17" s="59"/>
      <c r="E17" s="59"/>
      <c r="F17" s="94">
        <f t="shared" si="1"/>
        <v>-60.192600000000006</v>
      </c>
      <c r="G17" s="94">
        <f t="shared" si="2"/>
        <v>-13.82</v>
      </c>
      <c r="H17" s="97">
        <f t="shared" si="3"/>
        <v>100</v>
      </c>
      <c r="I17" s="98">
        <f t="shared" si="9"/>
        <v>707.57057644889755</v>
      </c>
      <c r="J17" s="61">
        <f t="shared" si="4"/>
        <v>807.57057644889755</v>
      </c>
      <c r="K17" s="94">
        <f t="shared" si="5"/>
        <v>721.38867542679338</v>
      </c>
      <c r="L17" s="94">
        <f t="shared" si="0"/>
        <v>-74.012600000000006</v>
      </c>
      <c r="M17" s="59"/>
      <c r="N17" s="95">
        <v>2.564E-2</v>
      </c>
      <c r="O17" s="109">
        <f>N17*$F$54</f>
        <v>2.5722304400000002</v>
      </c>
      <c r="P17" s="96">
        <f>P16-O17</f>
        <v>65.486539170000029</v>
      </c>
      <c r="Q17" s="94">
        <f>K17+L17-O17</f>
        <v>644.80384498679337</v>
      </c>
      <c r="R17" s="59">
        <f t="shared" si="6"/>
        <v>161.20096124669834</v>
      </c>
      <c r="S17" s="110">
        <f>K17+L17-M17-O17-R17</f>
        <v>483.60288374009502</v>
      </c>
      <c r="T17" s="110">
        <f>-PV($F$60,B17,,S17)</f>
        <v>5.3233089518055028</v>
      </c>
      <c r="U17" s="94">
        <f t="shared" si="7"/>
        <v>2.045372046848156</v>
      </c>
      <c r="V17" s="69">
        <f t="shared" si="10"/>
        <v>350.4368722754312</v>
      </c>
      <c r="W17" s="112">
        <f>-PMT($F$60,B17,T17)</f>
        <v>2.045372046848156</v>
      </c>
    </row>
    <row r="18" spans="2:23" ht="25" customHeight="1" x14ac:dyDescent="0.2">
      <c r="B18" s="59">
        <v>15</v>
      </c>
      <c r="C18" s="94">
        <f>PMT($F$61,40,$F$54)</f>
        <v>-12.169301022104145</v>
      </c>
      <c r="D18" s="59"/>
      <c r="E18" s="59"/>
      <c r="F18" s="94">
        <f t="shared" si="1"/>
        <v>-60.192600000000006</v>
      </c>
      <c r="G18" s="94">
        <f t="shared" si="2"/>
        <v>-13.82</v>
      </c>
      <c r="H18" s="97">
        <f t="shared" si="3"/>
        <v>100</v>
      </c>
      <c r="I18" s="98">
        <f t="shared" si="9"/>
        <v>813.70616291623207</v>
      </c>
      <c r="J18" s="61">
        <f t="shared" si="4"/>
        <v>913.70616291623207</v>
      </c>
      <c r="K18" s="94">
        <f t="shared" si="5"/>
        <v>827.5242618941279</v>
      </c>
      <c r="L18" s="94">
        <f t="shared" si="0"/>
        <v>-74.012600000000006</v>
      </c>
      <c r="M18" s="59"/>
      <c r="N18" s="95">
        <v>2.564E-2</v>
      </c>
      <c r="O18" s="109">
        <f>N18*$F$54</f>
        <v>2.5722304400000002</v>
      </c>
      <c r="P18" s="96">
        <f>P17-O18</f>
        <v>62.91430873000003</v>
      </c>
      <c r="Q18" s="94">
        <f>K18+L18-O18</f>
        <v>750.93943145412788</v>
      </c>
      <c r="R18" s="59">
        <f t="shared" si="6"/>
        <v>187.73485786353197</v>
      </c>
      <c r="S18" s="110">
        <f>K18+L18-M18-O18-R18</f>
        <v>563.20457359059594</v>
      </c>
      <c r="T18" s="110">
        <f>-PV($F$60,B18,,S18)</f>
        <v>4.4924150850074689</v>
      </c>
      <c r="U18" s="94">
        <f t="shared" si="7"/>
        <v>1.720844087342245</v>
      </c>
      <c r="V18" s="69">
        <f t="shared" si="10"/>
        <v>408.11925622506953</v>
      </c>
      <c r="W18" s="112">
        <f>-PMT($F$60,B18,T18)</f>
        <v>1.720844087342245</v>
      </c>
    </row>
    <row r="19" spans="2:23" ht="25" customHeight="1" x14ac:dyDescent="0.2">
      <c r="B19" s="59">
        <v>16</v>
      </c>
      <c r="C19" s="94">
        <f>PMT($F$61,40,$F$54)</f>
        <v>-12.169301022104145</v>
      </c>
      <c r="D19" s="59"/>
      <c r="E19" s="59"/>
      <c r="F19" s="94">
        <f t="shared" si="1"/>
        <v>-60.192600000000006</v>
      </c>
      <c r="G19" s="94">
        <f t="shared" si="2"/>
        <v>-13.82</v>
      </c>
      <c r="H19" s="97">
        <f t="shared" si="3"/>
        <v>100</v>
      </c>
      <c r="I19" s="98">
        <f t="shared" si="9"/>
        <v>935.76208735366686</v>
      </c>
      <c r="J19" s="61">
        <f t="shared" si="4"/>
        <v>1035.7620873536669</v>
      </c>
      <c r="K19" s="94">
        <f t="shared" si="5"/>
        <v>949.58018633156269</v>
      </c>
      <c r="L19" s="94">
        <f t="shared" si="0"/>
        <v>-74.012600000000006</v>
      </c>
      <c r="M19" s="59"/>
      <c r="N19" s="95">
        <v>2.564E-2</v>
      </c>
      <c r="O19" s="109">
        <f>N19*$F$54</f>
        <v>2.5722304400000002</v>
      </c>
      <c r="P19" s="96">
        <f>P18-O19</f>
        <v>60.342078290000032</v>
      </c>
      <c r="Q19" s="94">
        <f>K19+L19-O19</f>
        <v>872.99535589156267</v>
      </c>
      <c r="R19" s="59">
        <f t="shared" si="6"/>
        <v>218.24883897289067</v>
      </c>
      <c r="S19" s="110">
        <f>K19+L19-M19-O19-R19</f>
        <v>654.746516918672</v>
      </c>
      <c r="T19" s="110">
        <f>-PV($F$60,B19,,S19)</f>
        <v>3.7844939417353674</v>
      </c>
      <c r="U19" s="94">
        <f t="shared" si="7"/>
        <v>1.4464684158091945</v>
      </c>
      <c r="V19" s="69">
        <f t="shared" si="10"/>
        <v>474.45399776715368</v>
      </c>
      <c r="W19" s="112">
        <f>-PMT($F$60,B19,T19)</f>
        <v>1.4464684158091945</v>
      </c>
    </row>
    <row r="20" spans="2:23" ht="25" customHeight="1" x14ac:dyDescent="0.2">
      <c r="B20" s="59">
        <v>17</v>
      </c>
      <c r="C20" s="94">
        <f>PMT($F$61,40,$F$54)</f>
        <v>-12.169301022104145</v>
      </c>
      <c r="D20" s="59"/>
      <c r="E20" s="59"/>
      <c r="F20" s="94">
        <f t="shared" si="1"/>
        <v>-60.192600000000006</v>
      </c>
      <c r="G20" s="94">
        <f t="shared" si="2"/>
        <v>-13.82</v>
      </c>
      <c r="H20" s="97">
        <f t="shared" si="3"/>
        <v>100</v>
      </c>
      <c r="I20" s="98">
        <f t="shared" si="9"/>
        <v>1076.1264004567167</v>
      </c>
      <c r="J20" s="61">
        <f t="shared" si="4"/>
        <v>1176.1264004567167</v>
      </c>
      <c r="K20" s="94">
        <f t="shared" si="5"/>
        <v>1089.9444994346127</v>
      </c>
      <c r="L20" s="94">
        <f t="shared" si="0"/>
        <v>-74.012600000000006</v>
      </c>
      <c r="M20" s="59"/>
      <c r="N20" s="95">
        <v>2.564E-2</v>
      </c>
      <c r="O20" s="109">
        <f>N20*$F$54</f>
        <v>2.5722304400000002</v>
      </c>
      <c r="P20" s="96">
        <f>P19-O20</f>
        <v>57.769847850000033</v>
      </c>
      <c r="Q20" s="94">
        <f>K20+L20-O20</f>
        <v>1013.3596689946127</v>
      </c>
      <c r="R20" s="59">
        <f t="shared" si="6"/>
        <v>253.33991724865317</v>
      </c>
      <c r="S20" s="110">
        <f>K20+L20-M20-O20-R20</f>
        <v>760.01975174595952</v>
      </c>
      <c r="T20" s="110">
        <f>-PV($F$60,B20,,S20)</f>
        <v>3.1833208240759538</v>
      </c>
      <c r="U20" s="94">
        <f t="shared" si="7"/>
        <v>1.2147498579159079</v>
      </c>
      <c r="V20" s="69">
        <f t="shared" si="10"/>
        <v>550.73895054055038</v>
      </c>
      <c r="W20" s="112">
        <f>-PMT($F$60,B20,T20)</f>
        <v>1.2147498579159079</v>
      </c>
    </row>
    <row r="21" spans="2:23" ht="25" customHeight="1" x14ac:dyDescent="0.2">
      <c r="B21" s="59">
        <v>18</v>
      </c>
      <c r="C21" s="94">
        <f>PMT($F$61,40,$F$54)</f>
        <v>-12.169301022104145</v>
      </c>
      <c r="D21" s="59"/>
      <c r="E21" s="59"/>
      <c r="F21" s="94">
        <f t="shared" si="1"/>
        <v>-60.192600000000006</v>
      </c>
      <c r="G21" s="94">
        <f t="shared" si="2"/>
        <v>-13.82</v>
      </c>
      <c r="H21" s="97">
        <f t="shared" si="3"/>
        <v>100</v>
      </c>
      <c r="I21" s="98">
        <f t="shared" si="9"/>
        <v>1237.5453605252242</v>
      </c>
      <c r="J21" s="61">
        <f t="shared" si="4"/>
        <v>1337.5453605252242</v>
      </c>
      <c r="K21" s="94">
        <f t="shared" si="5"/>
        <v>1251.3634595031201</v>
      </c>
      <c r="L21" s="94">
        <f t="shared" si="0"/>
        <v>-74.012600000000006</v>
      </c>
      <c r="M21" s="59"/>
      <c r="N21" s="95">
        <v>2.564E-2</v>
      </c>
      <c r="O21" s="109">
        <f>N21*$F$54</f>
        <v>2.5722304400000002</v>
      </c>
      <c r="P21" s="96">
        <f>P20-O21</f>
        <v>55.197617410000035</v>
      </c>
      <c r="Q21" s="94">
        <f>K21+L21-O21</f>
        <v>1174.77862906312</v>
      </c>
      <c r="R21" s="59">
        <f t="shared" si="6"/>
        <v>293.69465726577999</v>
      </c>
      <c r="S21" s="110">
        <f>K21+L21-M21-O21-R21</f>
        <v>881.08397179733993</v>
      </c>
      <c r="T21" s="110">
        <f>-PV($F$60,B21,,S21)</f>
        <v>2.6741991451573623</v>
      </c>
      <c r="U21" s="94">
        <f t="shared" si="7"/>
        <v>1.0192893447550482</v>
      </c>
      <c r="V21" s="69">
        <f t="shared" si="10"/>
        <v>638.4666462299565</v>
      </c>
      <c r="W21" s="112">
        <f>-PMT($F$60,B21,T21)</f>
        <v>1.0192893447550482</v>
      </c>
    </row>
    <row r="22" spans="2:23" ht="25" customHeight="1" x14ac:dyDescent="0.2">
      <c r="B22" s="59">
        <v>19</v>
      </c>
      <c r="C22" s="94">
        <f>PMT($F$61,40,$F$54)</f>
        <v>-12.169301022104145</v>
      </c>
      <c r="D22" s="59"/>
      <c r="E22" s="59"/>
      <c r="F22" s="94">
        <f t="shared" si="1"/>
        <v>-60.192600000000006</v>
      </c>
      <c r="G22" s="94">
        <f t="shared" si="2"/>
        <v>-13.82</v>
      </c>
      <c r="H22" s="97">
        <f t="shared" si="3"/>
        <v>100</v>
      </c>
      <c r="I22" s="98">
        <f t="shared" si="9"/>
        <v>1423.1771646040077</v>
      </c>
      <c r="J22" s="61">
        <f t="shared" si="4"/>
        <v>1523.1771646040077</v>
      </c>
      <c r="K22" s="94">
        <f t="shared" si="5"/>
        <v>1436.9952635819036</v>
      </c>
      <c r="L22" s="94">
        <f t="shared" si="0"/>
        <v>-74.012600000000006</v>
      </c>
      <c r="M22" s="59"/>
      <c r="N22" s="95">
        <v>2.564E-2</v>
      </c>
      <c r="O22" s="109">
        <f>N22*$F$54</f>
        <v>2.5722304400000002</v>
      </c>
      <c r="P22" s="96">
        <f>P21-O22</f>
        <v>52.625386970000037</v>
      </c>
      <c r="Q22" s="94">
        <f>K22+L22-O22</f>
        <v>1360.4104331419035</v>
      </c>
      <c r="R22" s="59">
        <f t="shared" si="6"/>
        <v>340.10260828547587</v>
      </c>
      <c r="S22" s="110">
        <f>K22+L22-M22-O22-R22</f>
        <v>1020.3078248564276</v>
      </c>
      <c r="T22" s="110">
        <f>-PV($F$60,B22,,S22)</f>
        <v>2.2440295715157252</v>
      </c>
      <c r="U22" s="94">
        <f t="shared" si="7"/>
        <v>0.85461083855423947</v>
      </c>
      <c r="V22" s="69">
        <f t="shared" si="10"/>
        <v>739.35349627277367</v>
      </c>
      <c r="W22" s="112">
        <f>-PMT($F$60,B22,T22)</f>
        <v>0.85461083855423947</v>
      </c>
    </row>
    <row r="23" spans="2:23" ht="25" customHeight="1" x14ac:dyDescent="0.2">
      <c r="B23" s="59">
        <v>20</v>
      </c>
      <c r="C23" s="94">
        <f>PMT($F$61,40,$F$54)</f>
        <v>-12.169301022104145</v>
      </c>
      <c r="D23" s="59"/>
      <c r="E23" s="59"/>
      <c r="F23" s="94">
        <f t="shared" si="1"/>
        <v>-60.192600000000006</v>
      </c>
      <c r="G23" s="94">
        <f t="shared" si="2"/>
        <v>-13.82</v>
      </c>
      <c r="H23" s="97">
        <f t="shared" si="3"/>
        <v>100</v>
      </c>
      <c r="I23" s="98">
        <f t="shared" si="9"/>
        <v>1636.6537392946086</v>
      </c>
      <c r="J23" s="61">
        <f t="shared" si="4"/>
        <v>1736.6537392946086</v>
      </c>
      <c r="K23" s="94">
        <f t="shared" si="5"/>
        <v>1650.4718382725046</v>
      </c>
      <c r="L23" s="94">
        <f t="shared" si="0"/>
        <v>-74.012600000000006</v>
      </c>
      <c r="M23" s="59"/>
      <c r="N23" s="95">
        <v>2.564E-2</v>
      </c>
      <c r="O23" s="109">
        <f>N23*$F$54</f>
        <v>2.5722304400000002</v>
      </c>
      <c r="P23" s="96">
        <f>P22-O23</f>
        <v>50.053156530000038</v>
      </c>
      <c r="Q23" s="94">
        <f>K23+L23-O23</f>
        <v>1573.8870078325044</v>
      </c>
      <c r="R23" s="59">
        <f t="shared" si="6"/>
        <v>393.47175195812611</v>
      </c>
      <c r="S23" s="110">
        <f>K23+L23-M23-O23-R23</f>
        <v>1180.4152558743783</v>
      </c>
      <c r="T23" s="110">
        <f>-PV($F$60,B23,,S23)</f>
        <v>1.8812784718316482</v>
      </c>
      <c r="U23" s="94">
        <f t="shared" si="7"/>
        <v>0.71602698223867089</v>
      </c>
      <c r="V23" s="69">
        <f t="shared" si="10"/>
        <v>855.37337382201338</v>
      </c>
      <c r="W23" s="112">
        <f>-PMT($F$60,B23,T23)</f>
        <v>0.71602698223867089</v>
      </c>
    </row>
    <row r="24" spans="2:23" ht="25" customHeight="1" x14ac:dyDescent="0.2">
      <c r="B24" s="59">
        <v>21</v>
      </c>
      <c r="C24" s="94">
        <f>PMT($F$61,40,$F$54)</f>
        <v>-12.169301022104145</v>
      </c>
      <c r="D24" s="59"/>
      <c r="E24" s="59"/>
      <c r="F24" s="94">
        <f t="shared" si="1"/>
        <v>-60.192600000000006</v>
      </c>
      <c r="G24" s="94">
        <f t="shared" si="2"/>
        <v>-13.82</v>
      </c>
      <c r="H24" s="97">
        <f t="shared" si="3"/>
        <v>100</v>
      </c>
      <c r="I24" s="98">
        <f t="shared" si="9"/>
        <v>1882.1518001887998</v>
      </c>
      <c r="J24" s="61">
        <f t="shared" si="4"/>
        <v>1982.1518001887998</v>
      </c>
      <c r="K24" s="94">
        <f t="shared" si="5"/>
        <v>1895.9698991666958</v>
      </c>
      <c r="L24" s="94">
        <f t="shared" si="0"/>
        <v>-74.012600000000006</v>
      </c>
      <c r="M24" s="59"/>
      <c r="N24" s="95">
        <v>2.564E-2</v>
      </c>
      <c r="O24" s="109">
        <f>N24*$F$54</f>
        <v>2.5722304400000002</v>
      </c>
      <c r="P24" s="96">
        <f>P23-O24</f>
        <v>47.48092609000004</v>
      </c>
      <c r="Q24" s="94">
        <f>K24+L24-O24</f>
        <v>1819.3850687266956</v>
      </c>
      <c r="R24" s="59">
        <f t="shared" si="6"/>
        <v>454.84626718167391</v>
      </c>
      <c r="S24" s="110">
        <f>K24+L24-M24-O24-R24</f>
        <v>1364.5388015450217</v>
      </c>
      <c r="T24" s="110">
        <f>-PV($F$60,B24,,S24)</f>
        <v>1.5758870083393279</v>
      </c>
      <c r="U24" s="94">
        <f t="shared" si="7"/>
        <v>0.59952945144884207</v>
      </c>
      <c r="V24" s="69">
        <f t="shared" si="10"/>
        <v>988.79623300363892</v>
      </c>
      <c r="W24" s="112">
        <f>-PMT($F$60,B24,T24)</f>
        <v>0.59952945144884207</v>
      </c>
    </row>
    <row r="25" spans="2:23" ht="25" customHeight="1" x14ac:dyDescent="0.2">
      <c r="B25" s="59">
        <v>22</v>
      </c>
      <c r="C25" s="94">
        <f>PMT($F$61,40,$F$54)</f>
        <v>-12.169301022104145</v>
      </c>
      <c r="D25" s="59"/>
      <c r="E25" s="59"/>
      <c r="F25" s="94">
        <f t="shared" si="1"/>
        <v>-60.192600000000006</v>
      </c>
      <c r="G25" s="94">
        <f t="shared" si="2"/>
        <v>-13.82</v>
      </c>
      <c r="H25" s="97">
        <f t="shared" si="3"/>
        <v>100</v>
      </c>
      <c r="I25" s="98">
        <f t="shared" si="9"/>
        <v>2164.4745702171194</v>
      </c>
      <c r="J25" s="61">
        <f t="shared" si="4"/>
        <v>2264.4745702171194</v>
      </c>
      <c r="K25" s="94">
        <f t="shared" si="5"/>
        <v>2178.2926691950152</v>
      </c>
      <c r="L25" s="94">
        <f t="shared" si="0"/>
        <v>-74.012600000000006</v>
      </c>
      <c r="M25" s="59"/>
      <c r="N25" s="95">
        <v>2.564E-2</v>
      </c>
      <c r="O25" s="109">
        <f>N25*$F$54</f>
        <v>2.5722304400000002</v>
      </c>
      <c r="P25" s="96">
        <f>P24-O25</f>
        <v>44.908695650000041</v>
      </c>
      <c r="Q25" s="94">
        <f>K25+L25-O25</f>
        <v>2101.707838755015</v>
      </c>
      <c r="R25" s="59">
        <f t="shared" si="6"/>
        <v>525.42695968875375</v>
      </c>
      <c r="S25" s="110">
        <f>K25+L25-M25-O25-R25</f>
        <v>1576.2808790662612</v>
      </c>
      <c r="T25" s="110">
        <f>-PV($F$60,B25,,S25)</f>
        <v>1.3191485565723537</v>
      </c>
      <c r="U25" s="94">
        <f t="shared" si="7"/>
        <v>0.50169630811662802</v>
      </c>
      <c r="V25" s="69">
        <f t="shared" si="10"/>
        <v>1142.2325210625081</v>
      </c>
      <c r="W25" s="112">
        <f>-PMT($F$60,B25,T25)</f>
        <v>0.50169630811662802</v>
      </c>
    </row>
    <row r="26" spans="2:23" ht="25" customHeight="1" x14ac:dyDescent="0.2">
      <c r="B26" s="59">
        <v>23</v>
      </c>
      <c r="C26" s="94">
        <f>PMT($F$61,40,$F$54)</f>
        <v>-12.169301022104145</v>
      </c>
      <c r="D26" s="59"/>
      <c r="E26" s="59"/>
      <c r="F26" s="94">
        <f t="shared" si="1"/>
        <v>-60.192600000000006</v>
      </c>
      <c r="G26" s="94">
        <f t="shared" si="2"/>
        <v>-13.82</v>
      </c>
      <c r="H26" s="97">
        <f t="shared" si="3"/>
        <v>100</v>
      </c>
      <c r="I26" s="98">
        <f t="shared" si="9"/>
        <v>2489.1457557496869</v>
      </c>
      <c r="J26" s="61">
        <f t="shared" si="4"/>
        <v>2589.1457557496869</v>
      </c>
      <c r="K26" s="94">
        <f t="shared" si="5"/>
        <v>2502.9638547275827</v>
      </c>
      <c r="L26" s="94">
        <f t="shared" si="0"/>
        <v>-74.012600000000006</v>
      </c>
      <c r="M26" s="59"/>
      <c r="N26" s="95">
        <v>2.564E-2</v>
      </c>
      <c r="O26" s="109">
        <f>N26*$F$54</f>
        <v>2.5722304400000002</v>
      </c>
      <c r="P26" s="96">
        <f>P25-O26</f>
        <v>42.336465210000043</v>
      </c>
      <c r="Q26" s="94">
        <f>K26+L26-O26</f>
        <v>2426.3790242875825</v>
      </c>
      <c r="R26" s="59">
        <f t="shared" si="6"/>
        <v>606.59475607189563</v>
      </c>
      <c r="S26" s="110">
        <f>K26+L26-M26-O26-R26</f>
        <v>1819.784268215687</v>
      </c>
      <c r="T26" s="110">
        <f>-PV($F$60,B26,,S26)</f>
        <v>1.1035726253727924</v>
      </c>
      <c r="U26" s="94">
        <f t="shared" si="7"/>
        <v>0.41961206318150085</v>
      </c>
      <c r="V26" s="69">
        <f t="shared" si="10"/>
        <v>1318.684252330208</v>
      </c>
      <c r="W26" s="112">
        <f>-PMT($F$60,B26,T26)</f>
        <v>0.41961206318150085</v>
      </c>
    </row>
    <row r="27" spans="2:23" ht="25" customHeight="1" x14ac:dyDescent="0.2">
      <c r="B27" s="59">
        <v>24</v>
      </c>
      <c r="C27" s="94">
        <f>PMT($F$61,40,$F$54)</f>
        <v>-12.169301022104145</v>
      </c>
      <c r="D27" s="59"/>
      <c r="E27" s="59"/>
      <c r="F27" s="94">
        <f t="shared" si="1"/>
        <v>-60.192600000000006</v>
      </c>
      <c r="G27" s="94">
        <f t="shared" si="2"/>
        <v>-13.82</v>
      </c>
      <c r="H27" s="97">
        <f t="shared" si="3"/>
        <v>100</v>
      </c>
      <c r="I27" s="98">
        <f t="shared" si="9"/>
        <v>2862.51761911214</v>
      </c>
      <c r="J27" s="61">
        <f t="shared" si="4"/>
        <v>2962.51761911214</v>
      </c>
      <c r="K27" s="94">
        <f t="shared" si="5"/>
        <v>2876.3357180900357</v>
      </c>
      <c r="L27" s="94">
        <f t="shared" si="0"/>
        <v>-74.012600000000006</v>
      </c>
      <c r="M27" s="59"/>
      <c r="N27" s="95">
        <v>2.564E-2</v>
      </c>
      <c r="O27" s="109">
        <f>N27*$F$54</f>
        <v>2.5722304400000002</v>
      </c>
      <c r="P27" s="96">
        <f>P26-O27</f>
        <v>39.764234770000044</v>
      </c>
      <c r="Q27" s="94">
        <f>K27+L27-O27</f>
        <v>2799.7508876500356</v>
      </c>
      <c r="R27" s="59">
        <f t="shared" si="6"/>
        <v>699.93772191250889</v>
      </c>
      <c r="S27" s="110">
        <f>K27+L27-M27-O27-R27</f>
        <v>2099.8131657375266</v>
      </c>
      <c r="T27" s="110">
        <f>-PV($F$60,B27,,S27)</f>
        <v>0.92274687010232559</v>
      </c>
      <c r="U27" s="94">
        <f t="shared" si="7"/>
        <v>0.35079796612784075</v>
      </c>
      <c r="V27" s="69">
        <f t="shared" si="10"/>
        <v>1521.6037432880628</v>
      </c>
      <c r="W27" s="112">
        <f>-PMT($F$60,B27,T27)</f>
        <v>0.35079796612784075</v>
      </c>
    </row>
    <row r="28" spans="2:23" ht="25" customHeight="1" x14ac:dyDescent="0.2">
      <c r="B28" s="59">
        <v>25</v>
      </c>
      <c r="C28" s="94">
        <f>PMT($F$61,40,$F$54)</f>
        <v>-12.169301022104145</v>
      </c>
      <c r="D28" s="59"/>
      <c r="E28" s="59"/>
      <c r="F28" s="94">
        <f t="shared" si="1"/>
        <v>-60.192600000000006</v>
      </c>
      <c r="G28" s="94">
        <f t="shared" si="2"/>
        <v>-13.82</v>
      </c>
      <c r="H28" s="97">
        <f t="shared" si="3"/>
        <v>100</v>
      </c>
      <c r="I28" s="98">
        <f t="shared" si="9"/>
        <v>3291.8952619789607</v>
      </c>
      <c r="J28" s="61">
        <f t="shared" si="4"/>
        <v>3391.8952619789607</v>
      </c>
      <c r="K28" s="94">
        <f t="shared" si="5"/>
        <v>3305.7133609568564</v>
      </c>
      <c r="L28" s="94">
        <f t="shared" si="0"/>
        <v>-74.012600000000006</v>
      </c>
      <c r="M28" s="59"/>
      <c r="N28" s="95">
        <v>2.564E-2</v>
      </c>
      <c r="O28" s="109">
        <f>N28*$F$54</f>
        <v>2.5722304400000002</v>
      </c>
      <c r="P28" s="96">
        <f>P27-O28</f>
        <v>37.192004330000046</v>
      </c>
      <c r="Q28" s="94">
        <f>K28+L28-O28</f>
        <v>3229.1285305168562</v>
      </c>
      <c r="R28" s="59">
        <f t="shared" si="6"/>
        <v>807.28213262921406</v>
      </c>
      <c r="S28" s="110">
        <f>K28+L28-M28-O28-R28</f>
        <v>2421.8463978876421</v>
      </c>
      <c r="T28" s="110">
        <f>-PV($F$60,B28,,S28)</f>
        <v>0.77120428713237155</v>
      </c>
      <c r="U28" s="94">
        <f t="shared" si="7"/>
        <v>0.29315097908164617</v>
      </c>
      <c r="V28" s="69">
        <f t="shared" si="10"/>
        <v>1754.9611578895958</v>
      </c>
      <c r="W28" s="112">
        <f>-PMT($F$60,B28,T28)</f>
        <v>0.29315097908164617</v>
      </c>
    </row>
    <row r="29" spans="2:23" ht="25" customHeight="1" x14ac:dyDescent="0.2">
      <c r="B29" s="59">
        <v>26</v>
      </c>
      <c r="C29" s="94">
        <f>PMT($F$61,40,$F$54)</f>
        <v>-12.169301022104145</v>
      </c>
      <c r="D29" s="59"/>
      <c r="E29" s="59"/>
      <c r="F29" s="94">
        <f t="shared" si="1"/>
        <v>-60.192600000000006</v>
      </c>
      <c r="G29" s="94">
        <f t="shared" si="2"/>
        <v>-13.82</v>
      </c>
      <c r="H29" s="97">
        <f t="shared" si="3"/>
        <v>100</v>
      </c>
      <c r="I29" s="98">
        <f t="shared" si="9"/>
        <v>3785.6795512758044</v>
      </c>
      <c r="J29" s="61">
        <f t="shared" si="4"/>
        <v>3885.6795512758044</v>
      </c>
      <c r="K29" s="94">
        <f t="shared" si="5"/>
        <v>3799.4976502537002</v>
      </c>
      <c r="L29" s="94">
        <f t="shared" si="0"/>
        <v>-74.012600000000006</v>
      </c>
      <c r="M29" s="59"/>
      <c r="N29" s="95">
        <v>2.564E-2</v>
      </c>
      <c r="O29" s="109">
        <f>N29*$F$54</f>
        <v>2.5722304400000002</v>
      </c>
      <c r="P29" s="96">
        <f>P28-O29</f>
        <v>34.619773890000047</v>
      </c>
      <c r="Q29" s="94">
        <f>K29+L29-O29</f>
        <v>3722.9128198137</v>
      </c>
      <c r="R29" s="59">
        <f t="shared" si="6"/>
        <v>930.72820495342501</v>
      </c>
      <c r="S29" s="110">
        <f>K29+L29-M29-O29-R29</f>
        <v>2792.1846148602749</v>
      </c>
      <c r="T29" s="110">
        <f>-PV($F$60,B29,,S29)</f>
        <v>0.6442996320647304</v>
      </c>
      <c r="U29" s="94">
        <f t="shared" si="7"/>
        <v>0.24489036890316179</v>
      </c>
      <c r="V29" s="69">
        <f t="shared" si="10"/>
        <v>2023.3221846813587</v>
      </c>
      <c r="W29" s="112">
        <f>-PMT($F$60,B29,T29)</f>
        <v>0.24489036890316179</v>
      </c>
    </row>
    <row r="30" spans="2:23" ht="25" customHeight="1" x14ac:dyDescent="0.2">
      <c r="B30" s="59">
        <v>27</v>
      </c>
      <c r="C30" s="94">
        <f>PMT($F$61,40,$F$54)</f>
        <v>-12.169301022104145</v>
      </c>
      <c r="D30" s="59"/>
      <c r="E30" s="59"/>
      <c r="F30" s="94">
        <f t="shared" si="1"/>
        <v>-60.192600000000006</v>
      </c>
      <c r="G30" s="94">
        <f t="shared" si="2"/>
        <v>-13.82</v>
      </c>
      <c r="H30" s="97">
        <f t="shared" si="3"/>
        <v>100</v>
      </c>
      <c r="I30" s="98">
        <f t="shared" si="9"/>
        <v>4353.5314839671746</v>
      </c>
      <c r="J30" s="61">
        <f t="shared" si="4"/>
        <v>4453.5314839671746</v>
      </c>
      <c r="K30" s="94">
        <f t="shared" si="5"/>
        <v>4367.3495829450703</v>
      </c>
      <c r="L30" s="94">
        <f t="shared" si="0"/>
        <v>-74.012600000000006</v>
      </c>
      <c r="M30" s="59"/>
      <c r="N30" s="95">
        <v>2.564E-2</v>
      </c>
      <c r="O30" s="109">
        <f>N30*$F$54</f>
        <v>2.5722304400000002</v>
      </c>
      <c r="P30" s="96">
        <f>P29-O30</f>
        <v>32.047543450000049</v>
      </c>
      <c r="Q30" s="94">
        <f>K30+L30-O30</f>
        <v>4290.7647525050706</v>
      </c>
      <c r="R30" s="59">
        <f t="shared" si="6"/>
        <v>1072.6911881262677</v>
      </c>
      <c r="S30" s="110">
        <f>K30+L30-M30-O30-R30</f>
        <v>3218.073564378803</v>
      </c>
      <c r="T30" s="110">
        <f>-PV($F$60,B30,,S30)</f>
        <v>0.53809707946535779</v>
      </c>
      <c r="U30" s="94">
        <f t="shared" si="7"/>
        <v>0.20451108668621465</v>
      </c>
      <c r="V30" s="69">
        <f t="shared" si="10"/>
        <v>2331.9373654918863</v>
      </c>
      <c r="W30" s="112">
        <f>-PMT($F$60,B30,T30)</f>
        <v>0.20451108668621465</v>
      </c>
    </row>
    <row r="31" spans="2:23" ht="25" customHeight="1" x14ac:dyDescent="0.2">
      <c r="B31" s="59">
        <v>28</v>
      </c>
      <c r="C31" s="94">
        <f>PMT($F$61,40,$F$54)</f>
        <v>-12.169301022104145</v>
      </c>
      <c r="D31" s="59"/>
      <c r="E31" s="59"/>
      <c r="F31" s="94">
        <f t="shared" si="1"/>
        <v>-60.192600000000006</v>
      </c>
      <c r="G31" s="94">
        <f t="shared" si="2"/>
        <v>-13.82</v>
      </c>
      <c r="H31" s="97">
        <f t="shared" si="3"/>
        <v>100</v>
      </c>
      <c r="I31" s="98">
        <f t="shared" si="9"/>
        <v>5006.5612065622508</v>
      </c>
      <c r="J31" s="61">
        <f t="shared" si="4"/>
        <v>5106.5612065622508</v>
      </c>
      <c r="K31" s="94">
        <f t="shared" si="5"/>
        <v>5020.3793055401466</v>
      </c>
      <c r="L31" s="94">
        <f t="shared" si="0"/>
        <v>-74.012600000000006</v>
      </c>
      <c r="M31" s="59"/>
      <c r="N31" s="95">
        <v>2.564E-2</v>
      </c>
      <c r="O31" s="109">
        <f>N31*$F$54</f>
        <v>2.5722304400000002</v>
      </c>
      <c r="P31" s="96">
        <f>P30-O31</f>
        <v>29.47531301000005</v>
      </c>
      <c r="Q31" s="94">
        <f>K31+L31-O31</f>
        <v>4943.7944751001469</v>
      </c>
      <c r="R31" s="59">
        <f t="shared" si="6"/>
        <v>1235.9486187750367</v>
      </c>
      <c r="S31" s="110">
        <f>K31+L31-M31-O31-R31</f>
        <v>3707.8458563251102</v>
      </c>
      <c r="T31" s="110">
        <f>-PV($F$60,B31,,S31)</f>
        <v>0.44926982666418652</v>
      </c>
      <c r="U31" s="94">
        <f t="shared" si="7"/>
        <v>0.17074322263482861</v>
      </c>
      <c r="V31" s="69">
        <f t="shared" si="10"/>
        <v>2686.8448234239931</v>
      </c>
      <c r="W31" s="112">
        <f>-PMT($F$60,B31,T31)</f>
        <v>0.17074322263482861</v>
      </c>
    </row>
    <row r="32" spans="2:23" ht="25" customHeight="1" x14ac:dyDescent="0.2">
      <c r="B32" s="59">
        <v>29</v>
      </c>
      <c r="C32" s="94">
        <f>PMT($F$61,40,$F$54)</f>
        <v>-12.169301022104145</v>
      </c>
      <c r="D32" s="59"/>
      <c r="E32" s="59"/>
      <c r="F32" s="94">
        <f t="shared" si="1"/>
        <v>-60.192600000000006</v>
      </c>
      <c r="G32" s="94">
        <f t="shared" si="2"/>
        <v>-13.82</v>
      </c>
      <c r="H32" s="97">
        <f t="shared" si="3"/>
        <v>100</v>
      </c>
      <c r="I32" s="98">
        <f t="shared" si="9"/>
        <v>5757.5453875465882</v>
      </c>
      <c r="J32" s="61">
        <f t="shared" si="4"/>
        <v>5857.5453875465882</v>
      </c>
      <c r="K32" s="94">
        <f t="shared" si="5"/>
        <v>5771.363486524484</v>
      </c>
      <c r="L32" s="94">
        <f t="shared" si="0"/>
        <v>-74.012600000000006</v>
      </c>
      <c r="M32" s="59"/>
      <c r="N32" s="95">
        <v>2.564E-2</v>
      </c>
      <c r="O32" s="109">
        <f>N32*$F$54</f>
        <v>2.5722304400000002</v>
      </c>
      <c r="P32" s="96">
        <f>P31-O32</f>
        <v>26.903082570000052</v>
      </c>
      <c r="Q32" s="94">
        <f>K32+L32-O32</f>
        <v>5694.7786560844843</v>
      </c>
      <c r="R32" s="59">
        <f t="shared" si="6"/>
        <v>1423.6946640211211</v>
      </c>
      <c r="S32" s="110">
        <f>K32+L32-M32-O32-R32</f>
        <v>4271.0839920633634</v>
      </c>
      <c r="T32" s="110">
        <f>-PV($F$60,B32,,S32)</f>
        <v>0.3750115177102919</v>
      </c>
      <c r="U32" s="94">
        <f t="shared" si="7"/>
        <v>0.14251689005798859</v>
      </c>
      <c r="V32" s="69">
        <f t="shared" si="10"/>
        <v>3094.9884000459156</v>
      </c>
      <c r="W32" s="112">
        <f>-PMT($F$60,B32,T32)</f>
        <v>0.14251689005798859</v>
      </c>
    </row>
    <row r="33" spans="1:23" ht="25" customHeight="1" x14ac:dyDescent="0.2">
      <c r="B33" s="59">
        <v>30</v>
      </c>
      <c r="C33" s="94">
        <f>PMT($F$61,40,$F$54)</f>
        <v>-12.169301022104145</v>
      </c>
      <c r="D33" s="59"/>
      <c r="E33" s="59"/>
      <c r="F33" s="94">
        <f t="shared" si="1"/>
        <v>-60.192600000000006</v>
      </c>
      <c r="G33" s="94">
        <f t="shared" si="2"/>
        <v>-13.82</v>
      </c>
      <c r="H33" s="97">
        <f t="shared" si="3"/>
        <v>100</v>
      </c>
      <c r="I33" s="98">
        <f t="shared" si="9"/>
        <v>6621.177195678576</v>
      </c>
      <c r="J33" s="61">
        <f t="shared" si="4"/>
        <v>6721.177195678576</v>
      </c>
      <c r="K33" s="94">
        <f t="shared" si="5"/>
        <v>6634.9952946564717</v>
      </c>
      <c r="L33" s="94">
        <f t="shared" si="0"/>
        <v>-74.012600000000006</v>
      </c>
      <c r="M33" s="59"/>
      <c r="N33" s="95">
        <v>2.564E-2</v>
      </c>
      <c r="O33" s="109">
        <f>N33*$F$54</f>
        <v>2.5722304400000002</v>
      </c>
      <c r="P33" s="96">
        <f>P32-O33</f>
        <v>24.330852130000054</v>
      </c>
      <c r="Q33" s="94">
        <f>K33+L33-O33</f>
        <v>6558.4104642164721</v>
      </c>
      <c r="R33" s="59">
        <f t="shared" si="6"/>
        <v>1639.602616054118</v>
      </c>
      <c r="S33" s="110">
        <f>K33+L33-M33-O33-R33</f>
        <v>4918.8078481623543</v>
      </c>
      <c r="T33" s="110">
        <f>-PV($F$60,B33,,S33)</f>
        <v>0.31295887018621171</v>
      </c>
      <c r="U33" s="94">
        <f t="shared" si="7"/>
        <v>0.11893193770854751</v>
      </c>
      <c r="V33" s="69">
        <f t="shared" si="10"/>
        <v>3564.3535131611266</v>
      </c>
      <c r="W33" s="112">
        <f>-PMT($F$60,B33,T33)</f>
        <v>0.11893193770854751</v>
      </c>
    </row>
    <row r="34" spans="1:23" ht="25" customHeight="1" x14ac:dyDescent="0.2">
      <c r="B34" s="59">
        <v>31</v>
      </c>
      <c r="C34" s="94">
        <f>PMT($F$61,40,$F$54)</f>
        <v>-12.169301022104145</v>
      </c>
      <c r="D34" s="59"/>
      <c r="E34" s="59"/>
      <c r="F34" s="94">
        <f t="shared" si="1"/>
        <v>-60.192600000000006</v>
      </c>
      <c r="G34" s="94">
        <f t="shared" si="2"/>
        <v>-13.82</v>
      </c>
      <c r="H34" s="97">
        <f t="shared" si="3"/>
        <v>100</v>
      </c>
      <c r="I34" s="98">
        <f t="shared" si="9"/>
        <v>7614.3537750303622</v>
      </c>
      <c r="J34" s="61">
        <f t="shared" si="4"/>
        <v>7714.3537750303622</v>
      </c>
      <c r="K34" s="94">
        <f t="shared" si="5"/>
        <v>7628.1718740082579</v>
      </c>
      <c r="L34" s="94">
        <f t="shared" si="0"/>
        <v>-74.012600000000006</v>
      </c>
      <c r="M34" s="59"/>
      <c r="N34" s="95">
        <v>2.564E-2</v>
      </c>
      <c r="O34" s="109">
        <f>N34*$F$54</f>
        <v>2.5722304400000002</v>
      </c>
      <c r="P34" s="96">
        <f>P33-O34</f>
        <v>21.758621690000055</v>
      </c>
      <c r="Q34" s="94">
        <f>K34+L34-O34</f>
        <v>7551.5870435682582</v>
      </c>
      <c r="R34" s="59">
        <f t="shared" si="6"/>
        <v>1887.8967608920645</v>
      </c>
      <c r="S34" s="110">
        <f>K34+L34-M34-O34-R34</f>
        <v>5663.6902826761934</v>
      </c>
      <c r="T34" s="110">
        <f>-PV($F$60,B34,,S34)</f>
        <v>0.26112461797713415</v>
      </c>
      <c r="U34" s="94">
        <f t="shared" si="7"/>
        <v>9.9231929922549894E-2</v>
      </c>
      <c r="V34" s="69">
        <f t="shared" si="10"/>
        <v>4104.1233932436189</v>
      </c>
      <c r="W34" s="112">
        <f>-PMT($F$60,B34,T34)</f>
        <v>9.9231929922549894E-2</v>
      </c>
    </row>
    <row r="35" spans="1:23" ht="25" customHeight="1" x14ac:dyDescent="0.2">
      <c r="B35" s="59">
        <v>32</v>
      </c>
      <c r="C35" s="94">
        <f>PMT($F$61,40,$F$54)</f>
        <v>-12.169301022104145</v>
      </c>
      <c r="D35" s="59"/>
      <c r="E35" s="59"/>
      <c r="F35" s="94">
        <f t="shared" si="1"/>
        <v>-60.192600000000006</v>
      </c>
      <c r="G35" s="94">
        <f t="shared" si="2"/>
        <v>-13.82</v>
      </c>
      <c r="H35" s="97">
        <f t="shared" si="3"/>
        <v>100</v>
      </c>
      <c r="I35" s="98">
        <f t="shared" si="9"/>
        <v>8756.5068412849159</v>
      </c>
      <c r="J35" s="61">
        <f t="shared" si="4"/>
        <v>8856.5068412849159</v>
      </c>
      <c r="K35" s="94">
        <f t="shared" si="5"/>
        <v>8770.3249402628117</v>
      </c>
      <c r="L35" s="94">
        <f t="shared" si="0"/>
        <v>-74.012600000000006</v>
      </c>
      <c r="M35" s="59"/>
      <c r="N35" s="95">
        <v>2.564E-2</v>
      </c>
      <c r="O35" s="109">
        <f>N35*$F$54</f>
        <v>2.5722304400000002</v>
      </c>
      <c r="P35" s="96">
        <f>P34-O35</f>
        <v>19.186391250000057</v>
      </c>
      <c r="Q35" s="94">
        <f>K35+L35-O35</f>
        <v>8693.7401098228111</v>
      </c>
      <c r="R35" s="59">
        <f t="shared" si="6"/>
        <v>2173.4350274557028</v>
      </c>
      <c r="S35" s="110">
        <f>K35+L35-M35-O35-R35</f>
        <v>6520.3050823671083</v>
      </c>
      <c r="T35" s="110">
        <f>-PV($F$60,B35,,S35)</f>
        <v>0.21783976098719479</v>
      </c>
      <c r="U35" s="94">
        <f t="shared" si="7"/>
        <v>8.2781874871463906E-2</v>
      </c>
      <c r="V35" s="69">
        <f t="shared" si="10"/>
        <v>4724.858755338485</v>
      </c>
      <c r="W35" s="112">
        <f>-PMT($F$60,B35,T35)</f>
        <v>8.2781874871463906E-2</v>
      </c>
    </row>
    <row r="36" spans="1:23" ht="25" customHeight="1" x14ac:dyDescent="0.2">
      <c r="B36" s="59">
        <v>33</v>
      </c>
      <c r="C36" s="94">
        <f>PMT($F$61,40,$F$54)</f>
        <v>-12.169301022104145</v>
      </c>
      <c r="D36" s="59"/>
      <c r="E36" s="59"/>
      <c r="F36" s="94">
        <f t="shared" si="1"/>
        <v>-60.192600000000006</v>
      </c>
      <c r="G36" s="94">
        <f t="shared" si="2"/>
        <v>-13.82</v>
      </c>
      <c r="H36" s="97">
        <f t="shared" si="3"/>
        <v>100</v>
      </c>
      <c r="I36" s="98">
        <f t="shared" si="9"/>
        <v>10069.982867477653</v>
      </c>
      <c r="J36" s="61">
        <f t="shared" si="4"/>
        <v>10169.982867477653</v>
      </c>
      <c r="K36" s="94">
        <f t="shared" si="5"/>
        <v>10083.800966455548</v>
      </c>
      <c r="L36" s="94">
        <f t="shared" si="0"/>
        <v>-74.012600000000006</v>
      </c>
      <c r="M36" s="59"/>
      <c r="N36" s="95">
        <v>2.564E-2</v>
      </c>
      <c r="O36" s="109">
        <f>N36*$F$54</f>
        <v>2.5722304400000002</v>
      </c>
      <c r="P36" s="96">
        <f>P35-O36</f>
        <v>16.614160810000058</v>
      </c>
      <c r="Q36" s="94">
        <f>K36+L36-O36</f>
        <v>10007.216136015548</v>
      </c>
      <c r="R36" s="59">
        <f t="shared" si="6"/>
        <v>2501.804034003887</v>
      </c>
      <c r="S36" s="110">
        <f>K36+L36-M36-O36-R36</f>
        <v>7505.4121020116609</v>
      </c>
      <c r="T36" s="110">
        <f>-PV($F$60,B36,,S36)</f>
        <v>0.18170408536825386</v>
      </c>
      <c r="U36" s="94">
        <f t="shared" si="7"/>
        <v>6.9049224103789247E-2</v>
      </c>
      <c r="V36" s="69">
        <f t="shared" si="10"/>
        <v>5438.7044217475805</v>
      </c>
      <c r="W36" s="112">
        <f>-PMT($F$60,B36,T36)</f>
        <v>6.9049224103789247E-2</v>
      </c>
    </row>
    <row r="37" spans="1:23" ht="25" customHeight="1" x14ac:dyDescent="0.2">
      <c r="B37" s="59">
        <v>34</v>
      </c>
      <c r="C37" s="94">
        <f>PMT($F$61,40,$F$54)</f>
        <v>-12.169301022104145</v>
      </c>
      <c r="D37" s="59"/>
      <c r="E37" s="59"/>
      <c r="F37" s="94">
        <f t="shared" si="1"/>
        <v>-60.192600000000006</v>
      </c>
      <c r="G37" s="94">
        <f t="shared" si="2"/>
        <v>-13.82</v>
      </c>
      <c r="H37" s="97">
        <f t="shared" si="3"/>
        <v>100</v>
      </c>
      <c r="I37" s="98">
        <f t="shared" si="9"/>
        <v>11580.480297599299</v>
      </c>
      <c r="J37" s="61">
        <f t="shared" si="4"/>
        <v>11680.480297599299</v>
      </c>
      <c r="K37" s="94">
        <f t="shared" si="5"/>
        <v>11594.298396577195</v>
      </c>
      <c r="L37" s="94">
        <f t="shared" si="0"/>
        <v>-74.012600000000006</v>
      </c>
      <c r="M37" s="59"/>
      <c r="N37" s="95">
        <v>2.564E-2</v>
      </c>
      <c r="O37" s="109">
        <f>N37*$F$54</f>
        <v>2.5722304400000002</v>
      </c>
      <c r="P37" s="96">
        <f>P36-O37</f>
        <v>14.041930370000058</v>
      </c>
      <c r="Q37" s="94">
        <f>K37+L37-O37</f>
        <v>11517.713566137194</v>
      </c>
      <c r="R37" s="59">
        <f t="shared" si="6"/>
        <v>2879.4283915342985</v>
      </c>
      <c r="S37" s="110">
        <f>K37+L37-M37-O37-R37</f>
        <v>8638.2851746028955</v>
      </c>
      <c r="T37" s="110">
        <f>-PV($F$60,B37,,S37)</f>
        <v>0.15154394883025368</v>
      </c>
      <c r="U37" s="94">
        <f t="shared" si="7"/>
        <v>5.7587710833454042E-2</v>
      </c>
      <c r="V37" s="69">
        <f t="shared" si="10"/>
        <v>6259.6269381180409</v>
      </c>
      <c r="W37" s="112">
        <f>-PMT($F$60,B37,T37)</f>
        <v>5.7587710833454042E-2</v>
      </c>
    </row>
    <row r="38" spans="1:23" ht="25" customHeight="1" x14ac:dyDescent="0.2">
      <c r="B38" s="59">
        <v>35</v>
      </c>
      <c r="C38" s="94">
        <f>PMT($F$61,40,$F$54)</f>
        <v>-12.169301022104145</v>
      </c>
      <c r="D38" s="59"/>
      <c r="E38" s="59"/>
      <c r="F38" s="94">
        <f t="shared" si="1"/>
        <v>-60.192600000000006</v>
      </c>
      <c r="G38" s="94">
        <f t="shared" si="2"/>
        <v>-13.82</v>
      </c>
      <c r="H38" s="97">
        <f t="shared" si="3"/>
        <v>100</v>
      </c>
      <c r="I38" s="98">
        <f t="shared" si="9"/>
        <v>13317.552342239193</v>
      </c>
      <c r="J38" s="61">
        <f t="shared" si="4"/>
        <v>13417.552342239193</v>
      </c>
      <c r="K38" s="94">
        <f t="shared" si="5"/>
        <v>13331.370441217088</v>
      </c>
      <c r="L38" s="94">
        <f t="shared" si="0"/>
        <v>-74.012600000000006</v>
      </c>
      <c r="M38" s="59"/>
      <c r="N38" s="95">
        <v>2.564E-2</v>
      </c>
      <c r="O38" s="109">
        <f>N38*$F$54</f>
        <v>2.5722304400000002</v>
      </c>
      <c r="P38" s="96">
        <f>P37-O38</f>
        <v>11.469699930000058</v>
      </c>
      <c r="Q38" s="94">
        <f>K38+L38-O38</f>
        <v>13254.785610777088</v>
      </c>
      <c r="R38" s="59">
        <f t="shared" si="6"/>
        <v>3313.6964026942719</v>
      </c>
      <c r="S38" s="110">
        <f>K38+L38-M38-O38-R38</f>
        <v>9941.0892080828162</v>
      </c>
      <c r="T38" s="110">
        <f>-PV($F$60,B38,,S38)</f>
        <v>0.12637639046727095</v>
      </c>
      <c r="U38" s="94">
        <f t="shared" si="7"/>
        <v>4.8023638879492042E-2</v>
      </c>
      <c r="V38" s="69">
        <f t="shared" si="10"/>
        <v>7203.6878319440702</v>
      </c>
      <c r="W38" s="112">
        <f>-PMT($F$60,B38,T38)</f>
        <v>4.8023638879492042E-2</v>
      </c>
    </row>
    <row r="39" spans="1:23" ht="25" customHeight="1" x14ac:dyDescent="0.2">
      <c r="B39" s="59">
        <v>36</v>
      </c>
      <c r="C39" s="94">
        <f>PMT($F$61,40,$F$54)</f>
        <v>-12.169301022104145</v>
      </c>
      <c r="D39" s="59"/>
      <c r="E39" s="59"/>
      <c r="F39" s="94">
        <f t="shared" si="1"/>
        <v>-60.192600000000006</v>
      </c>
      <c r="G39" s="94">
        <f t="shared" si="2"/>
        <v>-13.82</v>
      </c>
      <c r="H39" s="97">
        <f t="shared" si="3"/>
        <v>100</v>
      </c>
      <c r="I39" s="98">
        <f t="shared" si="9"/>
        <v>15315.185193575071</v>
      </c>
      <c r="J39" s="61">
        <f t="shared" si="4"/>
        <v>15415.185193575071</v>
      </c>
      <c r="K39" s="94">
        <f t="shared" si="5"/>
        <v>15329.003292552967</v>
      </c>
      <c r="L39" s="94">
        <f t="shared" si="0"/>
        <v>-74.012600000000006</v>
      </c>
      <c r="M39" s="59"/>
      <c r="N39" s="95">
        <v>2.564E-2</v>
      </c>
      <c r="O39" s="109">
        <f>N39*$F$54</f>
        <v>2.5722304400000002</v>
      </c>
      <c r="P39" s="96">
        <f>P38-O39</f>
        <v>8.8974694900000575</v>
      </c>
      <c r="Q39" s="94">
        <f>K39+L39-O39</f>
        <v>15252.418462112966</v>
      </c>
      <c r="R39" s="59">
        <f t="shared" si="6"/>
        <v>3813.1046155282415</v>
      </c>
      <c r="S39" s="110">
        <f>K39+L39-M39-O39-R39</f>
        <v>11439.313846584724</v>
      </c>
      <c r="T39" s="110">
        <f>-PV($F$60,B39,,S39)</f>
        <v>0.10537870686914574</v>
      </c>
      <c r="U39" s="94">
        <f t="shared" si="7"/>
        <v>4.0044277497276543E-2</v>
      </c>
      <c r="V39" s="69">
        <f t="shared" si="10"/>
        <v>8289.3578598440035</v>
      </c>
      <c r="W39" s="112">
        <f>-PMT($F$60,B39,T39)</f>
        <v>4.0044277497276543E-2</v>
      </c>
    </row>
    <row r="40" spans="1:23" ht="25" customHeight="1" x14ac:dyDescent="0.2">
      <c r="B40" s="59">
        <v>37</v>
      </c>
      <c r="C40" s="94">
        <f>PMT($F$61,40,$F$54)</f>
        <v>-12.169301022104145</v>
      </c>
      <c r="D40" s="59"/>
      <c r="E40" s="59"/>
      <c r="F40" s="94">
        <f t="shared" si="1"/>
        <v>-60.192600000000006</v>
      </c>
      <c r="G40" s="94">
        <f t="shared" si="2"/>
        <v>-13.82</v>
      </c>
      <c r="H40" s="97">
        <f t="shared" si="3"/>
        <v>100</v>
      </c>
      <c r="I40" s="98">
        <f t="shared" si="9"/>
        <v>17612.462972611331</v>
      </c>
      <c r="J40" s="61">
        <f t="shared" si="4"/>
        <v>17712.462972611331</v>
      </c>
      <c r="K40" s="94">
        <f t="shared" si="5"/>
        <v>17626.281071589226</v>
      </c>
      <c r="L40" s="94">
        <f t="shared" si="0"/>
        <v>-74.012600000000006</v>
      </c>
      <c r="M40" s="59"/>
      <c r="N40" s="95">
        <v>2.564E-2</v>
      </c>
      <c r="O40" s="109">
        <f>N40*$F$54</f>
        <v>2.5722304400000002</v>
      </c>
      <c r="P40" s="96">
        <f>P39-O40</f>
        <v>6.3252390500000573</v>
      </c>
      <c r="Q40" s="94">
        <f>K40+L40-O40</f>
        <v>17549.696241149228</v>
      </c>
      <c r="R40" s="59">
        <f t="shared" si="6"/>
        <v>4387.4240602873069</v>
      </c>
      <c r="S40" s="110">
        <f>K40+L40-M40-O40-R40</f>
        <v>13162.272180861921</v>
      </c>
      <c r="T40" s="110">
        <f>-PV($F$60,B40,,S40)</f>
        <v>8.7862725395606939E-2</v>
      </c>
      <c r="U40" s="94">
        <f t="shared" si="7"/>
        <v>3.3388058527184843E-2</v>
      </c>
      <c r="V40" s="69">
        <f t="shared" si="10"/>
        <v>9537.878391928929</v>
      </c>
      <c r="W40" s="112">
        <f>-PMT($F$60,B40,T40)</f>
        <v>3.3388058527184843E-2</v>
      </c>
    </row>
    <row r="41" spans="1:23" ht="25" customHeight="1" x14ac:dyDescent="0.2">
      <c r="B41" s="59">
        <v>38</v>
      </c>
      <c r="C41" s="94">
        <f>PMT($F$61,40,$F$54)</f>
        <v>-12.169301022104145</v>
      </c>
      <c r="D41" s="59"/>
      <c r="E41" s="59"/>
      <c r="F41" s="94">
        <f t="shared" si="1"/>
        <v>-60.192600000000006</v>
      </c>
      <c r="G41" s="94">
        <f t="shared" si="2"/>
        <v>-13.82</v>
      </c>
      <c r="H41" s="97">
        <f t="shared" si="3"/>
        <v>100</v>
      </c>
      <c r="I41" s="98">
        <f t="shared" si="9"/>
        <v>20254.332418503029</v>
      </c>
      <c r="J41" s="61">
        <f t="shared" si="4"/>
        <v>20354.332418503029</v>
      </c>
      <c r="K41" s="94">
        <f t="shared" si="5"/>
        <v>20268.150517480924</v>
      </c>
      <c r="L41" s="94">
        <f t="shared" si="0"/>
        <v>-74.012600000000006</v>
      </c>
      <c r="M41" s="59"/>
      <c r="N41" s="95">
        <v>2.564E-2</v>
      </c>
      <c r="O41" s="109">
        <f>N41*$F$54</f>
        <v>2.5722304400000002</v>
      </c>
      <c r="P41" s="96">
        <f>P40-O41</f>
        <v>3.753008610000057</v>
      </c>
      <c r="Q41" s="94">
        <f>K41+L41-O41</f>
        <v>20191.565687040926</v>
      </c>
      <c r="R41" s="59">
        <f t="shared" si="6"/>
        <v>5047.8914217602314</v>
      </c>
      <c r="S41" s="110">
        <f>K41+L41-M41-O41-R41</f>
        <v>15143.674265280693</v>
      </c>
      <c r="T41" s="110">
        <f>-PV($F$60,B41,,S41)</f>
        <v>7.3253094596328588E-2</v>
      </c>
      <c r="U41" s="94">
        <f t="shared" si="7"/>
        <v>2.7836310596615003E-2</v>
      </c>
      <c r="V41" s="69">
        <f t="shared" si="10"/>
        <v>10973.677003826589</v>
      </c>
      <c r="W41" s="112">
        <f>-PMT($F$60,B41,T41)</f>
        <v>2.7836310596615003E-2</v>
      </c>
    </row>
    <row r="42" spans="1:23" ht="25" customHeight="1" x14ac:dyDescent="0.2">
      <c r="B42" s="59">
        <v>39</v>
      </c>
      <c r="C42" s="94">
        <f>PMT($F$61,40,$F$54)</f>
        <v>-12.169301022104145</v>
      </c>
      <c r="D42" s="59"/>
      <c r="E42" s="59"/>
      <c r="F42" s="94">
        <f>-$F$55</f>
        <v>-60.192600000000006</v>
      </c>
      <c r="G42" s="94">
        <f t="shared" si="2"/>
        <v>-13.82</v>
      </c>
      <c r="H42" s="97">
        <f t="shared" si="3"/>
        <v>100</v>
      </c>
      <c r="I42" s="98">
        <f t="shared" si="9"/>
        <v>23292.482281278481</v>
      </c>
      <c r="J42" s="61">
        <f t="shared" si="4"/>
        <v>23392.482281278481</v>
      </c>
      <c r="K42" s="94">
        <f t="shared" si="5"/>
        <v>23306.300380256376</v>
      </c>
      <c r="L42" s="94">
        <f t="shared" si="0"/>
        <v>-74.012600000000006</v>
      </c>
      <c r="M42" s="59"/>
      <c r="N42" s="95">
        <v>2.5600000000000001E-2</v>
      </c>
      <c r="O42" s="109">
        <f t="shared" ref="O42:O43" si="11">N42*$F$54</f>
        <v>2.5682176000000005</v>
      </c>
      <c r="P42" s="96">
        <f>P41-O42</f>
        <v>1.1847910100000565</v>
      </c>
      <c r="Q42" s="94">
        <f>K42+L42-O42</f>
        <v>23229.719562656377</v>
      </c>
      <c r="R42" s="59">
        <f t="shared" si="6"/>
        <v>5807.4298906640943</v>
      </c>
      <c r="S42" s="110">
        <f>K42+L42-M42-O42-R42</f>
        <v>17422.289671992283</v>
      </c>
      <c r="T42" s="110">
        <f>-PV($F$60,B42,,S42)</f>
        <v>6.1069007326549844E-2</v>
      </c>
      <c r="U42" s="94">
        <f t="shared" si="7"/>
        <v>2.3206304127355727E-2</v>
      </c>
      <c r="V42" s="69">
        <f t="shared" si="10"/>
        <v>12624.847588400205</v>
      </c>
      <c r="W42" s="112">
        <f>-PMT($F$60,B42,T42)</f>
        <v>2.3206304127355727E-2</v>
      </c>
    </row>
    <row r="43" spans="1:23" ht="25" customHeight="1" x14ac:dyDescent="0.2">
      <c r="B43" s="59">
        <v>40</v>
      </c>
      <c r="C43" s="94">
        <f>PMT($F$61,40,$F$54)</f>
        <v>-12.169301022104145</v>
      </c>
      <c r="D43" s="59"/>
      <c r="E43" s="59"/>
      <c r="F43" s="94">
        <f>-$F$55</f>
        <v>-60.192600000000006</v>
      </c>
      <c r="G43" s="94">
        <f t="shared" si="2"/>
        <v>-13.82</v>
      </c>
      <c r="H43" s="97">
        <f t="shared" si="3"/>
        <v>100</v>
      </c>
      <c r="I43" s="98">
        <f t="shared" ref="I43" si="12">I42*1.15</f>
        <v>26786.354623470252</v>
      </c>
      <c r="J43" s="61">
        <f t="shared" ref="J43" si="13">H43+I43</f>
        <v>26886.354623470252</v>
      </c>
      <c r="K43" s="94">
        <f t="shared" ref="K43" si="14">C43+F43+G43+J43</f>
        <v>26800.172722448147</v>
      </c>
      <c r="L43" s="94">
        <f t="shared" ref="L43" si="15">F43+G43</f>
        <v>-74.012600000000006</v>
      </c>
      <c r="M43" s="59"/>
      <c r="N43" s="95">
        <v>1.17E-2</v>
      </c>
      <c r="O43" s="109">
        <f t="shared" si="11"/>
        <v>1.1737557000000001</v>
      </c>
      <c r="P43" s="96">
        <f>P42-O43</f>
        <v>1.103531000005642E-2</v>
      </c>
      <c r="Q43" s="94">
        <f>K43+L43-O43</f>
        <v>26724.986366748148</v>
      </c>
      <c r="R43" s="59">
        <f t="shared" si="6"/>
        <v>6681.2465916870369</v>
      </c>
      <c r="S43" s="110">
        <f>K43+L43-M43-O43-R43</f>
        <v>20043.739775061113</v>
      </c>
      <c r="T43" s="110">
        <f>-PV($F$60,B43,,S43)</f>
        <v>5.0911430469607971E-2</v>
      </c>
      <c r="U43" s="94">
        <f t="shared" si="7"/>
        <v>1.9346392718608444E-2</v>
      </c>
      <c r="V43" s="69">
        <f t="shared" si="10"/>
        <v>14524.449112363127</v>
      </c>
      <c r="W43" s="112">
        <f>-PMT($F$60,B43,T43)</f>
        <v>1.9346392718608444E-2</v>
      </c>
    </row>
    <row r="44" spans="1:23" ht="25" customHeight="1" thickBot="1" x14ac:dyDescent="0.25">
      <c r="S44" s="112">
        <f>SUM(S4:S43)</f>
        <v>151565.47158077339</v>
      </c>
      <c r="T44" s="112">
        <f>SUM(T4:T43)</f>
        <v>251.50301518934597</v>
      </c>
      <c r="U44" s="113"/>
      <c r="V44" s="113">
        <f t="shared" si="10"/>
        <v>109830.05187012565</v>
      </c>
    </row>
    <row r="45" spans="1:23" ht="25" customHeight="1" x14ac:dyDescent="0.2">
      <c r="D45" s="58" t="s">
        <v>46</v>
      </c>
      <c r="E45" s="57" t="s">
        <v>80</v>
      </c>
      <c r="F45" s="87" t="s">
        <v>46</v>
      </c>
      <c r="G45" s="57"/>
      <c r="R45" s="93" t="s">
        <v>112</v>
      </c>
      <c r="S45" s="125">
        <f>AVERAGE(S4:S43)</f>
        <v>3789.1367895193348</v>
      </c>
      <c r="T45" s="112">
        <f>AVERAGE(T4:T44)</f>
        <v>12.26843976533395</v>
      </c>
      <c r="U45" s="113"/>
      <c r="V45" s="113"/>
    </row>
    <row r="46" spans="1:23" ht="25" customHeight="1" x14ac:dyDescent="0.2">
      <c r="A46" s="59">
        <v>1</v>
      </c>
      <c r="B46" s="59" t="s">
        <v>81</v>
      </c>
      <c r="C46" s="59" t="s">
        <v>82</v>
      </c>
      <c r="D46" s="60">
        <v>191000</v>
      </c>
      <c r="E46" s="71">
        <v>135000</v>
      </c>
      <c r="F46" s="99">
        <v>191000</v>
      </c>
      <c r="G46" s="79"/>
      <c r="R46" s="93" t="s">
        <v>113</v>
      </c>
      <c r="S46" s="126">
        <f>PV(F60,40,-S45)</f>
        <v>9971.3872764453481</v>
      </c>
      <c r="U46" s="113"/>
      <c r="V46" s="113"/>
    </row>
    <row r="47" spans="1:23" ht="25" customHeight="1" x14ac:dyDescent="0.2">
      <c r="A47" s="59">
        <v>2</v>
      </c>
      <c r="B47" s="59" t="s">
        <v>89</v>
      </c>
      <c r="C47" s="59" t="s">
        <v>90</v>
      </c>
      <c r="D47" s="61">
        <v>313</v>
      </c>
      <c r="E47" s="72">
        <v>250</v>
      </c>
      <c r="F47" s="100">
        <v>313</v>
      </c>
      <c r="G47" s="80"/>
      <c r="R47" s="93" t="s">
        <v>75</v>
      </c>
      <c r="S47" s="126">
        <f>PMT(F60,40,-S46)</f>
        <v>3789.1367895193339</v>
      </c>
      <c r="U47" s="113"/>
      <c r="V47" s="113"/>
    </row>
    <row r="48" spans="1:23" ht="25" customHeight="1" x14ac:dyDescent="0.2">
      <c r="A48" s="59">
        <v>3</v>
      </c>
      <c r="B48" s="59" t="s">
        <v>88</v>
      </c>
      <c r="C48" s="59" t="s">
        <v>87</v>
      </c>
      <c r="D48" s="61">
        <v>75</v>
      </c>
      <c r="E48" s="72">
        <v>75</v>
      </c>
      <c r="F48" s="100">
        <v>75</v>
      </c>
      <c r="G48" s="80"/>
      <c r="R48" s="93" t="s">
        <v>91</v>
      </c>
      <c r="S48" s="127">
        <f>IRR(S3:S43)</f>
        <v>0.37999954889695542</v>
      </c>
      <c r="U48" s="113"/>
      <c r="V48" s="113"/>
    </row>
    <row r="49" spans="1:22" ht="25" customHeight="1" x14ac:dyDescent="0.2">
      <c r="A49" s="59">
        <v>4</v>
      </c>
      <c r="B49" s="59" t="s">
        <v>86</v>
      </c>
      <c r="C49" s="59" t="s">
        <v>87</v>
      </c>
      <c r="D49" s="61">
        <v>24</v>
      </c>
      <c r="E49" s="72">
        <v>24</v>
      </c>
      <c r="F49" s="100">
        <v>24</v>
      </c>
      <c r="G49" s="80"/>
      <c r="R49" s="93" t="s">
        <v>111</v>
      </c>
      <c r="S49" s="128">
        <f>COUNTIF(S4:S43,"&lt;251")+1</f>
        <v>10</v>
      </c>
      <c r="U49" s="113"/>
      <c r="V49" s="113"/>
    </row>
    <row r="50" spans="1:22" ht="25" customHeight="1" x14ac:dyDescent="0.2">
      <c r="A50" s="59">
        <v>5</v>
      </c>
      <c r="B50" s="59" t="s">
        <v>83</v>
      </c>
      <c r="C50" s="59" t="s">
        <v>84</v>
      </c>
      <c r="D50" s="59">
        <v>200</v>
      </c>
      <c r="E50" s="73">
        <v>150</v>
      </c>
      <c r="F50" s="101">
        <v>200</v>
      </c>
      <c r="G50" s="81"/>
      <c r="U50" s="113"/>
      <c r="V50" s="113"/>
    </row>
    <row r="51" spans="1:22" ht="25" customHeight="1" x14ac:dyDescent="0.2">
      <c r="A51" s="59">
        <v>6</v>
      </c>
      <c r="B51" s="59" t="s">
        <v>85</v>
      </c>
      <c r="C51" s="59" t="s">
        <v>84</v>
      </c>
      <c r="D51" s="59">
        <v>2649008</v>
      </c>
      <c r="E51" s="71">
        <v>99100</v>
      </c>
      <c r="F51" s="99">
        <v>2649008</v>
      </c>
      <c r="G51" s="79"/>
      <c r="U51" s="113"/>
      <c r="V51" s="113"/>
    </row>
    <row r="52" spans="1:22" ht="11" customHeight="1" x14ac:dyDescent="0.2">
      <c r="A52" s="64"/>
      <c r="B52" s="64"/>
      <c r="C52" s="64"/>
      <c r="D52" s="64"/>
      <c r="E52" s="64"/>
      <c r="F52" s="102"/>
      <c r="G52" s="64"/>
    </row>
    <row r="53" spans="1:22" ht="25" customHeight="1" x14ac:dyDescent="0.2">
      <c r="A53" s="59">
        <v>1</v>
      </c>
      <c r="B53" s="62" t="s">
        <v>7</v>
      </c>
      <c r="C53" s="59" t="s">
        <v>97</v>
      </c>
      <c r="D53" s="63">
        <f>(D46*D47)*1.3</f>
        <v>77717900</v>
      </c>
      <c r="E53" s="74">
        <f>(E46*E47)*1.3</f>
        <v>43875000</v>
      </c>
      <c r="F53" s="103">
        <v>77.17</v>
      </c>
      <c r="G53" s="82"/>
    </row>
    <row r="54" spans="1:22" ht="34" x14ac:dyDescent="0.2">
      <c r="A54" s="59">
        <v>2</v>
      </c>
      <c r="B54" s="70" t="s">
        <v>96</v>
      </c>
      <c r="C54" s="59" t="s">
        <v>97</v>
      </c>
      <c r="D54" s="61">
        <f>D53*1.3</f>
        <v>101033270</v>
      </c>
      <c r="E54" s="72">
        <f>E53*1.3</f>
        <v>57037500</v>
      </c>
      <c r="F54" s="104">
        <f>F53*1.3</f>
        <v>100.32100000000001</v>
      </c>
      <c r="G54" s="83"/>
    </row>
    <row r="55" spans="1:22" ht="25" customHeight="1" x14ac:dyDescent="0.2">
      <c r="A55" s="59">
        <v>3</v>
      </c>
      <c r="B55" s="59" t="s">
        <v>9</v>
      </c>
      <c r="C55" s="59" t="s">
        <v>97</v>
      </c>
      <c r="D55" s="65">
        <f>D54/2</f>
        <v>50516635</v>
      </c>
      <c r="E55" s="75">
        <f t="shared" ref="E55" si="16">E54/2</f>
        <v>28518750</v>
      </c>
      <c r="F55" s="105">
        <f>F54/2*1.2</f>
        <v>60.192600000000006</v>
      </c>
      <c r="G55" s="82"/>
    </row>
    <row r="56" spans="1:22" ht="25" customHeight="1" x14ac:dyDescent="0.2">
      <c r="A56" s="59"/>
      <c r="B56" s="59" t="s">
        <v>11</v>
      </c>
      <c r="C56" s="59" t="s">
        <v>97</v>
      </c>
      <c r="D56" s="88"/>
      <c r="E56" s="75"/>
      <c r="F56" s="106">
        <f>F49*F50*60*4*12</f>
        <v>13824000</v>
      </c>
      <c r="G56" s="89"/>
    </row>
    <row r="57" spans="1:22" ht="25" customHeight="1" x14ac:dyDescent="0.2">
      <c r="A57" s="59"/>
      <c r="B57" s="59"/>
      <c r="C57" s="59"/>
      <c r="D57" s="88"/>
      <c r="E57" s="75"/>
      <c r="F57" s="105">
        <v>13.82</v>
      </c>
      <c r="G57" s="90"/>
    </row>
    <row r="58" spans="1:22" ht="25" customHeight="1" x14ac:dyDescent="0.2">
      <c r="A58" s="59"/>
      <c r="B58" s="59" t="s">
        <v>16</v>
      </c>
      <c r="C58" s="59" t="s">
        <v>97</v>
      </c>
      <c r="D58" s="91"/>
      <c r="E58" s="73"/>
      <c r="F58" s="101">
        <v>100</v>
      </c>
      <c r="G58" s="81"/>
    </row>
    <row r="59" spans="1:22" ht="25" customHeight="1" x14ac:dyDescent="0.2">
      <c r="A59" s="59"/>
      <c r="B59" s="59"/>
      <c r="C59" s="59" t="s">
        <v>94</v>
      </c>
      <c r="D59" s="59"/>
      <c r="E59" s="73"/>
      <c r="F59" s="101">
        <f>F58*1.15</f>
        <v>114.99999999999999</v>
      </c>
      <c r="G59" s="92"/>
    </row>
    <row r="60" spans="1:22" ht="25" customHeight="1" x14ac:dyDescent="0.2">
      <c r="A60" s="59">
        <v>5</v>
      </c>
      <c r="B60" s="59" t="s">
        <v>50</v>
      </c>
      <c r="C60" s="59" t="s">
        <v>36</v>
      </c>
      <c r="D60" s="66">
        <v>0.14000000000000001</v>
      </c>
      <c r="E60" s="76">
        <v>0.14000000000000001</v>
      </c>
      <c r="F60" s="107">
        <v>0.38</v>
      </c>
      <c r="G60" s="84"/>
    </row>
    <row r="61" spans="1:22" ht="25" customHeight="1" x14ac:dyDescent="0.2">
      <c r="A61" s="59">
        <v>6</v>
      </c>
      <c r="B61" s="59" t="s">
        <v>91</v>
      </c>
      <c r="C61" s="59" t="s">
        <v>36</v>
      </c>
      <c r="D61" s="68">
        <v>0.12</v>
      </c>
      <c r="E61" s="77">
        <v>0.12</v>
      </c>
      <c r="F61" s="108">
        <v>0.12</v>
      </c>
      <c r="G61" s="85"/>
    </row>
    <row r="62" spans="1:22" ht="25" customHeight="1" x14ac:dyDescent="0.2">
      <c r="A62" s="59">
        <v>7</v>
      </c>
      <c r="B62" s="59" t="s">
        <v>59</v>
      </c>
      <c r="C62" s="59" t="s">
        <v>36</v>
      </c>
      <c r="D62" s="67">
        <v>0.25</v>
      </c>
      <c r="E62" s="78">
        <v>0.25</v>
      </c>
      <c r="F62" s="117">
        <v>0.25</v>
      </c>
      <c r="G62" s="86"/>
    </row>
    <row r="63" spans="1:22" ht="25" customHeight="1" x14ac:dyDescent="0.2">
      <c r="A63" s="59">
        <v>8</v>
      </c>
      <c r="B63" s="59" t="s">
        <v>92</v>
      </c>
      <c r="C63" s="59" t="s">
        <v>93</v>
      </c>
      <c r="D63" s="59">
        <v>40</v>
      </c>
      <c r="E63" s="73">
        <v>40</v>
      </c>
      <c r="F63" s="101">
        <v>40</v>
      </c>
      <c r="G63" s="81"/>
    </row>
  </sheetData>
  <sortState xmlns:xlrd2="http://schemas.microsoft.com/office/spreadsheetml/2017/richdata2" ref="A53:E63">
    <sortCondition ref="A53:A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073B-301E-BC4B-BCE4-CF4D2235CEBD}">
  <sheetPr>
    <tabColor rgb="FF00B050"/>
  </sheetPr>
  <dimension ref="A1:Y63"/>
  <sheetViews>
    <sheetView zoomScale="15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S1" sqref="S1:S1048576"/>
    </sheetView>
  </sheetViews>
  <sheetFormatPr baseColWidth="10" defaultColWidth="15.83203125" defaultRowHeight="25" customHeight="1" x14ac:dyDescent="0.2"/>
  <cols>
    <col min="1" max="1" width="6" style="56" customWidth="1"/>
    <col min="2" max="2" width="15.83203125" style="56"/>
    <col min="3" max="3" width="17.1640625" style="56" bestFit="1" customWidth="1"/>
    <col min="4" max="5" width="15.83203125" style="56" hidden="1" customWidth="1"/>
    <col min="6" max="6" width="19.1640625" style="56" bestFit="1" customWidth="1"/>
    <col min="7" max="18" width="15.83203125" style="56"/>
    <col min="19" max="20" width="24.6640625" style="56" customWidth="1"/>
    <col min="21" max="21" width="20.33203125" style="56" customWidth="1"/>
    <col min="22" max="22" width="18.5" style="56" bestFit="1" customWidth="1"/>
    <col min="23" max="16384" width="15.83203125" style="56"/>
  </cols>
  <sheetData>
    <row r="1" spans="2:25" ht="25" customHeight="1" x14ac:dyDescent="0.2">
      <c r="B1" s="119" t="s">
        <v>95</v>
      </c>
      <c r="F1" s="114"/>
      <c r="G1" s="115"/>
      <c r="H1" s="115"/>
      <c r="I1" s="118">
        <v>0.15</v>
      </c>
      <c r="J1" s="115"/>
      <c r="K1" s="115"/>
      <c r="L1" s="115"/>
      <c r="M1" s="115"/>
      <c r="N1" s="115"/>
      <c r="O1" s="115" t="s">
        <v>101</v>
      </c>
      <c r="P1" s="115" t="s">
        <v>103</v>
      </c>
      <c r="Q1" s="115" t="s">
        <v>104</v>
      </c>
      <c r="R1" s="116">
        <v>0.25</v>
      </c>
      <c r="S1" s="115" t="s">
        <v>107</v>
      </c>
      <c r="T1" s="123"/>
      <c r="U1" s="123"/>
      <c r="V1" s="124" t="s">
        <v>106</v>
      </c>
      <c r="W1" s="123"/>
      <c r="X1" s="123"/>
    </row>
    <row r="2" spans="2:25" ht="34" x14ac:dyDescent="0.2">
      <c r="B2" s="120" t="s">
        <v>79</v>
      </c>
      <c r="C2" s="120" t="s">
        <v>7</v>
      </c>
      <c r="D2" s="121"/>
      <c r="E2" s="120"/>
      <c r="F2" s="120" t="s">
        <v>24</v>
      </c>
      <c r="G2" s="120" t="s">
        <v>11</v>
      </c>
      <c r="H2" s="120" t="s">
        <v>25</v>
      </c>
      <c r="I2" s="120" t="s">
        <v>98</v>
      </c>
      <c r="J2" s="120" t="s">
        <v>28</v>
      </c>
      <c r="K2" s="120" t="s">
        <v>29</v>
      </c>
      <c r="L2" s="122" t="s">
        <v>99</v>
      </c>
      <c r="M2" s="120" t="s">
        <v>65</v>
      </c>
      <c r="N2" s="120" t="s">
        <v>66</v>
      </c>
      <c r="O2" s="120" t="s">
        <v>102</v>
      </c>
      <c r="P2" s="120" t="s">
        <v>100</v>
      </c>
      <c r="Q2" s="120" t="s">
        <v>69</v>
      </c>
      <c r="R2" s="120" t="s">
        <v>70</v>
      </c>
      <c r="S2" s="120" t="s">
        <v>60</v>
      </c>
      <c r="T2" s="93" t="s">
        <v>108</v>
      </c>
      <c r="U2" s="93" t="s">
        <v>105</v>
      </c>
      <c r="V2" s="55" t="s">
        <v>105</v>
      </c>
      <c r="Y2" s="56" t="s">
        <v>111</v>
      </c>
    </row>
    <row r="3" spans="2:25" ht="25" customHeight="1" x14ac:dyDescent="0.2">
      <c r="B3" s="59">
        <v>0</v>
      </c>
      <c r="C3" s="94">
        <f>-F54</f>
        <v>-57.044000000000004</v>
      </c>
      <c r="D3" s="59"/>
      <c r="E3" s="59"/>
      <c r="F3" s="94">
        <f>PV($F$61,40,$F$48)</f>
        <v>-142.85702714786461</v>
      </c>
      <c r="G3" s="59"/>
      <c r="H3" s="59"/>
      <c r="I3" s="59"/>
      <c r="J3" s="94">
        <f>NPV($F$61,J4:J42)</f>
        <v>464.73474967024151</v>
      </c>
      <c r="K3" s="94">
        <f>C3+F3+G3+J3</f>
        <v>264.83372252237689</v>
      </c>
      <c r="L3" s="94">
        <f>F3+G3</f>
        <v>-142.85702714786461</v>
      </c>
      <c r="M3" s="59"/>
      <c r="N3" s="111"/>
      <c r="O3" s="96"/>
      <c r="P3" s="96"/>
      <c r="Q3" s="94">
        <f>K3+L3-O3</f>
        <v>121.97669537451227</v>
      </c>
      <c r="R3" s="94">
        <f>Q3*$F$62</f>
        <v>30.494173843628069</v>
      </c>
      <c r="S3" s="110">
        <f>-(F54+F53+F55+F57)</f>
        <v>-145.51839999999999</v>
      </c>
      <c r="T3" s="110">
        <f>-PV($F$60,B3,,S3)</f>
        <v>-145.51839999999999</v>
      </c>
      <c r="U3" s="94"/>
      <c r="V3" s="55" t="s">
        <v>109</v>
      </c>
      <c r="W3" s="56" t="s">
        <v>110</v>
      </c>
    </row>
    <row r="4" spans="2:25" ht="25" customHeight="1" x14ac:dyDescent="0.2">
      <c r="B4" s="59">
        <v>1</v>
      </c>
      <c r="C4" s="94">
        <f>PMT($F$61,40,$F$54)</f>
        <v>-23.958499405544721</v>
      </c>
      <c r="D4" s="59"/>
      <c r="E4" s="59"/>
      <c r="F4" s="94">
        <f>-$F$55</f>
        <v>-34.226399999999998</v>
      </c>
      <c r="G4" s="94">
        <f>-$F$57</f>
        <v>-10.368</v>
      </c>
      <c r="H4" s="97">
        <f>$F$58</f>
        <v>70</v>
      </c>
      <c r="I4" s="98">
        <f>H4*1.15</f>
        <v>80.5</v>
      </c>
      <c r="J4" s="61">
        <f>H4+I4</f>
        <v>150.5</v>
      </c>
      <c r="K4" s="94">
        <f>C4+F4+G4+J4</f>
        <v>81.947100594455279</v>
      </c>
      <c r="L4" s="94">
        <f t="shared" ref="L4:L43" si="0">F4+G4</f>
        <v>-44.5944</v>
      </c>
      <c r="M4" s="59"/>
      <c r="N4" s="95">
        <v>1.391E-2</v>
      </c>
      <c r="O4" s="109">
        <f>N4*$F$54</f>
        <v>0.79348204000000011</v>
      </c>
      <c r="P4" s="96">
        <f>$F$54-O4</f>
        <v>56.250517960000003</v>
      </c>
      <c r="Q4" s="94">
        <f>K4+L4-O4</f>
        <v>36.559218554455278</v>
      </c>
      <c r="R4" s="94">
        <f>Q4*$F$62</f>
        <v>9.1398046386138194</v>
      </c>
      <c r="S4" s="110">
        <f>K4+L4-M4-O4-R4</f>
        <v>27.41941391584146</v>
      </c>
      <c r="T4" s="110">
        <f>-PV($F$60,B4,,S4)</f>
        <v>24.052117470036364</v>
      </c>
      <c r="U4" s="94">
        <f>-PMT($F$60,B4,T4)</f>
        <v>27.419413915841453</v>
      </c>
      <c r="V4" s="69">
        <f>NPV($F$60,S4)</f>
        <v>24.052117470036364</v>
      </c>
      <c r="W4" s="112">
        <f>-PMT($F$60,B4,T4)</f>
        <v>27.419413915841453</v>
      </c>
      <c r="X4" s="69">
        <f>-PMT($F$60,40,$T$45)</f>
        <v>15.703424139836253</v>
      </c>
    </row>
    <row r="5" spans="2:25" ht="25" customHeight="1" x14ac:dyDescent="0.2">
      <c r="B5" s="59">
        <v>2</v>
      </c>
      <c r="C5" s="94">
        <f>PMT($F$61,40,$F$54)</f>
        <v>-23.958499405544721</v>
      </c>
      <c r="D5" s="59"/>
      <c r="E5" s="59"/>
      <c r="F5" s="94">
        <f t="shared" ref="F5:F41" si="1">-$F$55</f>
        <v>-34.226399999999998</v>
      </c>
      <c r="G5" s="94">
        <f t="shared" ref="G5:G43" si="2">-$F$57</f>
        <v>-10.368</v>
      </c>
      <c r="H5" s="97">
        <f t="shared" ref="H5:H43" si="3">$F$58</f>
        <v>70</v>
      </c>
      <c r="I5" s="98">
        <f>I4*1.15</f>
        <v>92.574999999999989</v>
      </c>
      <c r="J5" s="61">
        <f t="shared" ref="J5:J43" si="4">H5+I5</f>
        <v>162.57499999999999</v>
      </c>
      <c r="K5" s="94">
        <f t="shared" ref="K5:K43" si="5">C5+F5+G5+J5</f>
        <v>94.022100594455267</v>
      </c>
      <c r="L5" s="94">
        <f t="shared" si="0"/>
        <v>-44.5944</v>
      </c>
      <c r="M5" s="59"/>
      <c r="N5" s="95">
        <v>2.564E-2</v>
      </c>
      <c r="O5" s="109">
        <f>N5*$F$54</f>
        <v>1.46260816</v>
      </c>
      <c r="P5" s="96">
        <f>P4-O5</f>
        <v>54.787909800000001</v>
      </c>
      <c r="Q5" s="94">
        <f>K5+L5-O5</f>
        <v>47.965092434455265</v>
      </c>
      <c r="R5" s="59">
        <f t="shared" ref="R5:R43" si="6">Q5*$F$62</f>
        <v>11.991273108613816</v>
      </c>
      <c r="S5" s="110">
        <f>K5+L5-M5-O5-R5</f>
        <v>35.973819325841447</v>
      </c>
      <c r="T5" s="110">
        <f>-PV($F$60,B5,,S5)</f>
        <v>27.680685846292274</v>
      </c>
      <c r="U5" s="94">
        <f t="shared" ref="U5:U43" si="7">-PMT($F$60,B5,T5)</f>
        <v>16.810195946654879</v>
      </c>
      <c r="V5" s="69">
        <f>NPV($F$60,S5)</f>
        <v>31.555981864773194</v>
      </c>
      <c r="W5" s="112">
        <f>-PMT($F$60,B5,T5)</f>
        <v>16.810195946654879</v>
      </c>
      <c r="X5" s="69">
        <f t="shared" ref="X5:X12" si="8">-PMT($F$60,40,$T$45)</f>
        <v>15.703424139836253</v>
      </c>
    </row>
    <row r="6" spans="2:25" ht="25" customHeight="1" x14ac:dyDescent="0.2">
      <c r="B6" s="59">
        <v>3</v>
      </c>
      <c r="C6" s="94">
        <f>PMT($F$61,40,$F$54)</f>
        <v>-23.958499405544721</v>
      </c>
      <c r="D6" s="59"/>
      <c r="E6" s="59"/>
      <c r="F6" s="94">
        <f t="shared" si="1"/>
        <v>-34.226399999999998</v>
      </c>
      <c r="G6" s="94">
        <f t="shared" si="2"/>
        <v>-10.368</v>
      </c>
      <c r="H6" s="97">
        <f t="shared" si="3"/>
        <v>70</v>
      </c>
      <c r="I6" s="98">
        <f t="shared" ref="I6:I43" si="9">I5*1.15</f>
        <v>106.46124999999998</v>
      </c>
      <c r="J6" s="61">
        <f t="shared" si="4"/>
        <v>176.46124999999998</v>
      </c>
      <c r="K6" s="94">
        <f t="shared" si="5"/>
        <v>107.90835059445526</v>
      </c>
      <c r="L6" s="94">
        <f t="shared" si="0"/>
        <v>-44.5944</v>
      </c>
      <c r="M6" s="59"/>
      <c r="N6" s="95">
        <v>2.564E-2</v>
      </c>
      <c r="O6" s="109">
        <f>N6*$F$54</f>
        <v>1.46260816</v>
      </c>
      <c r="P6" s="96">
        <f>P5-O6</f>
        <v>53.325301639999999</v>
      </c>
      <c r="Q6" s="94">
        <f>K6+L6-O6</f>
        <v>61.851342434455255</v>
      </c>
      <c r="R6" s="59">
        <f t="shared" si="6"/>
        <v>15.462835608613814</v>
      </c>
      <c r="S6" s="110">
        <f>K6+L6-M6-O6-R6</f>
        <v>46.388506825841439</v>
      </c>
      <c r="T6" s="110">
        <f>-PV($F$60,B6,,S6)</f>
        <v>31.310920786585768</v>
      </c>
      <c r="U6" s="94">
        <f t="shared" si="7"/>
        <v>13.486599263240326</v>
      </c>
      <c r="V6" s="69">
        <f t="shared" ref="V6:V44" si="10">NPV($F$60,S6)</f>
        <v>40.691672654246872</v>
      </c>
      <c r="W6" s="112">
        <f>-PMT($F$60,B6,T6)</f>
        <v>13.486599263240326</v>
      </c>
      <c r="X6" s="69">
        <f t="shared" si="8"/>
        <v>15.703424139836253</v>
      </c>
    </row>
    <row r="7" spans="2:25" ht="25" customHeight="1" x14ac:dyDescent="0.2">
      <c r="B7" s="59">
        <v>4</v>
      </c>
      <c r="C7" s="94">
        <f>PMT($F$61,40,$F$54)</f>
        <v>-23.958499405544721</v>
      </c>
      <c r="D7" s="59"/>
      <c r="E7" s="59"/>
      <c r="F7" s="94">
        <f t="shared" si="1"/>
        <v>-34.226399999999998</v>
      </c>
      <c r="G7" s="94">
        <f t="shared" si="2"/>
        <v>-10.368</v>
      </c>
      <c r="H7" s="97">
        <f t="shared" si="3"/>
        <v>70</v>
      </c>
      <c r="I7" s="98">
        <f t="shared" si="9"/>
        <v>122.43043749999997</v>
      </c>
      <c r="J7" s="61">
        <f t="shared" si="4"/>
        <v>192.43043749999998</v>
      </c>
      <c r="K7" s="94">
        <f t="shared" si="5"/>
        <v>123.87753809445526</v>
      </c>
      <c r="L7" s="94">
        <f t="shared" si="0"/>
        <v>-44.5944</v>
      </c>
      <c r="M7" s="59"/>
      <c r="N7" s="95">
        <v>2.564E-2</v>
      </c>
      <c r="O7" s="109">
        <f>N7*$F$54</f>
        <v>1.46260816</v>
      </c>
      <c r="P7" s="96">
        <f>P6-O7</f>
        <v>51.862693479999997</v>
      </c>
      <c r="Q7" s="94">
        <f>K7+L7-O7</f>
        <v>77.820529934455266</v>
      </c>
      <c r="R7" s="59">
        <f t="shared" si="6"/>
        <v>19.455132483613816</v>
      </c>
      <c r="S7" s="110">
        <f>K7+L7-M7-O7-R7</f>
        <v>58.365397450841449</v>
      </c>
      <c r="T7" s="110">
        <f>-PV($F$60,B7,,S7)</f>
        <v>34.557000711515549</v>
      </c>
      <c r="U7" s="94">
        <f t="shared" si="7"/>
        <v>11.860127939934578</v>
      </c>
      <c r="V7" s="69">
        <f t="shared" si="10"/>
        <v>51.197717062141614</v>
      </c>
      <c r="W7" s="112">
        <f>-PMT($F$60,B7,T7)</f>
        <v>11.860127939934578</v>
      </c>
      <c r="X7" s="69">
        <f t="shared" si="8"/>
        <v>15.703424139836253</v>
      </c>
    </row>
    <row r="8" spans="2:25" ht="25" customHeight="1" x14ac:dyDescent="0.2">
      <c r="B8" s="59">
        <v>5</v>
      </c>
      <c r="C8" s="94">
        <f>PMT($F$61,40,$F$54)</f>
        <v>-23.958499405544721</v>
      </c>
      <c r="D8" s="59"/>
      <c r="E8" s="59"/>
      <c r="F8" s="94">
        <f t="shared" si="1"/>
        <v>-34.226399999999998</v>
      </c>
      <c r="G8" s="94">
        <f t="shared" si="2"/>
        <v>-10.368</v>
      </c>
      <c r="H8" s="97">
        <f t="shared" si="3"/>
        <v>70</v>
      </c>
      <c r="I8" s="98">
        <f t="shared" si="9"/>
        <v>140.79500312499997</v>
      </c>
      <c r="J8" s="61">
        <f t="shared" si="4"/>
        <v>210.79500312499997</v>
      </c>
      <c r="K8" s="94">
        <f t="shared" si="5"/>
        <v>142.24210371945526</v>
      </c>
      <c r="L8" s="94">
        <f t="shared" si="0"/>
        <v>-44.5944</v>
      </c>
      <c r="M8" s="59"/>
      <c r="N8" s="95">
        <v>2.564E-2</v>
      </c>
      <c r="O8" s="109">
        <f>N8*$F$54</f>
        <v>1.46260816</v>
      </c>
      <c r="P8" s="96">
        <f>P7-O8</f>
        <v>50.400085319999995</v>
      </c>
      <c r="Q8" s="94">
        <f>K8+L8-O8</f>
        <v>96.185095559455249</v>
      </c>
      <c r="R8" s="59">
        <f t="shared" si="6"/>
        <v>24.046273889863812</v>
      </c>
      <c r="S8" s="110">
        <f>K8+L8-M8-O8-R8</f>
        <v>72.138821669591437</v>
      </c>
      <c r="T8" s="110">
        <f>-PV($F$60,B8,,S8)</f>
        <v>37.466643459026599</v>
      </c>
      <c r="U8" s="94">
        <f t="shared" si="7"/>
        <v>10.913416781860724</v>
      </c>
      <c r="V8" s="69">
        <f t="shared" si="10"/>
        <v>63.279668131220554</v>
      </c>
      <c r="W8" s="112">
        <f>-PMT($F$60,B8,T8)</f>
        <v>10.913416781860724</v>
      </c>
      <c r="X8" s="69">
        <f t="shared" si="8"/>
        <v>15.703424139836253</v>
      </c>
    </row>
    <row r="9" spans="2:25" ht="25" customHeight="1" x14ac:dyDescent="0.2">
      <c r="B9" s="59">
        <v>6</v>
      </c>
      <c r="C9" s="94">
        <f>PMT($F$61,40,$F$54)</f>
        <v>-23.958499405544721</v>
      </c>
      <c r="D9" s="59"/>
      <c r="E9" s="59"/>
      <c r="F9" s="94">
        <f t="shared" si="1"/>
        <v>-34.226399999999998</v>
      </c>
      <c r="G9" s="94">
        <f t="shared" si="2"/>
        <v>-10.368</v>
      </c>
      <c r="H9" s="97">
        <f t="shared" si="3"/>
        <v>70</v>
      </c>
      <c r="I9" s="98">
        <f t="shared" si="9"/>
        <v>161.91425359374995</v>
      </c>
      <c r="J9" s="61">
        <f t="shared" si="4"/>
        <v>231.91425359374995</v>
      </c>
      <c r="K9" s="94">
        <f t="shared" si="5"/>
        <v>163.36135418820521</v>
      </c>
      <c r="L9" s="94">
        <f t="shared" si="0"/>
        <v>-44.5944</v>
      </c>
      <c r="M9" s="59"/>
      <c r="N9" s="95">
        <v>2.564E-2</v>
      </c>
      <c r="O9" s="109">
        <f>N9*$F$54</f>
        <v>1.46260816</v>
      </c>
      <c r="P9" s="96">
        <f>P8-O9</f>
        <v>48.937477159999993</v>
      </c>
      <c r="Q9" s="94">
        <f>K9+L9-O9</f>
        <v>117.3043460282052</v>
      </c>
      <c r="R9" s="59">
        <f t="shared" si="6"/>
        <v>29.326086507051301</v>
      </c>
      <c r="S9" s="110">
        <f>K9+L9-M9-O9-R9</f>
        <v>87.978259521153902</v>
      </c>
      <c r="T9" s="110">
        <f>-PV($F$60,B9,,S9)</f>
        <v>40.08171152649377</v>
      </c>
      <c r="U9" s="94">
        <f t="shared" si="7"/>
        <v>10.307312557832459</v>
      </c>
      <c r="V9" s="69">
        <f t="shared" si="10"/>
        <v>77.173911860661306</v>
      </c>
      <c r="W9" s="112">
        <f>-PMT($F$60,B9,T9)</f>
        <v>10.307312557832459</v>
      </c>
      <c r="X9" s="69">
        <f t="shared" si="8"/>
        <v>15.703424139836253</v>
      </c>
    </row>
    <row r="10" spans="2:25" ht="25" customHeight="1" x14ac:dyDescent="0.2">
      <c r="B10" s="59">
        <v>7</v>
      </c>
      <c r="C10" s="94">
        <f>PMT($F$61,40,$F$54)</f>
        <v>-23.958499405544721</v>
      </c>
      <c r="D10" s="59"/>
      <c r="E10" s="59"/>
      <c r="F10" s="94">
        <f t="shared" si="1"/>
        <v>-34.226399999999998</v>
      </c>
      <c r="G10" s="94">
        <f t="shared" si="2"/>
        <v>-10.368</v>
      </c>
      <c r="H10" s="97">
        <f t="shared" si="3"/>
        <v>70</v>
      </c>
      <c r="I10" s="98">
        <f t="shared" si="9"/>
        <v>186.20139163281243</v>
      </c>
      <c r="J10" s="61">
        <f t="shared" si="4"/>
        <v>256.20139163281243</v>
      </c>
      <c r="K10" s="94">
        <f t="shared" si="5"/>
        <v>187.6484922272677</v>
      </c>
      <c r="L10" s="94">
        <f t="shared" si="0"/>
        <v>-44.5944</v>
      </c>
      <c r="M10" s="59"/>
      <c r="N10" s="95">
        <v>2.564E-2</v>
      </c>
      <c r="O10" s="109">
        <f>N10*$F$54</f>
        <v>1.46260816</v>
      </c>
      <c r="P10" s="96">
        <f>P9-O10</f>
        <v>47.474868999999991</v>
      </c>
      <c r="Q10" s="94">
        <f>K10+L10-O10</f>
        <v>141.59148406726769</v>
      </c>
      <c r="R10" s="59">
        <f t="shared" si="6"/>
        <v>35.397871016816921</v>
      </c>
      <c r="S10" s="110">
        <f>K10+L10-M10-O10-R10</f>
        <v>106.19361305045076</v>
      </c>
      <c r="T10" s="110">
        <f>-PV($F$60,B10,,S10)</f>
        <v>42.43893118925488</v>
      </c>
      <c r="U10" s="94">
        <f t="shared" si="7"/>
        <v>9.8964352539907239</v>
      </c>
      <c r="V10" s="69">
        <f t="shared" si="10"/>
        <v>93.152292149518203</v>
      </c>
      <c r="W10" s="112">
        <f>-PMT($F$60,B10,T10)</f>
        <v>9.8964352539907239</v>
      </c>
      <c r="X10" s="69">
        <f t="shared" si="8"/>
        <v>15.703424139836253</v>
      </c>
    </row>
    <row r="11" spans="2:25" ht="25" customHeight="1" x14ac:dyDescent="0.2">
      <c r="B11" s="59">
        <v>8</v>
      </c>
      <c r="C11" s="94">
        <f>PMT($F$61,40,$F$54)</f>
        <v>-23.958499405544721</v>
      </c>
      <c r="D11" s="59"/>
      <c r="E11" s="59"/>
      <c r="F11" s="94">
        <f t="shared" si="1"/>
        <v>-34.226399999999998</v>
      </c>
      <c r="G11" s="94">
        <f t="shared" si="2"/>
        <v>-10.368</v>
      </c>
      <c r="H11" s="97">
        <f t="shared" si="3"/>
        <v>70</v>
      </c>
      <c r="I11" s="98">
        <f t="shared" si="9"/>
        <v>214.13160037773429</v>
      </c>
      <c r="J11" s="61">
        <f t="shared" si="4"/>
        <v>284.13160037773429</v>
      </c>
      <c r="K11" s="94">
        <f t="shared" si="5"/>
        <v>215.57870097218955</v>
      </c>
      <c r="L11" s="94">
        <f t="shared" si="0"/>
        <v>-44.5944</v>
      </c>
      <c r="M11" s="59"/>
      <c r="N11" s="95">
        <v>2.564E-2</v>
      </c>
      <c r="O11" s="109">
        <f>N11*$F$54</f>
        <v>1.46260816</v>
      </c>
      <c r="P11" s="96">
        <f>P10-O11</f>
        <v>46.012260839999989</v>
      </c>
      <c r="Q11" s="94">
        <f>K11+L11-O11</f>
        <v>169.52169281218954</v>
      </c>
      <c r="R11" s="59">
        <f t="shared" si="6"/>
        <v>42.380423203047386</v>
      </c>
      <c r="S11" s="110">
        <f>K11+L11-M11-O11-R11</f>
        <v>127.14126960914216</v>
      </c>
      <c r="T11" s="110">
        <f>-PV($F$60,B11,,S11)</f>
        <v>44.57052330670659</v>
      </c>
      <c r="U11" s="94">
        <f t="shared" si="7"/>
        <v>9.6080687698325242</v>
      </c>
      <c r="V11" s="69">
        <f t="shared" si="10"/>
        <v>111.52742948170363</v>
      </c>
      <c r="W11" s="112">
        <f>-PMT($F$60,B11,T11)</f>
        <v>9.6080687698325242</v>
      </c>
      <c r="X11" s="69">
        <f t="shared" si="8"/>
        <v>15.703424139836253</v>
      </c>
    </row>
    <row r="12" spans="2:25" ht="25" customHeight="1" x14ac:dyDescent="0.2">
      <c r="B12" s="59">
        <v>9</v>
      </c>
      <c r="C12" s="94">
        <f>PMT($F$61,40,$F$54)</f>
        <v>-23.958499405544721</v>
      </c>
      <c r="D12" s="59"/>
      <c r="E12" s="59"/>
      <c r="F12" s="94">
        <f t="shared" si="1"/>
        <v>-34.226399999999998</v>
      </c>
      <c r="G12" s="94">
        <f t="shared" si="2"/>
        <v>-10.368</v>
      </c>
      <c r="H12" s="97">
        <f t="shared" si="3"/>
        <v>70</v>
      </c>
      <c r="I12" s="98">
        <f t="shared" si="9"/>
        <v>246.25134043439442</v>
      </c>
      <c r="J12" s="61">
        <f t="shared" si="4"/>
        <v>316.25134043439442</v>
      </c>
      <c r="K12" s="94">
        <f t="shared" si="5"/>
        <v>247.69844102884969</v>
      </c>
      <c r="L12" s="94">
        <f t="shared" si="0"/>
        <v>-44.5944</v>
      </c>
      <c r="M12" s="59"/>
      <c r="N12" s="95">
        <v>2.564E-2</v>
      </c>
      <c r="O12" s="109">
        <f>N12*$F$54</f>
        <v>1.46260816</v>
      </c>
      <c r="P12" s="96">
        <f>P11-O12</f>
        <v>44.549652679999987</v>
      </c>
      <c r="Q12" s="94">
        <f>K12+L12-O12</f>
        <v>201.64143286884968</v>
      </c>
      <c r="R12" s="59">
        <f t="shared" si="6"/>
        <v>50.410358217212419</v>
      </c>
      <c r="S12" s="110">
        <f>K12+L12-M12-O12-R12</f>
        <v>151.23107465163724</v>
      </c>
      <c r="T12" s="110">
        <f>-PV($F$60,B12,,S12)</f>
        <v>46.504756661353284</v>
      </c>
      <c r="U12" s="94">
        <f t="shared" si="7"/>
        <v>9.4017914940412268</v>
      </c>
      <c r="V12" s="69">
        <f t="shared" si="10"/>
        <v>132.65883741371687</v>
      </c>
      <c r="W12" s="112">
        <f>-PMT($F$60,B12,T12)</f>
        <v>9.4017914940412268</v>
      </c>
      <c r="X12" s="69">
        <f t="shared" si="8"/>
        <v>15.703424139836253</v>
      </c>
    </row>
    <row r="13" spans="2:25" ht="25" customHeight="1" x14ac:dyDescent="0.2">
      <c r="B13" s="59">
        <v>10</v>
      </c>
      <c r="C13" s="94">
        <f>PMT($F$61,40,$F$54)</f>
        <v>-23.958499405544721</v>
      </c>
      <c r="D13" s="59"/>
      <c r="E13" s="59"/>
      <c r="F13" s="94">
        <f t="shared" si="1"/>
        <v>-34.226399999999998</v>
      </c>
      <c r="G13" s="94">
        <f t="shared" si="2"/>
        <v>-10.368</v>
      </c>
      <c r="H13" s="97">
        <f t="shared" si="3"/>
        <v>70</v>
      </c>
      <c r="I13" s="98">
        <f t="shared" si="9"/>
        <v>283.18904149955358</v>
      </c>
      <c r="J13" s="61">
        <f t="shared" si="4"/>
        <v>353.18904149955358</v>
      </c>
      <c r="K13" s="94">
        <f t="shared" si="5"/>
        <v>284.63614209400885</v>
      </c>
      <c r="L13" s="94">
        <f t="shared" si="0"/>
        <v>-44.5944</v>
      </c>
      <c r="M13" s="59"/>
      <c r="N13" s="95">
        <v>2.564E-2</v>
      </c>
      <c r="O13" s="109">
        <f>N13*$F$54</f>
        <v>1.46260816</v>
      </c>
      <c r="P13" s="96">
        <f>P12-O13</f>
        <v>43.087044519999985</v>
      </c>
      <c r="Q13" s="94">
        <f>K13+L13-O13</f>
        <v>238.57913393400884</v>
      </c>
      <c r="R13" s="59">
        <f t="shared" si="6"/>
        <v>59.644783483502209</v>
      </c>
      <c r="S13" s="110">
        <f>K13+L13-M13-O13-R13</f>
        <v>178.93435045050663</v>
      </c>
      <c r="T13" s="110">
        <f>-PV($F$60,B13,,S13)</f>
        <v>48.26643334430927</v>
      </c>
      <c r="U13" s="94">
        <f t="shared" si="7"/>
        <v>9.2533288403231619</v>
      </c>
      <c r="V13" s="69">
        <f t="shared" si="10"/>
        <v>156.95995653553211</v>
      </c>
      <c r="W13" s="112">
        <f>-PMT($F$60,B13,T13)</f>
        <v>9.2533288403231619</v>
      </c>
    </row>
    <row r="14" spans="2:25" ht="25" customHeight="1" x14ac:dyDescent="0.2">
      <c r="B14" s="59">
        <v>11</v>
      </c>
      <c r="C14" s="94">
        <f>PMT($F$61,40,$F$54)</f>
        <v>-23.958499405544721</v>
      </c>
      <c r="D14" s="59"/>
      <c r="E14" s="59"/>
      <c r="F14" s="94">
        <f t="shared" si="1"/>
        <v>-34.226399999999998</v>
      </c>
      <c r="G14" s="94">
        <f t="shared" si="2"/>
        <v>-10.368</v>
      </c>
      <c r="H14" s="97">
        <f t="shared" si="3"/>
        <v>70</v>
      </c>
      <c r="I14" s="98">
        <f t="shared" si="9"/>
        <v>325.66739772448659</v>
      </c>
      <c r="J14" s="61">
        <f t="shared" si="4"/>
        <v>395.66739772448659</v>
      </c>
      <c r="K14" s="94">
        <f t="shared" si="5"/>
        <v>327.11449831894186</v>
      </c>
      <c r="L14" s="94">
        <f t="shared" si="0"/>
        <v>-44.5944</v>
      </c>
      <c r="M14" s="59"/>
      <c r="N14" s="95">
        <v>2.564E-2</v>
      </c>
      <c r="O14" s="109">
        <f>N14*$F$54</f>
        <v>1.46260816</v>
      </c>
      <c r="P14" s="96">
        <f>P13-O14</f>
        <v>41.624436359999983</v>
      </c>
      <c r="Q14" s="94">
        <f>K14+L14-O14</f>
        <v>281.05749015894185</v>
      </c>
      <c r="R14" s="59">
        <f t="shared" si="6"/>
        <v>70.264372539735461</v>
      </c>
      <c r="S14" s="110">
        <f>K14+L14-M14-O14-R14</f>
        <v>210.79311761920638</v>
      </c>
      <c r="T14" s="110">
        <f>-PV($F$60,B14,,S14)</f>
        <v>49.877314532429779</v>
      </c>
      <c r="U14" s="94">
        <f t="shared" si="7"/>
        <v>9.1472137589450035</v>
      </c>
      <c r="V14" s="69">
        <f t="shared" si="10"/>
        <v>184.90624352561963</v>
      </c>
      <c r="W14" s="112">
        <f>-PMT($F$60,B14,T14)</f>
        <v>9.1472137589450035</v>
      </c>
    </row>
    <row r="15" spans="2:25" ht="25" customHeight="1" x14ac:dyDescent="0.2">
      <c r="B15" s="59">
        <v>12</v>
      </c>
      <c r="C15" s="94">
        <f>PMT($F$61,40,$F$54)</f>
        <v>-23.958499405544721</v>
      </c>
      <c r="D15" s="59"/>
      <c r="E15" s="59"/>
      <c r="F15" s="94">
        <f t="shared" si="1"/>
        <v>-34.226399999999998</v>
      </c>
      <c r="G15" s="94">
        <f t="shared" si="2"/>
        <v>-10.368</v>
      </c>
      <c r="H15" s="97">
        <f t="shared" si="3"/>
        <v>70</v>
      </c>
      <c r="I15" s="98">
        <f t="shared" si="9"/>
        <v>374.51750738315957</v>
      </c>
      <c r="J15" s="61">
        <f t="shared" si="4"/>
        <v>444.51750738315957</v>
      </c>
      <c r="K15" s="94">
        <f t="shared" si="5"/>
        <v>375.96460797761483</v>
      </c>
      <c r="L15" s="94">
        <f t="shared" si="0"/>
        <v>-44.5944</v>
      </c>
      <c r="M15" s="59"/>
      <c r="N15" s="95">
        <v>2.564E-2</v>
      </c>
      <c r="O15" s="109">
        <f>N15*$F$54</f>
        <v>1.46260816</v>
      </c>
      <c r="P15" s="96">
        <f>P14-O15</f>
        <v>40.161828199999981</v>
      </c>
      <c r="Q15" s="94">
        <f>K15+L15-O15</f>
        <v>329.90759981761482</v>
      </c>
      <c r="R15" s="59">
        <f t="shared" si="6"/>
        <v>82.476899954403706</v>
      </c>
      <c r="S15" s="110">
        <f>K15+L15-M15-O15-R15</f>
        <v>247.43069986321112</v>
      </c>
      <c r="T15" s="110">
        <f>-PV($F$60,B15,,S15)</f>
        <v>51.356493977400525</v>
      </c>
      <c r="U15" s="94">
        <f t="shared" si="7"/>
        <v>9.073117224123374</v>
      </c>
      <c r="V15" s="69">
        <f t="shared" si="10"/>
        <v>217.04447356422025</v>
      </c>
      <c r="W15" s="112">
        <f>-PMT($F$60,B15,T15)</f>
        <v>9.073117224123374</v>
      </c>
    </row>
    <row r="16" spans="2:25" ht="25" customHeight="1" x14ac:dyDescent="0.2">
      <c r="B16" s="59">
        <v>13</v>
      </c>
      <c r="C16" s="94">
        <f>PMT($F$61,40,$F$54)</f>
        <v>-23.958499405544721</v>
      </c>
      <c r="D16" s="59"/>
      <c r="E16" s="59"/>
      <c r="F16" s="94">
        <f t="shared" si="1"/>
        <v>-34.226399999999998</v>
      </c>
      <c r="G16" s="94">
        <f t="shared" si="2"/>
        <v>-10.368</v>
      </c>
      <c r="H16" s="97">
        <f t="shared" si="3"/>
        <v>70</v>
      </c>
      <c r="I16" s="98">
        <f t="shared" si="9"/>
        <v>430.69513349063345</v>
      </c>
      <c r="J16" s="61">
        <f t="shared" si="4"/>
        <v>500.69513349063345</v>
      </c>
      <c r="K16" s="94">
        <f t="shared" si="5"/>
        <v>432.14223408508872</v>
      </c>
      <c r="L16" s="94">
        <f t="shared" si="0"/>
        <v>-44.5944</v>
      </c>
      <c r="M16" s="59"/>
      <c r="N16" s="95">
        <v>2.564E-2</v>
      </c>
      <c r="O16" s="109">
        <f>N16*$F$54</f>
        <v>1.46260816</v>
      </c>
      <c r="P16" s="96">
        <f>P15-O16</f>
        <v>38.699220039999979</v>
      </c>
      <c r="Q16" s="94">
        <f>K16+L16-O16</f>
        <v>386.08522592508871</v>
      </c>
      <c r="R16" s="59">
        <f t="shared" si="6"/>
        <v>96.521306481272177</v>
      </c>
      <c r="S16" s="110">
        <f>K16+L16-M16-O16-R16</f>
        <v>289.56391944381653</v>
      </c>
      <c r="T16" s="110">
        <f>-PV($F$60,B16,,S16)</f>
        <v>52.720725628127454</v>
      </c>
      <c r="U16" s="94">
        <f t="shared" si="7"/>
        <v>9.0238725394641097</v>
      </c>
      <c r="V16" s="69">
        <f t="shared" si="10"/>
        <v>254.00343810861096</v>
      </c>
      <c r="W16" s="112">
        <f>-PMT($F$60,B16,T16)</f>
        <v>9.0238725394641097</v>
      </c>
    </row>
    <row r="17" spans="2:23" ht="25" customHeight="1" x14ac:dyDescent="0.2">
      <c r="B17" s="59">
        <v>14</v>
      </c>
      <c r="C17" s="94">
        <f>PMT($F$61,40,$F$54)</f>
        <v>-23.958499405544721</v>
      </c>
      <c r="D17" s="59"/>
      <c r="E17" s="59"/>
      <c r="F17" s="94">
        <f t="shared" si="1"/>
        <v>-34.226399999999998</v>
      </c>
      <c r="G17" s="94">
        <f t="shared" si="2"/>
        <v>-10.368</v>
      </c>
      <c r="H17" s="97">
        <f t="shared" si="3"/>
        <v>70</v>
      </c>
      <c r="I17" s="98">
        <f t="shared" si="9"/>
        <v>495.29940351422846</v>
      </c>
      <c r="J17" s="61">
        <f t="shared" si="4"/>
        <v>565.29940351422852</v>
      </c>
      <c r="K17" s="94">
        <f t="shared" si="5"/>
        <v>496.74650410868378</v>
      </c>
      <c r="L17" s="94">
        <f t="shared" si="0"/>
        <v>-44.5944</v>
      </c>
      <c r="M17" s="59"/>
      <c r="N17" s="95">
        <v>2.564E-2</v>
      </c>
      <c r="O17" s="109">
        <f>N17*$F$54</f>
        <v>1.46260816</v>
      </c>
      <c r="P17" s="96">
        <f>P16-O17</f>
        <v>37.236611879999977</v>
      </c>
      <c r="Q17" s="94">
        <f>K17+L17-O17</f>
        <v>450.68949594868377</v>
      </c>
      <c r="R17" s="59">
        <f t="shared" si="6"/>
        <v>112.67237398717094</v>
      </c>
      <c r="S17" s="110">
        <f>K17+L17-M17-O17-R17</f>
        <v>338.01712196151283</v>
      </c>
      <c r="T17" s="110">
        <f>-PV($F$60,B17,,S17)</f>
        <v>53.984711019182669</v>
      </c>
      <c r="U17" s="94">
        <f t="shared" si="7"/>
        <v>8.9943465336659649</v>
      </c>
      <c r="V17" s="69">
        <f t="shared" si="10"/>
        <v>296.50624733466032</v>
      </c>
      <c r="W17" s="112">
        <f>-PMT($F$60,B17,T17)</f>
        <v>8.9943465336659649</v>
      </c>
    </row>
    <row r="18" spans="2:23" ht="25" customHeight="1" x14ac:dyDescent="0.2">
      <c r="B18" s="59">
        <v>15</v>
      </c>
      <c r="C18" s="94">
        <f>PMT($F$61,40,$F$54)</f>
        <v>-23.958499405544721</v>
      </c>
      <c r="D18" s="59"/>
      <c r="E18" s="59"/>
      <c r="F18" s="94">
        <f t="shared" si="1"/>
        <v>-34.226399999999998</v>
      </c>
      <c r="G18" s="94">
        <f t="shared" si="2"/>
        <v>-10.368</v>
      </c>
      <c r="H18" s="97">
        <f t="shared" si="3"/>
        <v>70</v>
      </c>
      <c r="I18" s="98">
        <f t="shared" si="9"/>
        <v>569.59431404136274</v>
      </c>
      <c r="J18" s="61">
        <f t="shared" si="4"/>
        <v>639.59431404136274</v>
      </c>
      <c r="K18" s="94">
        <f t="shared" si="5"/>
        <v>571.041414635818</v>
      </c>
      <c r="L18" s="94">
        <f t="shared" si="0"/>
        <v>-44.5944</v>
      </c>
      <c r="M18" s="59"/>
      <c r="N18" s="95">
        <v>2.564E-2</v>
      </c>
      <c r="O18" s="109">
        <f>N18*$F$54</f>
        <v>1.46260816</v>
      </c>
      <c r="P18" s="96">
        <f>P17-O18</f>
        <v>35.774003719999975</v>
      </c>
      <c r="Q18" s="94">
        <f>K18+L18-O18</f>
        <v>524.9844064758181</v>
      </c>
      <c r="R18" s="59">
        <f t="shared" si="6"/>
        <v>131.24610161895453</v>
      </c>
      <c r="S18" s="110">
        <f>K18+L18-M18-O18-R18</f>
        <v>393.73830485686358</v>
      </c>
      <c r="T18" s="110">
        <f>-PV($F$60,B18,,S18)</f>
        <v>55.161351366320524</v>
      </c>
      <c r="U18" s="94">
        <f t="shared" si="7"/>
        <v>8.9807624114243634</v>
      </c>
      <c r="V18" s="69">
        <f t="shared" si="10"/>
        <v>345.38447794461712</v>
      </c>
      <c r="W18" s="112">
        <f>-PMT($F$60,B18,T18)</f>
        <v>8.9807624114243634</v>
      </c>
    </row>
    <row r="19" spans="2:23" ht="25" customHeight="1" x14ac:dyDescent="0.2">
      <c r="B19" s="59">
        <v>16</v>
      </c>
      <c r="C19" s="94">
        <f>PMT($F$61,40,$F$54)</f>
        <v>-23.958499405544721</v>
      </c>
      <c r="D19" s="59"/>
      <c r="E19" s="59"/>
      <c r="F19" s="94">
        <f t="shared" si="1"/>
        <v>-34.226399999999998</v>
      </c>
      <c r="G19" s="94">
        <f t="shared" si="2"/>
        <v>-10.368</v>
      </c>
      <c r="H19" s="97">
        <f t="shared" si="3"/>
        <v>70</v>
      </c>
      <c r="I19" s="98">
        <f t="shared" si="9"/>
        <v>655.0334611475671</v>
      </c>
      <c r="J19" s="61">
        <f t="shared" si="4"/>
        <v>725.0334611475671</v>
      </c>
      <c r="K19" s="94">
        <f t="shared" si="5"/>
        <v>656.48056174202236</v>
      </c>
      <c r="L19" s="94">
        <f t="shared" si="0"/>
        <v>-44.5944</v>
      </c>
      <c r="M19" s="59"/>
      <c r="N19" s="95">
        <v>2.564E-2</v>
      </c>
      <c r="O19" s="109">
        <f>N19*$F$54</f>
        <v>1.46260816</v>
      </c>
      <c r="P19" s="96">
        <f>P18-O19</f>
        <v>34.311395559999973</v>
      </c>
      <c r="Q19" s="94">
        <f>K19+L19-O19</f>
        <v>610.42355358202246</v>
      </c>
      <c r="R19" s="59">
        <f t="shared" si="6"/>
        <v>152.60588839550562</v>
      </c>
      <c r="S19" s="110">
        <f>K19+L19-M19-O19-R19</f>
        <v>457.81766518651682</v>
      </c>
      <c r="T19" s="110">
        <f>-PV($F$60,B19,,S19)</f>
        <v>56.26196870328679</v>
      </c>
      <c r="U19" s="94">
        <f t="shared" si="7"/>
        <v>8.9802766407164878</v>
      </c>
      <c r="V19" s="69">
        <f t="shared" si="10"/>
        <v>401.59444314606736</v>
      </c>
      <c r="W19" s="112">
        <f>-PMT($F$60,B19,T19)</f>
        <v>8.9802766407164878</v>
      </c>
    </row>
    <row r="20" spans="2:23" ht="25" customHeight="1" x14ac:dyDescent="0.2">
      <c r="B20" s="59">
        <v>17</v>
      </c>
      <c r="C20" s="94">
        <f>PMT($F$61,40,$F$54)</f>
        <v>-23.958499405544721</v>
      </c>
      <c r="D20" s="59"/>
      <c r="E20" s="59"/>
      <c r="F20" s="94">
        <f t="shared" si="1"/>
        <v>-34.226399999999998</v>
      </c>
      <c r="G20" s="94">
        <f t="shared" si="2"/>
        <v>-10.368</v>
      </c>
      <c r="H20" s="97">
        <f t="shared" si="3"/>
        <v>70</v>
      </c>
      <c r="I20" s="98">
        <f t="shared" si="9"/>
        <v>753.2884803197021</v>
      </c>
      <c r="J20" s="61">
        <f t="shared" si="4"/>
        <v>823.2884803197021</v>
      </c>
      <c r="K20" s="94">
        <f t="shared" si="5"/>
        <v>754.73558091415737</v>
      </c>
      <c r="L20" s="94">
        <f t="shared" si="0"/>
        <v>-44.5944</v>
      </c>
      <c r="M20" s="59"/>
      <c r="N20" s="95">
        <v>2.564E-2</v>
      </c>
      <c r="O20" s="109">
        <f>N20*$F$54</f>
        <v>1.46260816</v>
      </c>
      <c r="P20" s="96">
        <f>P19-O20</f>
        <v>32.848787399999971</v>
      </c>
      <c r="Q20" s="94">
        <f>K20+L20-O20</f>
        <v>708.67857275415747</v>
      </c>
      <c r="R20" s="59">
        <f t="shared" si="6"/>
        <v>177.16964318853937</v>
      </c>
      <c r="S20" s="110">
        <f>K20+L20-M20-O20-R20</f>
        <v>531.50892956561813</v>
      </c>
      <c r="T20" s="110">
        <f>-PV($F$60,B20,,S20)</f>
        <v>57.296499861870828</v>
      </c>
      <c r="U20" s="94">
        <f t="shared" si="7"/>
        <v>8.9907052541517292</v>
      </c>
      <c r="V20" s="69">
        <f t="shared" si="10"/>
        <v>466.23590312773513</v>
      </c>
      <c r="W20" s="112">
        <f>-PMT($F$60,B20,T20)</f>
        <v>8.9907052541517292</v>
      </c>
    </row>
    <row r="21" spans="2:23" ht="25" customHeight="1" x14ac:dyDescent="0.2">
      <c r="B21" s="59">
        <v>18</v>
      </c>
      <c r="C21" s="94">
        <f>PMT($F$61,40,$F$54)</f>
        <v>-23.958499405544721</v>
      </c>
      <c r="D21" s="59"/>
      <c r="E21" s="59"/>
      <c r="F21" s="94">
        <f t="shared" si="1"/>
        <v>-34.226399999999998</v>
      </c>
      <c r="G21" s="94">
        <f t="shared" si="2"/>
        <v>-10.368</v>
      </c>
      <c r="H21" s="97">
        <f t="shared" si="3"/>
        <v>70</v>
      </c>
      <c r="I21" s="98">
        <f t="shared" si="9"/>
        <v>866.2817523676573</v>
      </c>
      <c r="J21" s="61">
        <f t="shared" si="4"/>
        <v>936.2817523676573</v>
      </c>
      <c r="K21" s="94">
        <f t="shared" si="5"/>
        <v>867.72885296211257</v>
      </c>
      <c r="L21" s="94">
        <f t="shared" si="0"/>
        <v>-44.5944</v>
      </c>
      <c r="M21" s="59"/>
      <c r="N21" s="95">
        <v>2.564E-2</v>
      </c>
      <c r="O21" s="109">
        <f>N21*$F$54</f>
        <v>1.46260816</v>
      </c>
      <c r="P21" s="96">
        <f>P20-O21</f>
        <v>31.386179239999972</v>
      </c>
      <c r="Q21" s="94">
        <f>K21+L21-O21</f>
        <v>821.67184480211267</v>
      </c>
      <c r="R21" s="59">
        <f t="shared" si="6"/>
        <v>205.41796120052817</v>
      </c>
      <c r="S21" s="110">
        <f>K21+L21-M21-O21-R21</f>
        <v>616.25388360158445</v>
      </c>
      <c r="T21" s="110">
        <f>-PV($F$60,B21,,S21)</f>
        <v>58.273666630244357</v>
      </c>
      <c r="U21" s="94">
        <f t="shared" si="7"/>
        <v>9.0103414408707199</v>
      </c>
      <c r="V21" s="69">
        <f t="shared" si="10"/>
        <v>540.57358210665302</v>
      </c>
      <c r="W21" s="112">
        <f>-PMT($F$60,B21,T21)</f>
        <v>9.0103414408707199</v>
      </c>
    </row>
    <row r="22" spans="2:23" ht="25" customHeight="1" x14ac:dyDescent="0.2">
      <c r="B22" s="59">
        <v>19</v>
      </c>
      <c r="C22" s="94">
        <f>PMT($F$61,40,$F$54)</f>
        <v>-23.958499405544721</v>
      </c>
      <c r="D22" s="59"/>
      <c r="E22" s="59"/>
      <c r="F22" s="94">
        <f t="shared" si="1"/>
        <v>-34.226399999999998</v>
      </c>
      <c r="G22" s="94">
        <f t="shared" si="2"/>
        <v>-10.368</v>
      </c>
      <c r="H22" s="97">
        <f t="shared" si="3"/>
        <v>70</v>
      </c>
      <c r="I22" s="98">
        <f t="shared" si="9"/>
        <v>996.22401522280586</v>
      </c>
      <c r="J22" s="61">
        <f t="shared" si="4"/>
        <v>1066.224015222806</v>
      </c>
      <c r="K22" s="94">
        <f t="shared" si="5"/>
        <v>997.67111581726124</v>
      </c>
      <c r="L22" s="94">
        <f t="shared" si="0"/>
        <v>-44.5944</v>
      </c>
      <c r="M22" s="59"/>
      <c r="N22" s="95">
        <v>2.564E-2</v>
      </c>
      <c r="O22" s="109">
        <f>N22*$F$54</f>
        <v>1.46260816</v>
      </c>
      <c r="P22" s="96">
        <f>P21-O22</f>
        <v>29.923571079999974</v>
      </c>
      <c r="Q22" s="94">
        <f>K22+L22-O22</f>
        <v>951.61410765726134</v>
      </c>
      <c r="R22" s="59">
        <f t="shared" si="6"/>
        <v>237.90352691431534</v>
      </c>
      <c r="S22" s="110">
        <f>K22+L22-M22-O22-R22</f>
        <v>713.71058074294604</v>
      </c>
      <c r="T22" s="110">
        <f>-PV($F$60,B22,,S22)</f>
        <v>59.201125015064257</v>
      </c>
      <c r="U22" s="94">
        <f t="shared" si="7"/>
        <v>9.0378307789927135</v>
      </c>
      <c r="V22" s="69">
        <f t="shared" si="10"/>
        <v>626.06191293240875</v>
      </c>
      <c r="W22" s="112">
        <f>-PMT($F$60,B22,T22)</f>
        <v>9.0378307789927135</v>
      </c>
    </row>
    <row r="23" spans="2:23" ht="25" customHeight="1" x14ac:dyDescent="0.2">
      <c r="B23" s="59">
        <v>20</v>
      </c>
      <c r="C23" s="94">
        <f>PMT($F$61,40,$F$54)</f>
        <v>-23.958499405544721</v>
      </c>
      <c r="D23" s="59"/>
      <c r="E23" s="59"/>
      <c r="F23" s="94">
        <f t="shared" si="1"/>
        <v>-34.226399999999998</v>
      </c>
      <c r="G23" s="94">
        <f t="shared" si="2"/>
        <v>-10.368</v>
      </c>
      <c r="H23" s="97">
        <f t="shared" si="3"/>
        <v>70</v>
      </c>
      <c r="I23" s="98">
        <f t="shared" si="9"/>
        <v>1145.6576175062266</v>
      </c>
      <c r="J23" s="61">
        <f t="shared" si="4"/>
        <v>1215.6576175062266</v>
      </c>
      <c r="K23" s="94">
        <f t="shared" si="5"/>
        <v>1147.104718100682</v>
      </c>
      <c r="L23" s="94">
        <f t="shared" si="0"/>
        <v>-44.5944</v>
      </c>
      <c r="M23" s="59"/>
      <c r="N23" s="95">
        <v>2.564E-2</v>
      </c>
      <c r="O23" s="109">
        <f>N23*$F$54</f>
        <v>1.46260816</v>
      </c>
      <c r="P23" s="96">
        <f>P22-O23</f>
        <v>28.460962919999975</v>
      </c>
      <c r="Q23" s="94">
        <f>K23+L23-O23</f>
        <v>1101.0477099406821</v>
      </c>
      <c r="R23" s="59">
        <f t="shared" si="6"/>
        <v>275.26192748517053</v>
      </c>
      <c r="S23" s="110">
        <f>K23+L23-M23-O23-R23</f>
        <v>825.78578245551159</v>
      </c>
      <c r="T23" s="110">
        <f>-PV($F$60,B23,,S23)</f>
        <v>60.085596173546818</v>
      </c>
      <c r="U23" s="94">
        <f t="shared" si="7"/>
        <v>9.072083919421889</v>
      </c>
      <c r="V23" s="69">
        <f t="shared" si="10"/>
        <v>724.37349338202762</v>
      </c>
      <c r="W23" s="112">
        <f>-PMT($F$60,B23,T23)</f>
        <v>9.072083919421889</v>
      </c>
    </row>
    <row r="24" spans="2:23" ht="25" customHeight="1" x14ac:dyDescent="0.2">
      <c r="B24" s="59">
        <v>21</v>
      </c>
      <c r="C24" s="94">
        <f>PMT($F$61,40,$F$54)</f>
        <v>-23.958499405544721</v>
      </c>
      <c r="D24" s="59"/>
      <c r="E24" s="59"/>
      <c r="F24" s="94">
        <f t="shared" si="1"/>
        <v>-34.226399999999998</v>
      </c>
      <c r="G24" s="94">
        <f t="shared" si="2"/>
        <v>-10.368</v>
      </c>
      <c r="H24" s="97">
        <f t="shared" si="3"/>
        <v>70</v>
      </c>
      <c r="I24" s="98">
        <f t="shared" si="9"/>
        <v>1317.5062601321606</v>
      </c>
      <c r="J24" s="61">
        <f t="shared" si="4"/>
        <v>1387.5062601321606</v>
      </c>
      <c r="K24" s="94">
        <f t="shared" si="5"/>
        <v>1318.953360726616</v>
      </c>
      <c r="L24" s="94">
        <f t="shared" si="0"/>
        <v>-44.5944</v>
      </c>
      <c r="M24" s="59"/>
      <c r="N24" s="95">
        <v>2.564E-2</v>
      </c>
      <c r="O24" s="109">
        <f>N24*$F$54</f>
        <v>1.46260816</v>
      </c>
      <c r="P24" s="96">
        <f>P23-O24</f>
        <v>26.998354759999977</v>
      </c>
      <c r="Q24" s="94">
        <f>K24+L24-O24</f>
        <v>1272.8963525666161</v>
      </c>
      <c r="R24" s="59">
        <f t="shared" si="6"/>
        <v>318.22408814165402</v>
      </c>
      <c r="S24" s="110">
        <f>K24+L24-M24-O24-R24</f>
        <v>954.67226442496212</v>
      </c>
      <c r="T24" s="110">
        <f>-PV($F$60,B24,,S24)</f>
        <v>60.932981266573847</v>
      </c>
      <c r="U24" s="94">
        <f t="shared" si="7"/>
        <v>9.112214224006614</v>
      </c>
      <c r="V24" s="69">
        <f t="shared" si="10"/>
        <v>837.43181089908944</v>
      </c>
      <c r="W24" s="112">
        <f>-PMT($F$60,B24,T24)</f>
        <v>9.112214224006614</v>
      </c>
    </row>
    <row r="25" spans="2:23" ht="25" customHeight="1" x14ac:dyDescent="0.2">
      <c r="B25" s="59">
        <v>22</v>
      </c>
      <c r="C25" s="94">
        <f>PMT($F$61,40,$F$54)</f>
        <v>-23.958499405544721</v>
      </c>
      <c r="D25" s="59"/>
      <c r="E25" s="59"/>
      <c r="F25" s="94">
        <f t="shared" si="1"/>
        <v>-34.226399999999998</v>
      </c>
      <c r="G25" s="94">
        <f t="shared" si="2"/>
        <v>-10.368</v>
      </c>
      <c r="H25" s="97">
        <f t="shared" si="3"/>
        <v>70</v>
      </c>
      <c r="I25" s="98">
        <f t="shared" si="9"/>
        <v>1515.1321991519847</v>
      </c>
      <c r="J25" s="61">
        <f t="shared" si="4"/>
        <v>1585.1321991519847</v>
      </c>
      <c r="K25" s="94">
        <f t="shared" si="5"/>
        <v>1516.57929974644</v>
      </c>
      <c r="L25" s="94">
        <f t="shared" si="0"/>
        <v>-44.5944</v>
      </c>
      <c r="M25" s="59"/>
      <c r="N25" s="95">
        <v>2.564E-2</v>
      </c>
      <c r="O25" s="109">
        <f>N25*$F$54</f>
        <v>1.46260816</v>
      </c>
      <c r="P25" s="96">
        <f>P24-O25</f>
        <v>25.535746599999978</v>
      </c>
      <c r="Q25" s="94">
        <f>K25+L25-O25</f>
        <v>1470.5222915864401</v>
      </c>
      <c r="R25" s="59">
        <f t="shared" si="6"/>
        <v>367.63057289661003</v>
      </c>
      <c r="S25" s="110">
        <f>K25+L25-M25-O25-R25</f>
        <v>1102.8917186898302</v>
      </c>
      <c r="T25" s="110">
        <f>-PV($F$60,B25,,S25)</f>
        <v>61.748462207443573</v>
      </c>
      <c r="U25" s="94">
        <f t="shared" si="7"/>
        <v>9.1574924066372247</v>
      </c>
      <c r="V25" s="69">
        <f t="shared" si="10"/>
        <v>967.44887604371058</v>
      </c>
      <c r="W25" s="112">
        <f>-PMT($F$60,B25,T25)</f>
        <v>9.1574924066372247</v>
      </c>
    </row>
    <row r="26" spans="2:23" ht="25" customHeight="1" x14ac:dyDescent="0.2">
      <c r="B26" s="59">
        <v>23</v>
      </c>
      <c r="C26" s="94">
        <f>PMT($F$61,40,$F$54)</f>
        <v>-23.958499405544721</v>
      </c>
      <c r="D26" s="59"/>
      <c r="E26" s="59"/>
      <c r="F26" s="94">
        <f t="shared" si="1"/>
        <v>-34.226399999999998</v>
      </c>
      <c r="G26" s="94">
        <f t="shared" si="2"/>
        <v>-10.368</v>
      </c>
      <c r="H26" s="97">
        <f t="shared" si="3"/>
        <v>70</v>
      </c>
      <c r="I26" s="98">
        <f t="shared" si="9"/>
        <v>1742.4020290247822</v>
      </c>
      <c r="J26" s="61">
        <f t="shared" si="4"/>
        <v>1812.4020290247822</v>
      </c>
      <c r="K26" s="94">
        <f t="shared" si="5"/>
        <v>1743.8491296192376</v>
      </c>
      <c r="L26" s="94">
        <f t="shared" si="0"/>
        <v>-44.5944</v>
      </c>
      <c r="M26" s="59"/>
      <c r="N26" s="95">
        <v>2.564E-2</v>
      </c>
      <c r="O26" s="109">
        <f>N26*$F$54</f>
        <v>1.46260816</v>
      </c>
      <c r="P26" s="96">
        <f>P25-O26</f>
        <v>24.07313843999998</v>
      </c>
      <c r="Q26" s="94">
        <f>K26+L26-O26</f>
        <v>1697.7921214592377</v>
      </c>
      <c r="R26" s="59">
        <f t="shared" si="6"/>
        <v>424.44803036480943</v>
      </c>
      <c r="S26" s="110">
        <f>K26+L26-M26-O26-R26</f>
        <v>1273.3440910944282</v>
      </c>
      <c r="T26" s="110">
        <f>-PV($F$60,B26,,S26)</f>
        <v>62.53659003838429</v>
      </c>
      <c r="U26" s="94">
        <f t="shared" si="7"/>
        <v>9.2073129928883493</v>
      </c>
      <c r="V26" s="69">
        <f t="shared" si="10"/>
        <v>1116.9685009600246</v>
      </c>
      <c r="W26" s="112">
        <f>-PMT($F$60,B26,T26)</f>
        <v>9.2073129928883493</v>
      </c>
    </row>
    <row r="27" spans="2:23" ht="25" customHeight="1" x14ac:dyDescent="0.2">
      <c r="B27" s="59">
        <v>24</v>
      </c>
      <c r="C27" s="94">
        <f>PMT($F$61,40,$F$54)</f>
        <v>-23.958499405544721</v>
      </c>
      <c r="D27" s="59"/>
      <c r="E27" s="59"/>
      <c r="F27" s="94">
        <f t="shared" si="1"/>
        <v>-34.226399999999998</v>
      </c>
      <c r="G27" s="94">
        <f t="shared" si="2"/>
        <v>-10.368</v>
      </c>
      <c r="H27" s="97">
        <f t="shared" si="3"/>
        <v>70</v>
      </c>
      <c r="I27" s="98">
        <f t="shared" si="9"/>
        <v>2003.7623333784993</v>
      </c>
      <c r="J27" s="61">
        <f t="shared" si="4"/>
        <v>2073.7623333784995</v>
      </c>
      <c r="K27" s="94">
        <f t="shared" si="5"/>
        <v>2005.2094339729549</v>
      </c>
      <c r="L27" s="94">
        <f t="shared" si="0"/>
        <v>-44.5944</v>
      </c>
      <c r="M27" s="59"/>
      <c r="N27" s="95">
        <v>2.564E-2</v>
      </c>
      <c r="O27" s="109">
        <f>N27*$F$54</f>
        <v>1.46260816</v>
      </c>
      <c r="P27" s="96">
        <f>P26-O27</f>
        <v>22.610530279999981</v>
      </c>
      <c r="Q27" s="94">
        <f>K27+L27-O27</f>
        <v>1959.152425812955</v>
      </c>
      <c r="R27" s="59">
        <f t="shared" si="6"/>
        <v>489.78810645323875</v>
      </c>
      <c r="S27" s="110">
        <f>K27+L27-M27-O27-R27</f>
        <v>1469.3643193597163</v>
      </c>
      <c r="T27" s="110">
        <f>-PV($F$60,B27,,S27)</f>
        <v>63.301362454231935</v>
      </c>
      <c r="U27" s="94">
        <f t="shared" si="7"/>
        <v>9.2611691432747545</v>
      </c>
      <c r="V27" s="69">
        <f t="shared" si="10"/>
        <v>1288.916069613786</v>
      </c>
      <c r="W27" s="112">
        <f>-PMT($F$60,B27,T27)</f>
        <v>9.2611691432747545</v>
      </c>
    </row>
    <row r="28" spans="2:23" ht="25" customHeight="1" x14ac:dyDescent="0.2">
      <c r="B28" s="59">
        <v>25</v>
      </c>
      <c r="C28" s="94">
        <f>PMT($F$61,40,$F$54)</f>
        <v>-23.958499405544721</v>
      </c>
      <c r="D28" s="59"/>
      <c r="E28" s="59"/>
      <c r="F28" s="94">
        <f t="shared" si="1"/>
        <v>-34.226399999999998</v>
      </c>
      <c r="G28" s="94">
        <f t="shared" si="2"/>
        <v>-10.368</v>
      </c>
      <c r="H28" s="97">
        <f t="shared" si="3"/>
        <v>70</v>
      </c>
      <c r="I28" s="98">
        <f t="shared" si="9"/>
        <v>2304.326683385274</v>
      </c>
      <c r="J28" s="61">
        <f t="shared" si="4"/>
        <v>2374.326683385274</v>
      </c>
      <c r="K28" s="94">
        <f t="shared" si="5"/>
        <v>2305.7737839797292</v>
      </c>
      <c r="L28" s="94">
        <f t="shared" si="0"/>
        <v>-44.5944</v>
      </c>
      <c r="M28" s="59"/>
      <c r="N28" s="95">
        <v>2.564E-2</v>
      </c>
      <c r="O28" s="109">
        <f>N28*$F$54</f>
        <v>1.46260816</v>
      </c>
      <c r="P28" s="96">
        <f>P27-O28</f>
        <v>21.147922119999983</v>
      </c>
      <c r="Q28" s="94">
        <f>K28+L28-O28</f>
        <v>2259.7167758197293</v>
      </c>
      <c r="R28" s="59">
        <f t="shared" si="6"/>
        <v>564.92919395493232</v>
      </c>
      <c r="S28" s="110">
        <f>K28+L28-M28-O28-R28</f>
        <v>1694.7875818647969</v>
      </c>
      <c r="T28" s="110">
        <f>-PV($F$60,B28,,S28)</f>
        <v>64.046291806079182</v>
      </c>
      <c r="U28" s="94">
        <f t="shared" si="7"/>
        <v>9.3186334920687059</v>
      </c>
      <c r="V28" s="69">
        <f t="shared" si="10"/>
        <v>1486.6557735656113</v>
      </c>
      <c r="W28" s="112">
        <f>-PMT($F$60,B28,T28)</f>
        <v>9.3186334920687059</v>
      </c>
    </row>
    <row r="29" spans="2:23" ht="25" customHeight="1" x14ac:dyDescent="0.2">
      <c r="B29" s="59">
        <v>26</v>
      </c>
      <c r="C29" s="94">
        <f>PMT($F$61,40,$F$54)</f>
        <v>-23.958499405544721</v>
      </c>
      <c r="D29" s="59"/>
      <c r="E29" s="59"/>
      <c r="F29" s="94">
        <f t="shared" si="1"/>
        <v>-34.226399999999998</v>
      </c>
      <c r="G29" s="94">
        <f t="shared" si="2"/>
        <v>-10.368</v>
      </c>
      <c r="H29" s="97">
        <f t="shared" si="3"/>
        <v>70</v>
      </c>
      <c r="I29" s="98">
        <f t="shared" si="9"/>
        <v>2649.975685893065</v>
      </c>
      <c r="J29" s="61">
        <f t="shared" si="4"/>
        <v>2719.975685893065</v>
      </c>
      <c r="K29" s="94">
        <f t="shared" si="5"/>
        <v>2651.4227864875202</v>
      </c>
      <c r="L29" s="94">
        <f t="shared" si="0"/>
        <v>-44.5944</v>
      </c>
      <c r="M29" s="59"/>
      <c r="N29" s="95">
        <v>2.564E-2</v>
      </c>
      <c r="O29" s="109">
        <f>N29*$F$54</f>
        <v>1.46260816</v>
      </c>
      <c r="P29" s="96">
        <f>P28-O29</f>
        <v>19.685313959999984</v>
      </c>
      <c r="Q29" s="94">
        <f>K29+L29-O29</f>
        <v>2605.3657783275203</v>
      </c>
      <c r="R29" s="59">
        <f t="shared" si="6"/>
        <v>651.34144458188007</v>
      </c>
      <c r="S29" s="110">
        <f>K29+L29-M29-O29-R29</f>
        <v>1954.0243337456402</v>
      </c>
      <c r="T29" s="110">
        <f>-PV($F$60,B29,,S29)</f>
        <v>64.774464754026909</v>
      </c>
      <c r="U29" s="94">
        <f t="shared" si="7"/>
        <v>9.3793433773365891</v>
      </c>
      <c r="V29" s="69">
        <f t="shared" si="10"/>
        <v>1714.0564331102105</v>
      </c>
      <c r="W29" s="112">
        <f>-PMT($F$60,B29,T29)</f>
        <v>9.3793433773365891</v>
      </c>
    </row>
    <row r="30" spans="2:23" ht="25" customHeight="1" x14ac:dyDescent="0.2">
      <c r="B30" s="59">
        <v>27</v>
      </c>
      <c r="C30" s="94">
        <f>PMT($F$61,40,$F$54)</f>
        <v>-23.958499405544721</v>
      </c>
      <c r="D30" s="59"/>
      <c r="E30" s="59"/>
      <c r="F30" s="94">
        <f t="shared" si="1"/>
        <v>-34.226399999999998</v>
      </c>
      <c r="G30" s="94">
        <f t="shared" si="2"/>
        <v>-10.368</v>
      </c>
      <c r="H30" s="97">
        <f t="shared" si="3"/>
        <v>70</v>
      </c>
      <c r="I30" s="98">
        <f t="shared" si="9"/>
        <v>3047.4720387770244</v>
      </c>
      <c r="J30" s="61">
        <f t="shared" si="4"/>
        <v>3117.4720387770244</v>
      </c>
      <c r="K30" s="94">
        <f t="shared" si="5"/>
        <v>3048.9191393714796</v>
      </c>
      <c r="L30" s="94">
        <f t="shared" si="0"/>
        <v>-44.5944</v>
      </c>
      <c r="M30" s="59"/>
      <c r="N30" s="95">
        <v>2.564E-2</v>
      </c>
      <c r="O30" s="109">
        <f>N30*$F$54</f>
        <v>1.46260816</v>
      </c>
      <c r="P30" s="96">
        <f>P29-O30</f>
        <v>18.222705799999986</v>
      </c>
      <c r="Q30" s="94">
        <f>K30+L30-O30</f>
        <v>3002.8621312114797</v>
      </c>
      <c r="R30" s="59">
        <f t="shared" si="6"/>
        <v>750.71553280286992</v>
      </c>
      <c r="S30" s="110">
        <f>K30+L30-M30-O30-R30</f>
        <v>2252.1465984086099</v>
      </c>
      <c r="T30" s="110">
        <f>-PV($F$60,B30,,S30)</f>
        <v>65.488594594589799</v>
      </c>
      <c r="U30" s="94">
        <f t="shared" si="7"/>
        <v>9.442989320273897</v>
      </c>
      <c r="V30" s="69">
        <f t="shared" si="10"/>
        <v>1975.5671915864996</v>
      </c>
      <c r="W30" s="112">
        <f>-PMT($F$60,B30,T30)</f>
        <v>9.442989320273897</v>
      </c>
    </row>
    <row r="31" spans="2:23" ht="25" customHeight="1" x14ac:dyDescent="0.2">
      <c r="B31" s="59">
        <v>28</v>
      </c>
      <c r="C31" s="94">
        <f>PMT($F$61,40,$F$54)</f>
        <v>-23.958499405544721</v>
      </c>
      <c r="D31" s="59"/>
      <c r="E31" s="59"/>
      <c r="F31" s="94">
        <f t="shared" si="1"/>
        <v>-34.226399999999998</v>
      </c>
      <c r="G31" s="94">
        <f t="shared" si="2"/>
        <v>-10.368</v>
      </c>
      <c r="H31" s="97">
        <f t="shared" si="3"/>
        <v>70</v>
      </c>
      <c r="I31" s="98">
        <f t="shared" si="9"/>
        <v>3504.5928445935779</v>
      </c>
      <c r="J31" s="61">
        <f t="shared" si="4"/>
        <v>3574.5928445935779</v>
      </c>
      <c r="K31" s="94">
        <f t="shared" si="5"/>
        <v>3506.039945188033</v>
      </c>
      <c r="L31" s="94">
        <f t="shared" si="0"/>
        <v>-44.5944</v>
      </c>
      <c r="M31" s="59"/>
      <c r="N31" s="95">
        <v>2.564E-2</v>
      </c>
      <c r="O31" s="109">
        <f>N31*$F$54</f>
        <v>1.46260816</v>
      </c>
      <c r="P31" s="96">
        <f>P30-O31</f>
        <v>16.760097639999987</v>
      </c>
      <c r="Q31" s="94">
        <f>K31+L31-O31</f>
        <v>3459.9829370280331</v>
      </c>
      <c r="R31" s="59">
        <f t="shared" si="6"/>
        <v>864.99573425700828</v>
      </c>
      <c r="S31" s="110">
        <f>K31+L31-M31-O31-R31</f>
        <v>2594.9872027710248</v>
      </c>
      <c r="T31" s="110">
        <f>-PV($F$60,B31,,S31)</f>
        <v>66.191067162364277</v>
      </c>
      <c r="U31" s="94">
        <f t="shared" si="7"/>
        <v>9.5093059392013988</v>
      </c>
      <c r="V31" s="69">
        <f t="shared" si="10"/>
        <v>2276.3045638342319</v>
      </c>
      <c r="W31" s="112">
        <f>-PMT($F$60,B31,T31)</f>
        <v>9.5093059392013988</v>
      </c>
    </row>
    <row r="32" spans="2:23" ht="25" customHeight="1" x14ac:dyDescent="0.2">
      <c r="B32" s="59">
        <v>29</v>
      </c>
      <c r="C32" s="94">
        <f>PMT($F$61,40,$F$54)</f>
        <v>-23.958499405544721</v>
      </c>
      <c r="D32" s="59"/>
      <c r="E32" s="59"/>
      <c r="F32" s="94">
        <f t="shared" si="1"/>
        <v>-34.226399999999998</v>
      </c>
      <c r="G32" s="94">
        <f t="shared" si="2"/>
        <v>-10.368</v>
      </c>
      <c r="H32" s="97">
        <f t="shared" si="3"/>
        <v>70</v>
      </c>
      <c r="I32" s="98">
        <f t="shared" si="9"/>
        <v>4030.281771282614</v>
      </c>
      <c r="J32" s="61">
        <f t="shared" si="4"/>
        <v>4100.2817712826145</v>
      </c>
      <c r="K32" s="94">
        <f t="shared" si="5"/>
        <v>4031.7288718770697</v>
      </c>
      <c r="L32" s="94">
        <f t="shared" si="0"/>
        <v>-44.5944</v>
      </c>
      <c r="M32" s="59"/>
      <c r="N32" s="95">
        <v>2.564E-2</v>
      </c>
      <c r="O32" s="109">
        <f>N32*$F$54</f>
        <v>1.46260816</v>
      </c>
      <c r="P32" s="96">
        <f>P31-O32</f>
        <v>15.297489479999987</v>
      </c>
      <c r="Q32" s="94">
        <f>K32+L32-O32</f>
        <v>3985.6718637170698</v>
      </c>
      <c r="R32" s="59">
        <f t="shared" si="6"/>
        <v>996.41796592926744</v>
      </c>
      <c r="S32" s="110">
        <f>K32+L32-M32-O32-R32</f>
        <v>2989.2538977878021</v>
      </c>
      <c r="T32" s="110">
        <f>-PV($F$60,B32,,S32)</f>
        <v>66.883981095088188</v>
      </c>
      <c r="U32" s="94">
        <f t="shared" si="7"/>
        <v>9.5780647092088653</v>
      </c>
      <c r="V32" s="69">
        <f t="shared" si="10"/>
        <v>2622.1525419191244</v>
      </c>
      <c r="W32" s="112">
        <f>-PMT($F$60,B32,T32)</f>
        <v>9.5780647092088653</v>
      </c>
    </row>
    <row r="33" spans="1:23" ht="25" customHeight="1" x14ac:dyDescent="0.2">
      <c r="B33" s="59">
        <v>30</v>
      </c>
      <c r="C33" s="94">
        <f>PMT($F$61,40,$F$54)</f>
        <v>-23.958499405544721</v>
      </c>
      <c r="D33" s="59"/>
      <c r="E33" s="59"/>
      <c r="F33" s="94">
        <f t="shared" si="1"/>
        <v>-34.226399999999998</v>
      </c>
      <c r="G33" s="94">
        <f t="shared" si="2"/>
        <v>-10.368</v>
      </c>
      <c r="H33" s="97">
        <f t="shared" si="3"/>
        <v>70</v>
      </c>
      <c r="I33" s="98">
        <f t="shared" si="9"/>
        <v>4634.8240369750056</v>
      </c>
      <c r="J33" s="61">
        <f t="shared" si="4"/>
        <v>4704.8240369750056</v>
      </c>
      <c r="K33" s="94">
        <f t="shared" si="5"/>
        <v>4636.2711375694607</v>
      </c>
      <c r="L33" s="94">
        <f t="shared" si="0"/>
        <v>-44.5944</v>
      </c>
      <c r="M33" s="59"/>
      <c r="N33" s="95">
        <v>2.564E-2</v>
      </c>
      <c r="O33" s="109">
        <f>N33*$F$54</f>
        <v>1.46260816</v>
      </c>
      <c r="P33" s="96">
        <f>P32-O33</f>
        <v>13.834881319999987</v>
      </c>
      <c r="Q33" s="94">
        <f>K33+L33-O33</f>
        <v>4590.2141294094608</v>
      </c>
      <c r="R33" s="59">
        <f t="shared" si="6"/>
        <v>1147.5535323523652</v>
      </c>
      <c r="S33" s="110">
        <f>K33+L33-M33-O33-R33</f>
        <v>3442.6605970570954</v>
      </c>
      <c r="T33" s="110">
        <f>-PV($F$60,B33,,S33)</f>
        <v>67.569183154310707</v>
      </c>
      <c r="U33" s="94">
        <f t="shared" si="7"/>
        <v>9.6490681362721666</v>
      </c>
      <c r="V33" s="69">
        <f t="shared" si="10"/>
        <v>3019.87771671675</v>
      </c>
      <c r="W33" s="112">
        <f>-PMT($F$60,B33,T33)</f>
        <v>9.6490681362721666</v>
      </c>
    </row>
    <row r="34" spans="1:23" ht="25" customHeight="1" x14ac:dyDescent="0.2">
      <c r="B34" s="59">
        <v>31</v>
      </c>
      <c r="C34" s="94">
        <f>PMT($F$61,40,$F$54)</f>
        <v>-23.958499405544721</v>
      </c>
      <c r="D34" s="59"/>
      <c r="E34" s="59"/>
      <c r="F34" s="94">
        <f t="shared" si="1"/>
        <v>-34.226399999999998</v>
      </c>
      <c r="G34" s="94">
        <f t="shared" si="2"/>
        <v>-10.368</v>
      </c>
      <c r="H34" s="97">
        <f t="shared" si="3"/>
        <v>70</v>
      </c>
      <c r="I34" s="98">
        <f t="shared" si="9"/>
        <v>5330.0476425212564</v>
      </c>
      <c r="J34" s="61">
        <f t="shared" si="4"/>
        <v>5400.0476425212564</v>
      </c>
      <c r="K34" s="94">
        <f t="shared" si="5"/>
        <v>5331.4947431157116</v>
      </c>
      <c r="L34" s="94">
        <f t="shared" si="0"/>
        <v>-44.5944</v>
      </c>
      <c r="M34" s="59"/>
      <c r="N34" s="95">
        <v>2.564E-2</v>
      </c>
      <c r="O34" s="109">
        <f>N34*$F$54</f>
        <v>1.46260816</v>
      </c>
      <c r="P34" s="96">
        <f>P33-O34</f>
        <v>12.372273159999986</v>
      </c>
      <c r="Q34" s="94">
        <f>K34+L34-O34</f>
        <v>5285.4377349557117</v>
      </c>
      <c r="R34" s="59">
        <f t="shared" si="6"/>
        <v>1321.3594337389279</v>
      </c>
      <c r="S34" s="110">
        <f>K34+L34-M34-O34-R34</f>
        <v>3964.078301216784</v>
      </c>
      <c r="T34" s="110">
        <f>-PV($F$60,B34,,S34)</f>
        <v>68.248299208882855</v>
      </c>
      <c r="U34" s="94">
        <f t="shared" si="7"/>
        <v>9.722145026585487</v>
      </c>
      <c r="V34" s="69">
        <f t="shared" si="10"/>
        <v>3477.2616677340206</v>
      </c>
      <c r="W34" s="112">
        <f>-PMT($F$60,B34,T34)</f>
        <v>9.722145026585487</v>
      </c>
    </row>
    <row r="35" spans="1:23" ht="25" customHeight="1" x14ac:dyDescent="0.2">
      <c r="B35" s="59">
        <v>32</v>
      </c>
      <c r="C35" s="94">
        <f>PMT($F$61,40,$F$54)</f>
        <v>-23.958499405544721</v>
      </c>
      <c r="D35" s="59"/>
      <c r="E35" s="59"/>
      <c r="F35" s="94">
        <f t="shared" si="1"/>
        <v>-34.226399999999998</v>
      </c>
      <c r="G35" s="94">
        <f t="shared" si="2"/>
        <v>-10.368</v>
      </c>
      <c r="H35" s="97">
        <f t="shared" si="3"/>
        <v>70</v>
      </c>
      <c r="I35" s="98">
        <f t="shared" si="9"/>
        <v>6129.5547888994442</v>
      </c>
      <c r="J35" s="61">
        <f t="shared" si="4"/>
        <v>6199.5547888994442</v>
      </c>
      <c r="K35" s="94">
        <f t="shared" si="5"/>
        <v>6131.0018894938994</v>
      </c>
      <c r="L35" s="94">
        <f t="shared" si="0"/>
        <v>-44.5944</v>
      </c>
      <c r="M35" s="59"/>
      <c r="N35" s="95">
        <v>2.564E-2</v>
      </c>
      <c r="O35" s="109">
        <f>N35*$F$54</f>
        <v>1.46260816</v>
      </c>
      <c r="P35" s="96">
        <f>P34-O35</f>
        <v>10.909664999999986</v>
      </c>
      <c r="Q35" s="94">
        <f>K35+L35-O35</f>
        <v>6084.9448813338995</v>
      </c>
      <c r="R35" s="59">
        <f t="shared" si="6"/>
        <v>1521.2362203334749</v>
      </c>
      <c r="S35" s="110">
        <f>K35+L35-M35-O35-R35</f>
        <v>4563.7086610004244</v>
      </c>
      <c r="T35" s="110">
        <f>-PV($F$60,B35,,S35)</f>
        <v>68.922761413907764</v>
      </c>
      <c r="U35" s="94">
        <f t="shared" si="7"/>
        <v>9.7971466121915416</v>
      </c>
      <c r="V35" s="69">
        <f t="shared" si="10"/>
        <v>4003.2532114038804</v>
      </c>
      <c r="W35" s="112">
        <f>-PMT($F$60,B35,T35)</f>
        <v>9.7971466121915416</v>
      </c>
    </row>
    <row r="36" spans="1:23" ht="25" customHeight="1" x14ac:dyDescent="0.2">
      <c r="B36" s="59">
        <v>33</v>
      </c>
      <c r="C36" s="94">
        <f>PMT($F$61,40,$F$54)</f>
        <v>-23.958499405544721</v>
      </c>
      <c r="D36" s="59"/>
      <c r="E36" s="59"/>
      <c r="F36" s="94">
        <f t="shared" si="1"/>
        <v>-34.226399999999998</v>
      </c>
      <c r="G36" s="94">
        <f t="shared" si="2"/>
        <v>-10.368</v>
      </c>
      <c r="H36" s="97">
        <f t="shared" si="3"/>
        <v>70</v>
      </c>
      <c r="I36" s="98">
        <f t="shared" si="9"/>
        <v>7048.9880072343603</v>
      </c>
      <c r="J36" s="61">
        <f t="shared" si="4"/>
        <v>7118.9880072343603</v>
      </c>
      <c r="K36" s="94">
        <f t="shared" si="5"/>
        <v>7050.4351078288155</v>
      </c>
      <c r="L36" s="94">
        <f t="shared" si="0"/>
        <v>-44.5944</v>
      </c>
      <c r="M36" s="59"/>
      <c r="N36" s="95">
        <v>2.564E-2</v>
      </c>
      <c r="O36" s="109">
        <f>N36*$F$54</f>
        <v>1.46260816</v>
      </c>
      <c r="P36" s="96">
        <f>P35-O36</f>
        <v>9.4470568399999859</v>
      </c>
      <c r="Q36" s="94">
        <f>K36+L36-O36</f>
        <v>7004.3780996688156</v>
      </c>
      <c r="R36" s="59">
        <f t="shared" si="6"/>
        <v>1751.0945249172039</v>
      </c>
      <c r="S36" s="110">
        <f>K36+L36-M36-O36-R36</f>
        <v>5253.2835747516119</v>
      </c>
      <c r="T36" s="110">
        <f>-PV($F$60,B36,,S36)</f>
        <v>69.59383205237971</v>
      </c>
      <c r="U36" s="94">
        <f t="shared" si="7"/>
        <v>9.8739433523307927</v>
      </c>
      <c r="V36" s="69">
        <f t="shared" si="10"/>
        <v>4608.1434866242207</v>
      </c>
      <c r="W36" s="112">
        <f>-PMT($F$60,B36,T36)</f>
        <v>9.8739433523307927</v>
      </c>
    </row>
    <row r="37" spans="1:23" ht="25" customHeight="1" x14ac:dyDescent="0.2">
      <c r="B37" s="59">
        <v>34</v>
      </c>
      <c r="C37" s="94">
        <f>PMT($F$61,40,$F$54)</f>
        <v>-23.958499405544721</v>
      </c>
      <c r="D37" s="59"/>
      <c r="E37" s="59"/>
      <c r="F37" s="94">
        <f t="shared" si="1"/>
        <v>-34.226399999999998</v>
      </c>
      <c r="G37" s="94">
        <f t="shared" si="2"/>
        <v>-10.368</v>
      </c>
      <c r="H37" s="97">
        <f t="shared" si="3"/>
        <v>70</v>
      </c>
      <c r="I37" s="98">
        <f t="shared" si="9"/>
        <v>8106.3362083195134</v>
      </c>
      <c r="J37" s="61">
        <f t="shared" si="4"/>
        <v>8176.3362083195134</v>
      </c>
      <c r="K37" s="94">
        <f t="shared" si="5"/>
        <v>8107.7833089139685</v>
      </c>
      <c r="L37" s="94">
        <f t="shared" si="0"/>
        <v>-44.5944</v>
      </c>
      <c r="M37" s="59"/>
      <c r="N37" s="95">
        <v>2.564E-2</v>
      </c>
      <c r="O37" s="109">
        <f>N37*$F$54</f>
        <v>1.46260816</v>
      </c>
      <c r="P37" s="96">
        <f>P36-O37</f>
        <v>7.9844486799999856</v>
      </c>
      <c r="Q37" s="94">
        <f>K37+L37-O37</f>
        <v>8061.7263007539686</v>
      </c>
      <c r="R37" s="59">
        <f t="shared" si="6"/>
        <v>2015.4315751884922</v>
      </c>
      <c r="S37" s="110">
        <f>K37+L37-M37-O37-R37</f>
        <v>6046.2947255654763</v>
      </c>
      <c r="T37" s="110">
        <f>-PV($F$60,B37,,S37)</f>
        <v>70.262624449360359</v>
      </c>
      <c r="U37" s="94">
        <f t="shared" si="7"/>
        <v>9.9524222727400868</v>
      </c>
      <c r="V37" s="69">
        <f t="shared" si="10"/>
        <v>5303.7673031276099</v>
      </c>
      <c r="W37" s="112">
        <f>-PMT($F$60,B37,T37)</f>
        <v>9.9524222727400868</v>
      </c>
    </row>
    <row r="38" spans="1:23" ht="25" customHeight="1" x14ac:dyDescent="0.2">
      <c r="B38" s="59">
        <v>35</v>
      </c>
      <c r="C38" s="94">
        <f>PMT($F$61,40,$F$54)</f>
        <v>-23.958499405544721</v>
      </c>
      <c r="D38" s="59"/>
      <c r="E38" s="59"/>
      <c r="F38" s="94">
        <f t="shared" si="1"/>
        <v>-34.226399999999998</v>
      </c>
      <c r="G38" s="94">
        <f t="shared" si="2"/>
        <v>-10.368</v>
      </c>
      <c r="H38" s="97">
        <f t="shared" si="3"/>
        <v>70</v>
      </c>
      <c r="I38" s="98">
        <f t="shared" si="9"/>
        <v>9322.2866395674391</v>
      </c>
      <c r="J38" s="61">
        <f t="shared" si="4"/>
        <v>9392.2866395674391</v>
      </c>
      <c r="K38" s="94">
        <f t="shared" si="5"/>
        <v>9323.7337401618952</v>
      </c>
      <c r="L38" s="94">
        <f t="shared" si="0"/>
        <v>-44.5944</v>
      </c>
      <c r="M38" s="59"/>
      <c r="N38" s="95">
        <v>2.564E-2</v>
      </c>
      <c r="O38" s="109">
        <f>N38*$F$54</f>
        <v>1.46260816</v>
      </c>
      <c r="P38" s="96">
        <f>P37-O38</f>
        <v>6.5218405199999854</v>
      </c>
      <c r="Q38" s="94">
        <f>K38+L38-O38</f>
        <v>9277.6767320018953</v>
      </c>
      <c r="R38" s="59">
        <f t="shared" si="6"/>
        <v>2319.4191830004738</v>
      </c>
      <c r="S38" s="110">
        <f>K38+L38-M38-O38-R38</f>
        <v>6958.2575490014215</v>
      </c>
      <c r="T38" s="110">
        <f>-PV($F$60,B38,,S38)</f>
        <v>70.930121318209899</v>
      </c>
      <c r="U38" s="94">
        <f t="shared" si="7"/>
        <v>10.032484736856201</v>
      </c>
      <c r="V38" s="69">
        <f t="shared" si="10"/>
        <v>6103.7346921065091</v>
      </c>
      <c r="W38" s="112">
        <f>-PMT($F$60,B38,T38)</f>
        <v>10.032484736856201</v>
      </c>
    </row>
    <row r="39" spans="1:23" ht="25" customHeight="1" x14ac:dyDescent="0.2">
      <c r="B39" s="59">
        <v>36</v>
      </c>
      <c r="C39" s="94">
        <f>PMT($F$61,40,$F$54)</f>
        <v>-23.958499405544721</v>
      </c>
      <c r="D39" s="59"/>
      <c r="E39" s="59"/>
      <c r="F39" s="94">
        <f t="shared" si="1"/>
        <v>-34.226399999999998</v>
      </c>
      <c r="G39" s="94">
        <f t="shared" si="2"/>
        <v>-10.368</v>
      </c>
      <c r="H39" s="97">
        <f t="shared" si="3"/>
        <v>70</v>
      </c>
      <c r="I39" s="98">
        <f t="shared" si="9"/>
        <v>10720.629635502553</v>
      </c>
      <c r="J39" s="61">
        <f t="shared" si="4"/>
        <v>10790.629635502553</v>
      </c>
      <c r="K39" s="94">
        <f t="shared" si="5"/>
        <v>10722.076736097009</v>
      </c>
      <c r="L39" s="94">
        <f t="shared" si="0"/>
        <v>-44.5944</v>
      </c>
      <c r="M39" s="59"/>
      <c r="N39" s="95">
        <v>2.564E-2</v>
      </c>
      <c r="O39" s="109">
        <f>N39*$F$54</f>
        <v>1.46260816</v>
      </c>
      <c r="P39" s="96">
        <f>P38-O39</f>
        <v>5.0592323599999851</v>
      </c>
      <c r="Q39" s="94">
        <f>K39+L39-O39</f>
        <v>10676.01972793701</v>
      </c>
      <c r="R39" s="59">
        <f t="shared" si="6"/>
        <v>2669.0049319842524</v>
      </c>
      <c r="S39" s="110">
        <f>K39+L39-M39-O39-R39</f>
        <v>8007.0147959527567</v>
      </c>
      <c r="T39" s="110">
        <f>-PV($F$60,B39,,S39)</f>
        <v>71.597190854238235</v>
      </c>
      <c r="U39" s="94">
        <f t="shared" si="7"/>
        <v>10.1140445666059</v>
      </c>
      <c r="V39" s="69">
        <f t="shared" si="10"/>
        <v>7023.6971894322423</v>
      </c>
      <c r="W39" s="112">
        <f>-PMT($F$60,B39,T39)</f>
        <v>10.1140445666059</v>
      </c>
    </row>
    <row r="40" spans="1:23" ht="25" customHeight="1" x14ac:dyDescent="0.2">
      <c r="B40" s="59">
        <v>37</v>
      </c>
      <c r="C40" s="94">
        <f>PMT($F$61,40,$F$54)</f>
        <v>-23.958499405544721</v>
      </c>
      <c r="D40" s="59"/>
      <c r="E40" s="59"/>
      <c r="F40" s="94">
        <f t="shared" si="1"/>
        <v>-34.226399999999998</v>
      </c>
      <c r="G40" s="94">
        <f t="shared" si="2"/>
        <v>-10.368</v>
      </c>
      <c r="H40" s="97">
        <f t="shared" si="3"/>
        <v>70</v>
      </c>
      <c r="I40" s="98">
        <f t="shared" si="9"/>
        <v>12328.724080827935</v>
      </c>
      <c r="J40" s="61">
        <f t="shared" si="4"/>
        <v>12398.724080827935</v>
      </c>
      <c r="K40" s="94">
        <f t="shared" si="5"/>
        <v>12330.171181422391</v>
      </c>
      <c r="L40" s="94">
        <f t="shared" si="0"/>
        <v>-44.5944</v>
      </c>
      <c r="M40" s="59"/>
      <c r="N40" s="95">
        <v>2.564E-2</v>
      </c>
      <c r="O40" s="109">
        <f>N40*$F$54</f>
        <v>1.46260816</v>
      </c>
      <c r="P40" s="96">
        <f>P39-O40</f>
        <v>3.5966241999999848</v>
      </c>
      <c r="Q40" s="94">
        <f>K40+L40-O40</f>
        <v>12284.114173262391</v>
      </c>
      <c r="R40" s="59">
        <f t="shared" si="6"/>
        <v>3071.0285433155977</v>
      </c>
      <c r="S40" s="110">
        <f>K40+L40-M40-O40-R40</f>
        <v>9213.0856299467923</v>
      </c>
      <c r="T40" s="110">
        <f>-PV($F$60,B40,,S40)</f>
        <v>72.26460085241348</v>
      </c>
      <c r="U40" s="94">
        <f t="shared" si="7"/>
        <v>10.197026448360978</v>
      </c>
      <c r="V40" s="69">
        <f t="shared" si="10"/>
        <v>8081.6540613568341</v>
      </c>
      <c r="W40" s="112">
        <f>-PMT($F$60,B40,T40)</f>
        <v>10.197026448360978</v>
      </c>
    </row>
    <row r="41" spans="1:23" ht="25" customHeight="1" x14ac:dyDescent="0.2">
      <c r="B41" s="59">
        <v>38</v>
      </c>
      <c r="C41" s="94">
        <f>PMT($F$61,40,$F$54)</f>
        <v>-23.958499405544721</v>
      </c>
      <c r="D41" s="59"/>
      <c r="E41" s="59"/>
      <c r="F41" s="94">
        <f t="shared" si="1"/>
        <v>-34.226399999999998</v>
      </c>
      <c r="G41" s="94">
        <f t="shared" si="2"/>
        <v>-10.368</v>
      </c>
      <c r="H41" s="97">
        <f t="shared" si="3"/>
        <v>70</v>
      </c>
      <c r="I41" s="98">
        <f t="shared" si="9"/>
        <v>14178.032692952123</v>
      </c>
      <c r="J41" s="61">
        <f t="shared" si="4"/>
        <v>14248.032692952123</v>
      </c>
      <c r="K41" s="94">
        <f t="shared" si="5"/>
        <v>14179.479793546579</v>
      </c>
      <c r="L41" s="94">
        <f t="shared" si="0"/>
        <v>-44.5944</v>
      </c>
      <c r="M41" s="59"/>
      <c r="N41" s="95">
        <v>2.564E-2</v>
      </c>
      <c r="O41" s="109">
        <f>N41*$F$54</f>
        <v>1.46260816</v>
      </c>
      <c r="P41" s="96">
        <f>P40-O41</f>
        <v>2.1340160399999846</v>
      </c>
      <c r="Q41" s="94">
        <f>K41+L41-O41</f>
        <v>14133.42278538658</v>
      </c>
      <c r="R41" s="59">
        <f t="shared" si="6"/>
        <v>3533.3556963466449</v>
      </c>
      <c r="S41" s="110">
        <f>K41+L41-M41-O41-R41</f>
        <v>10600.067089039934</v>
      </c>
      <c r="T41" s="110">
        <f>-PV($F$60,B41,,S41)</f>
        <v>72.933031091790909</v>
      </c>
      <c r="U41" s="94">
        <f t="shared" si="7"/>
        <v>10.281364573246309</v>
      </c>
      <c r="V41" s="69">
        <f t="shared" si="10"/>
        <v>9298.3044640701173</v>
      </c>
      <c r="W41" s="112">
        <f>-PMT($F$60,B41,T41)</f>
        <v>10.281364573246309</v>
      </c>
    </row>
    <row r="42" spans="1:23" ht="25" customHeight="1" x14ac:dyDescent="0.2">
      <c r="B42" s="59">
        <v>39</v>
      </c>
      <c r="C42" s="94">
        <f>PMT($F$61,40,$F$54)</f>
        <v>-23.958499405544721</v>
      </c>
      <c r="D42" s="59"/>
      <c r="E42" s="59"/>
      <c r="F42" s="94">
        <f>-$F$55</f>
        <v>-34.226399999999998</v>
      </c>
      <c r="G42" s="94">
        <f t="shared" si="2"/>
        <v>-10.368</v>
      </c>
      <c r="H42" s="97">
        <f t="shared" si="3"/>
        <v>70</v>
      </c>
      <c r="I42" s="98">
        <f t="shared" si="9"/>
        <v>16304.73759689494</v>
      </c>
      <c r="J42" s="61">
        <f t="shared" si="4"/>
        <v>16374.73759689494</v>
      </c>
      <c r="K42" s="94">
        <f t="shared" si="5"/>
        <v>16306.184697489396</v>
      </c>
      <c r="L42" s="94">
        <f t="shared" si="0"/>
        <v>-44.5944</v>
      </c>
      <c r="M42" s="59"/>
      <c r="N42" s="95">
        <v>2.5600000000000001E-2</v>
      </c>
      <c r="O42" s="109">
        <f t="shared" ref="O42:O43" si="11">N42*$F$54</f>
        <v>1.4603264000000002</v>
      </c>
      <c r="P42" s="96">
        <f>P41-O42</f>
        <v>0.67368963999998432</v>
      </c>
      <c r="Q42" s="94">
        <f>K42+L42-O42</f>
        <v>16260.129971089396</v>
      </c>
      <c r="R42" s="59">
        <f t="shared" si="6"/>
        <v>4065.0324927723491</v>
      </c>
      <c r="S42" s="110">
        <f>K42+L42-M42-O42-R42</f>
        <v>12195.097478317048</v>
      </c>
      <c r="T42" s="110">
        <f>-PV($F$60,B42,,S42)</f>
        <v>73.603094528139451</v>
      </c>
      <c r="U42" s="94">
        <f t="shared" si="7"/>
        <v>10.367002926203778</v>
      </c>
      <c r="V42" s="69">
        <f t="shared" si="10"/>
        <v>10697.453928348286</v>
      </c>
      <c r="W42" s="112">
        <f>-PMT($F$60,B42,T42)</f>
        <v>10.367002926203778</v>
      </c>
    </row>
    <row r="43" spans="1:23" ht="25" customHeight="1" x14ac:dyDescent="0.2">
      <c r="B43" s="59">
        <v>40</v>
      </c>
      <c r="C43" s="94">
        <f>PMT($F$61,40,$F$54)</f>
        <v>-23.958499405544721</v>
      </c>
      <c r="D43" s="59"/>
      <c r="E43" s="59"/>
      <c r="F43" s="94">
        <f>-$F$55</f>
        <v>-34.226399999999998</v>
      </c>
      <c r="G43" s="94">
        <f t="shared" si="2"/>
        <v>-10.368</v>
      </c>
      <c r="H43" s="97">
        <f t="shared" si="3"/>
        <v>70</v>
      </c>
      <c r="I43" s="98">
        <f t="shared" si="9"/>
        <v>18750.44823642918</v>
      </c>
      <c r="J43" s="61">
        <f t="shared" si="4"/>
        <v>18820.44823642918</v>
      </c>
      <c r="K43" s="94">
        <f t="shared" si="5"/>
        <v>18751.895337023634</v>
      </c>
      <c r="L43" s="94">
        <f t="shared" si="0"/>
        <v>-44.5944</v>
      </c>
      <c r="M43" s="59"/>
      <c r="N43" s="95">
        <v>1.17E-2</v>
      </c>
      <c r="O43" s="109">
        <f t="shared" si="11"/>
        <v>0.66741480000000009</v>
      </c>
      <c r="P43" s="96">
        <f>P42-O43</f>
        <v>6.2748399999842386E-3</v>
      </c>
      <c r="Q43" s="94">
        <f>K43+L43-O43</f>
        <v>18706.633522223634</v>
      </c>
      <c r="R43" s="59">
        <f t="shared" si="6"/>
        <v>4676.6583805559085</v>
      </c>
      <c r="S43" s="110">
        <f>K43+L43-M43-O43-R43</f>
        <v>14029.975141667725</v>
      </c>
      <c r="T43" s="110">
        <f>-PV($F$60,B43,,S43)</f>
        <v>74.278452656442468</v>
      </c>
      <c r="U43" s="94">
        <f t="shared" si="7"/>
        <v>10.454331407279726</v>
      </c>
      <c r="V43" s="69">
        <f t="shared" si="10"/>
        <v>12306.99573830502</v>
      </c>
      <c r="W43" s="112">
        <f>-PMT($F$60,B43,T43)</f>
        <v>10.454331407279726</v>
      </c>
    </row>
    <row r="44" spans="1:23" ht="25" customHeight="1" thickBot="1" x14ac:dyDescent="0.25">
      <c r="S44" s="112">
        <f>SUM(S4:S43)</f>
        <v>106075.38008343155</v>
      </c>
      <c r="T44" s="112">
        <f>SUM(T4:T43)</f>
        <v>2287.2561641679058</v>
      </c>
      <c r="U44" s="113"/>
      <c r="V44" s="113">
        <f t="shared" si="10"/>
        <v>93048.579020553982</v>
      </c>
    </row>
    <row r="45" spans="1:23" ht="25" customHeight="1" x14ac:dyDescent="0.2">
      <c r="D45" s="58" t="s">
        <v>46</v>
      </c>
      <c r="E45" s="57" t="s">
        <v>80</v>
      </c>
      <c r="F45" s="87" t="s">
        <v>46</v>
      </c>
      <c r="G45" s="57" t="s">
        <v>80</v>
      </c>
      <c r="R45" s="93" t="s">
        <v>112</v>
      </c>
      <c r="S45" s="125">
        <f>AVERAGE(S4:S43)</f>
        <v>2651.8845020857889</v>
      </c>
      <c r="T45" s="112">
        <f>AVERAGE(T4:T44)</f>
        <v>111.57347142282467</v>
      </c>
      <c r="U45" s="113"/>
      <c r="V45" s="113"/>
    </row>
    <row r="46" spans="1:23" ht="25" customHeight="1" x14ac:dyDescent="0.2">
      <c r="A46" s="59">
        <v>1</v>
      </c>
      <c r="B46" s="59" t="s">
        <v>81</v>
      </c>
      <c r="C46" s="59" t="s">
        <v>82</v>
      </c>
      <c r="D46" s="60">
        <v>191000</v>
      </c>
      <c r="E46" s="71">
        <v>135000</v>
      </c>
      <c r="F46" s="99">
        <v>135000</v>
      </c>
      <c r="G46" s="79">
        <v>135000</v>
      </c>
      <c r="R46" s="93" t="s">
        <v>113</v>
      </c>
      <c r="S46" s="126">
        <f>PV(F60,40,-S45)</f>
        <v>18841.747957346179</v>
      </c>
      <c r="U46" s="113"/>
      <c r="V46" s="113"/>
    </row>
    <row r="47" spans="1:23" ht="25" customHeight="1" x14ac:dyDescent="0.2">
      <c r="A47" s="59">
        <v>2</v>
      </c>
      <c r="B47" s="59" t="s">
        <v>89</v>
      </c>
      <c r="C47" s="59" t="s">
        <v>90</v>
      </c>
      <c r="D47" s="61">
        <v>313</v>
      </c>
      <c r="E47" s="72">
        <v>250</v>
      </c>
      <c r="F47" s="100">
        <v>250</v>
      </c>
      <c r="G47" s="80">
        <v>250</v>
      </c>
      <c r="R47" s="93" t="s">
        <v>75</v>
      </c>
      <c r="S47" s="126">
        <f>PMT(F60,40,-S46)</f>
        <v>2651.8845020857889</v>
      </c>
      <c r="U47" s="113"/>
      <c r="V47" s="113"/>
    </row>
    <row r="48" spans="1:23" ht="25" customHeight="1" x14ac:dyDescent="0.2">
      <c r="A48" s="59">
        <v>3</v>
      </c>
      <c r="B48" s="59" t="s">
        <v>88</v>
      </c>
      <c r="C48" s="59" t="s">
        <v>87</v>
      </c>
      <c r="D48" s="61">
        <v>75</v>
      </c>
      <c r="E48" s="72">
        <v>60</v>
      </c>
      <c r="F48" s="100">
        <v>60</v>
      </c>
      <c r="G48" s="80">
        <v>60</v>
      </c>
      <c r="R48" s="93" t="s">
        <v>91</v>
      </c>
      <c r="S48" s="127">
        <f>IRR(S3:S43)</f>
        <v>0.41803399894460136</v>
      </c>
      <c r="U48" s="113"/>
      <c r="V48" s="113"/>
    </row>
    <row r="49" spans="1:22" ht="25" customHeight="1" x14ac:dyDescent="0.2">
      <c r="A49" s="59">
        <v>4</v>
      </c>
      <c r="B49" s="59" t="s">
        <v>86</v>
      </c>
      <c r="C49" s="59" t="s">
        <v>87</v>
      </c>
      <c r="D49" s="61">
        <v>24</v>
      </c>
      <c r="E49" s="72">
        <v>24</v>
      </c>
      <c r="F49" s="100">
        <v>24</v>
      </c>
      <c r="G49" s="80">
        <v>24</v>
      </c>
      <c r="R49" s="93" t="s">
        <v>111</v>
      </c>
      <c r="S49" s="128">
        <f>COUNTIF(S4:S43,"&lt;251")+1</f>
        <v>13</v>
      </c>
      <c r="U49" s="113"/>
      <c r="V49" s="113"/>
    </row>
    <row r="50" spans="1:22" ht="25" customHeight="1" x14ac:dyDescent="0.2">
      <c r="A50" s="59">
        <v>5</v>
      </c>
      <c r="B50" s="59" t="s">
        <v>83</v>
      </c>
      <c r="C50" s="59" t="s">
        <v>84</v>
      </c>
      <c r="D50" s="59">
        <v>200</v>
      </c>
      <c r="E50" s="73">
        <v>150</v>
      </c>
      <c r="F50" s="101">
        <v>150</v>
      </c>
      <c r="G50" s="81">
        <v>150</v>
      </c>
      <c r="U50" s="113"/>
      <c r="V50" s="113"/>
    </row>
    <row r="51" spans="1:22" ht="25" customHeight="1" x14ac:dyDescent="0.2">
      <c r="A51" s="59">
        <v>6</v>
      </c>
      <c r="B51" s="59" t="s">
        <v>85</v>
      </c>
      <c r="C51" s="59" t="s">
        <v>84</v>
      </c>
      <c r="D51" s="59">
        <v>2649008</v>
      </c>
      <c r="E51" s="71">
        <v>99100</v>
      </c>
      <c r="F51" s="99">
        <v>99100</v>
      </c>
      <c r="G51" s="79">
        <v>99100</v>
      </c>
      <c r="U51" s="113"/>
      <c r="V51" s="113"/>
    </row>
    <row r="52" spans="1:22" ht="11" customHeight="1" x14ac:dyDescent="0.2">
      <c r="A52" s="64"/>
      <c r="B52" s="64"/>
      <c r="C52" s="64"/>
      <c r="D52" s="64"/>
      <c r="E52" s="64"/>
      <c r="F52" s="102"/>
      <c r="G52" s="64"/>
    </row>
    <row r="53" spans="1:22" ht="25" customHeight="1" x14ac:dyDescent="0.2">
      <c r="A53" s="59">
        <v>1</v>
      </c>
      <c r="B53" s="62" t="s">
        <v>7</v>
      </c>
      <c r="C53" s="59" t="s">
        <v>97</v>
      </c>
      <c r="D53" s="63">
        <f>(D46*D47)*1.3</f>
        <v>77717900</v>
      </c>
      <c r="E53" s="74">
        <f>(E46*E47)*1.3</f>
        <v>43875000</v>
      </c>
      <c r="F53" s="103">
        <v>43.88</v>
      </c>
      <c r="G53" s="82">
        <v>43.875</v>
      </c>
    </row>
    <row r="54" spans="1:22" ht="34" x14ac:dyDescent="0.2">
      <c r="A54" s="59">
        <v>2</v>
      </c>
      <c r="B54" s="70" t="s">
        <v>96</v>
      </c>
      <c r="C54" s="59" t="s">
        <v>97</v>
      </c>
      <c r="D54" s="61">
        <f>D53*1.3</f>
        <v>101033270</v>
      </c>
      <c r="E54" s="72">
        <f>E53*1.3</f>
        <v>57037500</v>
      </c>
      <c r="F54" s="104">
        <f>F53*1.3</f>
        <v>57.044000000000004</v>
      </c>
      <c r="G54" s="83">
        <f>G53*1.3</f>
        <v>57.037500000000001</v>
      </c>
    </row>
    <row r="55" spans="1:22" ht="25" customHeight="1" x14ac:dyDescent="0.2">
      <c r="A55" s="59">
        <v>3</v>
      </c>
      <c r="B55" s="59" t="s">
        <v>9</v>
      </c>
      <c r="C55" s="59" t="s">
        <v>97</v>
      </c>
      <c r="D55" s="65">
        <f>D54/2</f>
        <v>50516635</v>
      </c>
      <c r="E55" s="75">
        <f>E54/2</f>
        <v>28518750</v>
      </c>
      <c r="F55" s="105">
        <f>F54/2*1.2</f>
        <v>34.226399999999998</v>
      </c>
      <c r="G55" s="82">
        <f>G54/2*1.2</f>
        <v>34.222499999999997</v>
      </c>
    </row>
    <row r="56" spans="1:22" ht="25" customHeight="1" x14ac:dyDescent="0.2">
      <c r="A56" s="59"/>
      <c r="B56" s="59" t="s">
        <v>11</v>
      </c>
      <c r="C56" s="59" t="s">
        <v>97</v>
      </c>
      <c r="D56" s="88"/>
      <c r="E56" s="75"/>
      <c r="F56" s="106">
        <f>F49*F50*60*4*12</f>
        <v>10368000</v>
      </c>
      <c r="G56" s="89">
        <f>G49*G50*60*4*12</f>
        <v>10368000</v>
      </c>
    </row>
    <row r="57" spans="1:22" ht="25" customHeight="1" x14ac:dyDescent="0.2">
      <c r="A57" s="59"/>
      <c r="B57" s="59"/>
      <c r="C57" s="59"/>
      <c r="D57" s="88"/>
      <c r="E57" s="75"/>
      <c r="F57" s="105">
        <v>10.368</v>
      </c>
      <c r="G57" s="90">
        <v>10.36</v>
      </c>
    </row>
    <row r="58" spans="1:22" ht="25" customHeight="1" x14ac:dyDescent="0.2">
      <c r="A58" s="59"/>
      <c r="B58" s="59" t="s">
        <v>16</v>
      </c>
      <c r="C58" s="59" t="s">
        <v>97</v>
      </c>
      <c r="D58" s="91"/>
      <c r="E58" s="73"/>
      <c r="F58" s="101">
        <v>70</v>
      </c>
      <c r="G58" s="81">
        <f>20*12</f>
        <v>240</v>
      </c>
    </row>
    <row r="59" spans="1:22" ht="25" customHeight="1" x14ac:dyDescent="0.2">
      <c r="A59" s="59"/>
      <c r="B59" s="59"/>
      <c r="C59" s="59" t="s">
        <v>94</v>
      </c>
      <c r="D59" s="59"/>
      <c r="E59" s="73"/>
      <c r="F59" s="101">
        <f>F58*1.15</f>
        <v>80.5</v>
      </c>
      <c r="G59" s="92">
        <f>G58*1.15</f>
        <v>276</v>
      </c>
    </row>
    <row r="60" spans="1:22" ht="25" customHeight="1" x14ac:dyDescent="0.2">
      <c r="A60" s="59">
        <v>5</v>
      </c>
      <c r="B60" s="59" t="s">
        <v>50</v>
      </c>
      <c r="C60" s="59" t="s">
        <v>36</v>
      </c>
      <c r="D60" s="66">
        <v>0.14000000000000001</v>
      </c>
      <c r="E60" s="76">
        <v>0.14000000000000001</v>
      </c>
      <c r="F60" s="107">
        <v>0.14000000000000001</v>
      </c>
      <c r="G60" s="84">
        <v>0.14000000000000001</v>
      </c>
    </row>
    <row r="61" spans="1:22" ht="25" customHeight="1" x14ac:dyDescent="0.2">
      <c r="A61" s="59">
        <v>6</v>
      </c>
      <c r="B61" s="59" t="s">
        <v>91</v>
      </c>
      <c r="C61" s="59" t="s">
        <v>36</v>
      </c>
      <c r="D61" s="68">
        <v>0.12</v>
      </c>
      <c r="E61" s="77">
        <v>0.12</v>
      </c>
      <c r="F61" s="108">
        <v>0.42</v>
      </c>
      <c r="G61" s="85">
        <v>0.12</v>
      </c>
    </row>
    <row r="62" spans="1:22" ht="25" customHeight="1" x14ac:dyDescent="0.2">
      <c r="A62" s="59">
        <v>7</v>
      </c>
      <c r="B62" s="59" t="s">
        <v>59</v>
      </c>
      <c r="C62" s="59" t="s">
        <v>36</v>
      </c>
      <c r="D62" s="67">
        <v>0.25</v>
      </c>
      <c r="E62" s="78">
        <v>0.25</v>
      </c>
      <c r="F62" s="117">
        <v>0.25</v>
      </c>
      <c r="G62" s="86">
        <v>0.25</v>
      </c>
    </row>
    <row r="63" spans="1:22" ht="25" customHeight="1" x14ac:dyDescent="0.2">
      <c r="A63" s="59">
        <v>8</v>
      </c>
      <c r="B63" s="59" t="s">
        <v>92</v>
      </c>
      <c r="C63" s="59" t="s">
        <v>93</v>
      </c>
      <c r="D63" s="59">
        <v>40</v>
      </c>
      <c r="E63" s="73">
        <v>40</v>
      </c>
      <c r="F63" s="101">
        <v>40</v>
      </c>
      <c r="G63" s="8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TARGET at PuertoRico</vt:lpstr>
      <vt:lpstr>TARGET at US V I</vt:lpstr>
      <vt:lpstr>Puerto Rico</vt:lpstr>
      <vt:lpstr>US Virgin Islands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arunganishkarkr@gmail.com</dc:creator>
  <cp:lastModifiedBy>arunganishkarkr@gmail.com</cp:lastModifiedBy>
  <dcterms:created xsi:type="dcterms:W3CDTF">2023-05-14T12:00:06Z</dcterms:created>
  <dcterms:modified xsi:type="dcterms:W3CDTF">2023-05-15T18:58:32Z</dcterms:modified>
</cp:coreProperties>
</file>