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SCIENTIST\NEWWST RESUME DATA SCIENTIST 2024\AALL MODELS PROJECTS TILL NOW\SOM Projects\"/>
    </mc:Choice>
  </mc:AlternateContent>
  <xr:revisionPtr revIDLastSave="0" documentId="13_ncr:1_{80745EF3-2539-4219-A74E-6B9AC47ECFD9}" xr6:coauthVersionLast="47" xr6:coauthVersionMax="47" xr10:uidLastSave="{00000000-0000-0000-0000-000000000000}"/>
  <bookViews>
    <workbookView xWindow="-110" yWindow="-110" windowWidth="19420" windowHeight="11500" firstSheet="6" activeTab="7" xr2:uid="{F7F51478-CEA3-4F05-9568-FBCD14281E61}"/>
  </bookViews>
  <sheets>
    <sheet name="INDEX_PAGE" sheetId="8" r:id="rId1"/>
    <sheet name="NAIVE" sheetId="10" r:id="rId2"/>
    <sheet name="SIMPLE MOVING AVERAGE" sheetId="11" r:id="rId3"/>
    <sheet name="WEIGHTED MOVING AVERAGE" sheetId="12" r:id="rId4"/>
    <sheet name="SIMPLE EXPONENTIAL SMOOTHING " sheetId="13" r:id="rId5"/>
    <sheet name="LINEAR TREND" sheetId="14" r:id="rId6"/>
    <sheet name="HOOKAH_TES" sheetId="3" r:id="rId7"/>
    <sheet name="WHISKEY_TES" sheetId="1" r:id="rId8"/>
    <sheet name="CHICKEN_TES" sheetId="2" r:id="rId9"/>
    <sheet name="HOOKAH_REGRESSION" sheetId="6" r:id="rId10"/>
    <sheet name="WHISKEY_REGRESSION" sheetId="4" r:id="rId11"/>
    <sheet name="CHICKEN_REGRESSION" sheetId="5" r:id="rId12"/>
  </sheets>
  <definedNames>
    <definedName name="North">CHICKEN_REGRESSION!#REF!</definedName>
    <definedName name="Regions">CHICKEN_REGRESSION!#REF!</definedName>
    <definedName name="solver_adj" localSheetId="8" hidden="1">CHICKEN_TES!$C$33:$C$35</definedName>
    <definedName name="solver_adj" localSheetId="6" hidden="1">HOOKAH_TES!$P$22:$P$24</definedName>
    <definedName name="solver_adj" localSheetId="4" hidden="1">'SIMPLE EXPONENTIAL SMOOTHING '!$M$37</definedName>
    <definedName name="solver_adj" localSheetId="3" hidden="1">'WEIGHTED MOVING AVERAGE'!$N$63:$N$65</definedName>
    <definedName name="solver_adj" localSheetId="10" hidden="1">WHISKEY_REGRESSION!$I$30:$I$32</definedName>
    <definedName name="solver_adj" localSheetId="7" hidden="1">WHISKEY_TES!$C$33:$C$35</definedName>
    <definedName name="solver_cvg" localSheetId="8" hidden="1">0.0001</definedName>
    <definedName name="solver_cvg" localSheetId="9" hidden="1">0.0001</definedName>
    <definedName name="solver_cvg" localSheetId="6" hidden="1">0.0001</definedName>
    <definedName name="solver_cvg" localSheetId="1" hidden="1">0.0001</definedName>
    <definedName name="solver_cvg" localSheetId="4" hidden="1">0.0001</definedName>
    <definedName name="solver_cvg" localSheetId="3" hidden="1">0.0001</definedName>
    <definedName name="solver_cvg" localSheetId="10" hidden="1">0.0001</definedName>
    <definedName name="solver_cvg" localSheetId="7" hidden="1">0.0001</definedName>
    <definedName name="solver_drv" localSheetId="8" hidden="1">2</definedName>
    <definedName name="solver_drv" localSheetId="9" hidden="1">1</definedName>
    <definedName name="solver_drv" localSheetId="6" hidden="1">1</definedName>
    <definedName name="solver_drv" localSheetId="1" hidden="1">1</definedName>
    <definedName name="solver_drv" localSheetId="4" hidden="1">1</definedName>
    <definedName name="solver_drv" localSheetId="3" hidden="1">2</definedName>
    <definedName name="solver_drv" localSheetId="10" hidden="1">1</definedName>
    <definedName name="solver_drv" localSheetId="7" hidden="1">1</definedName>
    <definedName name="solver_eng" localSheetId="11" hidden="1">1</definedName>
    <definedName name="solver_eng" localSheetId="8" hidden="1">1</definedName>
    <definedName name="solver_eng" localSheetId="9" hidden="1">3</definedName>
    <definedName name="solver_eng" localSheetId="6" hidden="1">1</definedName>
    <definedName name="solver_eng" localSheetId="1" hidden="1">1</definedName>
    <definedName name="solver_eng" localSheetId="4" hidden="1">1</definedName>
    <definedName name="solver_eng" localSheetId="2" hidden="1">1</definedName>
    <definedName name="solver_eng" localSheetId="3" hidden="1">1</definedName>
    <definedName name="solver_eng" localSheetId="10" hidden="1">1</definedName>
    <definedName name="solver_eng" localSheetId="7" hidden="1">1</definedName>
    <definedName name="solver_est" localSheetId="8" hidden="1">1</definedName>
    <definedName name="solver_est" localSheetId="9" hidden="1">1</definedName>
    <definedName name="solver_est" localSheetId="6" hidden="1">1</definedName>
    <definedName name="solver_est" localSheetId="1" hidden="1">1</definedName>
    <definedName name="solver_est" localSheetId="4" hidden="1">1</definedName>
    <definedName name="solver_est" localSheetId="3" hidden="1">1</definedName>
    <definedName name="solver_est" localSheetId="10" hidden="1">1</definedName>
    <definedName name="solver_est" localSheetId="7" hidden="1">1</definedName>
    <definedName name="solver_itr" localSheetId="8" hidden="1">2147483647</definedName>
    <definedName name="solver_itr" localSheetId="9" hidden="1">2147483647</definedName>
    <definedName name="solver_itr" localSheetId="6" hidden="1">2147483647</definedName>
    <definedName name="solver_itr" localSheetId="1" hidden="1">2147483647</definedName>
    <definedName name="solver_itr" localSheetId="4" hidden="1">2147483647</definedName>
    <definedName name="solver_itr" localSheetId="3" hidden="1">2147483647</definedName>
    <definedName name="solver_itr" localSheetId="10" hidden="1">2147483647</definedName>
    <definedName name="solver_itr" localSheetId="7" hidden="1">2147483647</definedName>
    <definedName name="solver_lhs1" localSheetId="8" hidden="1">CHICKEN_TES!$C$33:$C$35</definedName>
    <definedName name="solver_lhs1" localSheetId="9" hidden="1">HOOKAH_REGRESSION!$I$31</definedName>
    <definedName name="solver_lhs1" localSheetId="6" hidden="1">HOOKAH_TES!$P$22:$P$24</definedName>
    <definedName name="solver_lhs1" localSheetId="1" hidden="1">NAIVE!$N$20:$N$22</definedName>
    <definedName name="solver_lhs1" localSheetId="4" hidden="1">'SIMPLE EXPONENTIAL SMOOTHING '!$O$62</definedName>
    <definedName name="solver_lhs1" localSheetId="3" hidden="1">'WEIGHTED MOVING AVERAGE'!$N$63:$N$65</definedName>
    <definedName name="solver_lhs1" localSheetId="10" hidden="1">WHISKEY_REGRESSION!$I$30:$I$32</definedName>
    <definedName name="solver_lhs1" localSheetId="7" hidden="1">WHISKEY_TES!$C$33:$C$35</definedName>
    <definedName name="solver_lhs2" localSheetId="8" hidden="1">CHICKEN_TES!$C$33:$C$35</definedName>
    <definedName name="solver_lhs2" localSheetId="1" hidden="1">NAIVE!$N$20:$N$22</definedName>
    <definedName name="solver_lhs2" localSheetId="4" hidden="1">'SIMPLE EXPONENTIAL SMOOTHING '!$P$34</definedName>
    <definedName name="solver_lhs2" localSheetId="3" hidden="1">'WEIGHTED MOVING AVERAGE'!$P$4:$P$6</definedName>
    <definedName name="solver_lhs3" localSheetId="4" hidden="1">'SIMPLE EXPONENTIAL SMOOTHING '!$P$5</definedName>
    <definedName name="solver_lhs3" localSheetId="3" hidden="1">'WEIGHTED MOVING AVERAGE'!$Q$34:$Q$36</definedName>
    <definedName name="solver_lhs4" localSheetId="3" hidden="1">'WEIGHTED MOVING AVERAGE'!$P$7</definedName>
    <definedName name="solver_lhs5" localSheetId="3" hidden="1">'WEIGHTED MOVING AVERAGE'!$P$7</definedName>
    <definedName name="solver_lhs6" localSheetId="3" hidden="1">'WEIGHTED MOVING AVERAGE'!$P$7</definedName>
    <definedName name="solver_mip" localSheetId="8" hidden="1">2147483647</definedName>
    <definedName name="solver_mip" localSheetId="9" hidden="1">2147483647</definedName>
    <definedName name="solver_mip" localSheetId="6" hidden="1">2147483647</definedName>
    <definedName name="solver_mip" localSheetId="1" hidden="1">2147483647</definedName>
    <definedName name="solver_mip" localSheetId="4" hidden="1">2147483647</definedName>
    <definedName name="solver_mip" localSheetId="3" hidden="1">2147483647</definedName>
    <definedName name="solver_mip" localSheetId="10" hidden="1">2147483647</definedName>
    <definedName name="solver_mip" localSheetId="7" hidden="1">2147483647</definedName>
    <definedName name="solver_mni" localSheetId="8" hidden="1">30</definedName>
    <definedName name="solver_mni" localSheetId="9" hidden="1">30</definedName>
    <definedName name="solver_mni" localSheetId="6" hidden="1">30</definedName>
    <definedName name="solver_mni" localSheetId="1" hidden="1">30</definedName>
    <definedName name="solver_mni" localSheetId="4" hidden="1">30</definedName>
    <definedName name="solver_mni" localSheetId="3" hidden="1">30</definedName>
    <definedName name="solver_mni" localSheetId="10" hidden="1">30</definedName>
    <definedName name="solver_mni" localSheetId="7" hidden="1">30</definedName>
    <definedName name="solver_mrt" localSheetId="8" hidden="1">0.075</definedName>
    <definedName name="solver_mrt" localSheetId="9" hidden="1">0.075</definedName>
    <definedName name="solver_mrt" localSheetId="6" hidden="1">0.075</definedName>
    <definedName name="solver_mrt" localSheetId="1" hidden="1">0.075</definedName>
    <definedName name="solver_mrt" localSheetId="4" hidden="1">0.075</definedName>
    <definedName name="solver_mrt" localSheetId="3" hidden="1">0.075</definedName>
    <definedName name="solver_mrt" localSheetId="10" hidden="1">0.075</definedName>
    <definedName name="solver_mrt" localSheetId="7" hidden="1">0.075</definedName>
    <definedName name="solver_msl" localSheetId="8" hidden="1">2</definedName>
    <definedName name="solver_msl" localSheetId="9" hidden="1">2</definedName>
    <definedName name="solver_msl" localSheetId="6" hidden="1">2</definedName>
    <definedName name="solver_msl" localSheetId="1" hidden="1">2</definedName>
    <definedName name="solver_msl" localSheetId="4" hidden="1">2</definedName>
    <definedName name="solver_msl" localSheetId="3" hidden="1">2</definedName>
    <definedName name="solver_msl" localSheetId="10" hidden="1">2</definedName>
    <definedName name="solver_msl" localSheetId="7" hidden="1">2</definedName>
    <definedName name="solver_neg" localSheetId="11" hidden="1">1</definedName>
    <definedName name="solver_neg" localSheetId="8" hidden="1">1</definedName>
    <definedName name="solver_neg" localSheetId="9" hidden="1">2</definedName>
    <definedName name="solver_neg" localSheetId="6" hidden="1">1</definedName>
    <definedName name="solver_neg" localSheetId="1" hidden="1">1</definedName>
    <definedName name="solver_neg" localSheetId="4" hidden="1">1</definedName>
    <definedName name="solver_neg" localSheetId="2" hidden="1">1</definedName>
    <definedName name="solver_neg" localSheetId="3" hidden="1">1</definedName>
    <definedName name="solver_neg" localSheetId="10" hidden="1">1</definedName>
    <definedName name="solver_neg" localSheetId="7" hidden="1">1</definedName>
    <definedName name="solver_nod" localSheetId="8" hidden="1">2147483647</definedName>
    <definedName name="solver_nod" localSheetId="9" hidden="1">2147483647</definedName>
    <definedName name="solver_nod" localSheetId="6" hidden="1">2147483647</definedName>
    <definedName name="solver_nod" localSheetId="1" hidden="1">2147483647</definedName>
    <definedName name="solver_nod" localSheetId="4" hidden="1">2147483647</definedName>
    <definedName name="solver_nod" localSheetId="3" hidden="1">2147483647</definedName>
    <definedName name="solver_nod" localSheetId="10" hidden="1">2147483647</definedName>
    <definedName name="solver_nod" localSheetId="7" hidden="1">2147483647</definedName>
    <definedName name="solver_num" localSheetId="11" hidden="1">0</definedName>
    <definedName name="solver_num" localSheetId="8" hidden="1">1</definedName>
    <definedName name="solver_num" localSheetId="9" hidden="1">0</definedName>
    <definedName name="solver_num" localSheetId="6" hidden="1">1</definedName>
    <definedName name="solver_num" localSheetId="1" hidden="1">1</definedName>
    <definedName name="solver_num" localSheetId="4" hidden="1">3</definedName>
    <definedName name="solver_num" localSheetId="2" hidden="1">0</definedName>
    <definedName name="solver_num" localSheetId="3" hidden="1">3</definedName>
    <definedName name="solver_num" localSheetId="10" hidden="1">0</definedName>
    <definedName name="solver_num" localSheetId="7" hidden="1">1</definedName>
    <definedName name="solver_nwt" localSheetId="8" hidden="1">1</definedName>
    <definedName name="solver_nwt" localSheetId="9" hidden="1">1</definedName>
    <definedName name="solver_nwt" localSheetId="6" hidden="1">1</definedName>
    <definedName name="solver_nwt" localSheetId="1" hidden="1">1</definedName>
    <definedName name="solver_nwt" localSheetId="4" hidden="1">1</definedName>
    <definedName name="solver_nwt" localSheetId="3" hidden="1">1</definedName>
    <definedName name="solver_nwt" localSheetId="10" hidden="1">1</definedName>
    <definedName name="solver_nwt" localSheetId="7" hidden="1">1</definedName>
    <definedName name="solver_opt" localSheetId="11" hidden="1">CHICKEN_REGRESSION!$Q$32</definedName>
    <definedName name="solver_opt" localSheetId="8" hidden="1">CHICKEN_TES!$F$34</definedName>
    <definedName name="solver_opt" localSheetId="6" hidden="1">HOOKAH_TES!$U$23</definedName>
    <definedName name="solver_opt" localSheetId="1" hidden="1">NAIVE!$O$24</definedName>
    <definedName name="solver_opt" localSheetId="4" hidden="1">'SIMPLE EXPONENTIAL SMOOTHING '!$P$55</definedName>
    <definedName name="solver_opt" localSheetId="2" hidden="1">'SIMPLE MOVING AVERAGE'!$O$75</definedName>
    <definedName name="solver_opt" localSheetId="3" hidden="1">'WEIGHTED MOVING AVERAGE'!$O$79</definedName>
    <definedName name="solver_opt" localSheetId="10" hidden="1">WHISKEY_REGRESSION!$N$31</definedName>
    <definedName name="solver_opt" localSheetId="7" hidden="1">WHISKEY_TES!$H$34</definedName>
    <definedName name="solver_pre" localSheetId="8" hidden="1">0.000001</definedName>
    <definedName name="solver_pre" localSheetId="9" hidden="1">0.000001</definedName>
    <definedName name="solver_pre" localSheetId="6" hidden="1">0.000001</definedName>
    <definedName name="solver_pre" localSheetId="1" hidden="1">0.000001</definedName>
    <definedName name="solver_pre" localSheetId="4" hidden="1">0.000001</definedName>
    <definedName name="solver_pre" localSheetId="3" hidden="1">0.000001</definedName>
    <definedName name="solver_pre" localSheetId="10" hidden="1">0.000001</definedName>
    <definedName name="solver_pre" localSheetId="7" hidden="1">0.000001</definedName>
    <definedName name="solver_rbv" localSheetId="8" hidden="1">2</definedName>
    <definedName name="solver_rbv" localSheetId="9" hidden="1">1</definedName>
    <definedName name="solver_rbv" localSheetId="6" hidden="1">1</definedName>
    <definedName name="solver_rbv" localSheetId="1" hidden="1">1</definedName>
    <definedName name="solver_rbv" localSheetId="4" hidden="1">1</definedName>
    <definedName name="solver_rbv" localSheetId="3" hidden="1">2</definedName>
    <definedName name="solver_rbv" localSheetId="10" hidden="1">1</definedName>
    <definedName name="solver_rbv" localSheetId="7" hidden="1">1</definedName>
    <definedName name="solver_rel1" localSheetId="8" hidden="1">1</definedName>
    <definedName name="solver_rel1" localSheetId="9" hidden="1">1</definedName>
    <definedName name="solver_rel1" localSheetId="6" hidden="1">1</definedName>
    <definedName name="solver_rel1" localSheetId="1" hidden="1">1</definedName>
    <definedName name="solver_rel1" localSheetId="4" hidden="1">1</definedName>
    <definedName name="solver_rel1" localSheetId="3" hidden="1">1</definedName>
    <definedName name="solver_rel1" localSheetId="10" hidden="1">1</definedName>
    <definedName name="solver_rel1" localSheetId="7" hidden="1">1</definedName>
    <definedName name="solver_rel2" localSheetId="8" hidden="1">1</definedName>
    <definedName name="solver_rel2" localSheetId="1" hidden="1">1</definedName>
    <definedName name="solver_rel2" localSheetId="4" hidden="1">1</definedName>
    <definedName name="solver_rel2" localSheetId="3" hidden="1">1</definedName>
    <definedName name="solver_rel3" localSheetId="4" hidden="1">1</definedName>
    <definedName name="solver_rel3" localSheetId="3" hidden="1">1</definedName>
    <definedName name="solver_rel4" localSheetId="3" hidden="1">1</definedName>
    <definedName name="solver_rel5" localSheetId="3" hidden="1">1</definedName>
    <definedName name="solver_rel6" localSheetId="3" hidden="1">1</definedName>
    <definedName name="solver_rhs1" localSheetId="8" hidden="1">1</definedName>
    <definedName name="solver_rhs1" localSheetId="9" hidden="1">1</definedName>
    <definedName name="solver_rhs1" localSheetId="6" hidden="1">1</definedName>
    <definedName name="solver_rhs1" localSheetId="1" hidden="1">1</definedName>
    <definedName name="solver_rhs1" localSheetId="4" hidden="1">1</definedName>
    <definedName name="solver_rhs1" localSheetId="3" hidden="1">1</definedName>
    <definedName name="solver_rhs1" localSheetId="10" hidden="1">1</definedName>
    <definedName name="solver_rhs1" localSheetId="7" hidden="1">1</definedName>
    <definedName name="solver_rhs2" localSheetId="8" hidden="1">1</definedName>
    <definedName name="solver_rhs2" localSheetId="1" hidden="1">1</definedName>
    <definedName name="solver_rhs2" localSheetId="4" hidden="1">1</definedName>
    <definedName name="solver_rhs2" localSheetId="3" hidden="1">1</definedName>
    <definedName name="solver_rhs3" localSheetId="4" hidden="1">1</definedName>
    <definedName name="solver_rhs3" localSheetId="3" hidden="1">1</definedName>
    <definedName name="solver_rhs4" localSheetId="3" hidden="1">1</definedName>
    <definedName name="solver_rhs5" localSheetId="3" hidden="1">1</definedName>
    <definedName name="solver_rhs6" localSheetId="3" hidden="1">1</definedName>
    <definedName name="solver_rlx" localSheetId="8" hidden="1">2</definedName>
    <definedName name="solver_rlx" localSheetId="9" hidden="1">2</definedName>
    <definedName name="solver_rlx" localSheetId="6" hidden="1">2</definedName>
    <definedName name="solver_rlx" localSheetId="1" hidden="1">2</definedName>
    <definedName name="solver_rlx" localSheetId="4" hidden="1">2</definedName>
    <definedName name="solver_rlx" localSheetId="3" hidden="1">2</definedName>
    <definedName name="solver_rlx" localSheetId="10" hidden="1">2</definedName>
    <definedName name="solver_rlx" localSheetId="7" hidden="1">2</definedName>
    <definedName name="solver_rsd" localSheetId="8" hidden="1">0</definedName>
    <definedName name="solver_rsd" localSheetId="9" hidden="1">0</definedName>
    <definedName name="solver_rsd" localSheetId="6" hidden="1">0</definedName>
    <definedName name="solver_rsd" localSheetId="1" hidden="1">0</definedName>
    <definedName name="solver_rsd" localSheetId="4" hidden="1">0</definedName>
    <definedName name="solver_rsd" localSheetId="3" hidden="1">0</definedName>
    <definedName name="solver_rsd" localSheetId="10" hidden="1">0</definedName>
    <definedName name="solver_rsd" localSheetId="7" hidden="1">0</definedName>
    <definedName name="solver_scl" localSheetId="8" hidden="1">2</definedName>
    <definedName name="solver_scl" localSheetId="9" hidden="1">1</definedName>
    <definedName name="solver_scl" localSheetId="6" hidden="1">1</definedName>
    <definedName name="solver_scl" localSheetId="1" hidden="1">1</definedName>
    <definedName name="solver_scl" localSheetId="4" hidden="1">1</definedName>
    <definedName name="solver_scl" localSheetId="3" hidden="1">2</definedName>
    <definedName name="solver_scl" localSheetId="10" hidden="1">1</definedName>
    <definedName name="solver_scl" localSheetId="7" hidden="1">1</definedName>
    <definedName name="solver_sho" localSheetId="8" hidden="1">2</definedName>
    <definedName name="solver_sho" localSheetId="9" hidden="1">2</definedName>
    <definedName name="solver_sho" localSheetId="6" hidden="1">2</definedName>
    <definedName name="solver_sho" localSheetId="1" hidden="1">2</definedName>
    <definedName name="solver_sho" localSheetId="4" hidden="1">2</definedName>
    <definedName name="solver_sho" localSheetId="3" hidden="1">2</definedName>
    <definedName name="solver_sho" localSheetId="10" hidden="1">2</definedName>
    <definedName name="solver_sho" localSheetId="7" hidden="1">2</definedName>
    <definedName name="solver_ssz" localSheetId="8" hidden="1">100</definedName>
    <definedName name="solver_ssz" localSheetId="9" hidden="1">100</definedName>
    <definedName name="solver_ssz" localSheetId="6" hidden="1">100</definedName>
    <definedName name="solver_ssz" localSheetId="1" hidden="1">100</definedName>
    <definedName name="solver_ssz" localSheetId="4" hidden="1">100</definedName>
    <definedName name="solver_ssz" localSheetId="3" hidden="1">100</definedName>
    <definedName name="solver_ssz" localSheetId="10" hidden="1">100</definedName>
    <definedName name="solver_ssz" localSheetId="7" hidden="1">100</definedName>
    <definedName name="solver_tim" localSheetId="8" hidden="1">2147483647</definedName>
    <definedName name="solver_tim" localSheetId="9" hidden="1">2147483647</definedName>
    <definedName name="solver_tim" localSheetId="6" hidden="1">2147483647</definedName>
    <definedName name="solver_tim" localSheetId="1" hidden="1">2147483647</definedName>
    <definedName name="solver_tim" localSheetId="4" hidden="1">2147483647</definedName>
    <definedName name="solver_tim" localSheetId="3" hidden="1">2147483647</definedName>
    <definedName name="solver_tim" localSheetId="10" hidden="1">2147483647</definedName>
    <definedName name="solver_tim" localSheetId="7" hidden="1">2147483647</definedName>
    <definedName name="solver_tol" localSheetId="8" hidden="1">0.01</definedName>
    <definedName name="solver_tol" localSheetId="9" hidden="1">0.01</definedName>
    <definedName name="solver_tol" localSheetId="6" hidden="1">0.01</definedName>
    <definedName name="solver_tol" localSheetId="1" hidden="1">0.01</definedName>
    <definedName name="solver_tol" localSheetId="4" hidden="1">0.01</definedName>
    <definedName name="solver_tol" localSheetId="3" hidden="1">0.01</definedName>
    <definedName name="solver_tol" localSheetId="10" hidden="1">0.01</definedName>
    <definedName name="solver_tol" localSheetId="7" hidden="1">0.01</definedName>
    <definedName name="solver_typ" localSheetId="11" hidden="1">1</definedName>
    <definedName name="solver_typ" localSheetId="8" hidden="1">2</definedName>
    <definedName name="solver_typ" localSheetId="9" hidden="1">2</definedName>
    <definedName name="solver_typ" localSheetId="6" hidden="1">2</definedName>
    <definedName name="solver_typ" localSheetId="1" hidden="1">2</definedName>
    <definedName name="solver_typ" localSheetId="4" hidden="1">2</definedName>
    <definedName name="solver_typ" localSheetId="2" hidden="1">2</definedName>
    <definedName name="solver_typ" localSheetId="3" hidden="1">2</definedName>
    <definedName name="solver_typ" localSheetId="10" hidden="1">2</definedName>
    <definedName name="solver_typ" localSheetId="7" hidden="1">2</definedName>
    <definedName name="solver_val" localSheetId="11" hidden="1">0</definedName>
    <definedName name="solver_val" localSheetId="8" hidden="1">0</definedName>
    <definedName name="solver_val" localSheetId="9" hidden="1">0</definedName>
    <definedName name="solver_val" localSheetId="6" hidden="1">0</definedName>
    <definedName name="solver_val" localSheetId="1" hidden="1">0</definedName>
    <definedName name="solver_val" localSheetId="4" hidden="1">0</definedName>
    <definedName name="solver_val" localSheetId="2" hidden="1">0</definedName>
    <definedName name="solver_val" localSheetId="3" hidden="1">0</definedName>
    <definedName name="solver_val" localSheetId="10" hidden="1">0</definedName>
    <definedName name="solver_val" localSheetId="7" hidden="1">0</definedName>
    <definedName name="solver_ver" localSheetId="11" hidden="1">3</definedName>
    <definedName name="solver_ver" localSheetId="8" hidden="1">3</definedName>
    <definedName name="solver_ver" localSheetId="9" hidden="1">3</definedName>
    <definedName name="solver_ver" localSheetId="6" hidden="1">3</definedName>
    <definedName name="solver_ver" localSheetId="1" hidden="1">3</definedName>
    <definedName name="solver_ver" localSheetId="4" hidden="1">3</definedName>
    <definedName name="solver_ver" localSheetId="2" hidden="1">3</definedName>
    <definedName name="solver_ver" localSheetId="3" hidden="1">3</definedName>
    <definedName name="solver_ver" localSheetId="10" hidden="1">3</definedName>
    <definedName name="solver_ver" localSheetId="7" hidden="1">3</definedName>
    <definedName name="South">CHICKEN_REGRESSION!#REF!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6" l="1"/>
  <c r="G11" i="2"/>
  <c r="I11" i="1"/>
  <c r="I74" i="14"/>
  <c r="K74" i="14" s="1"/>
  <c r="H65" i="14"/>
  <c r="I65" i="14" s="1"/>
  <c r="H66" i="14"/>
  <c r="I66" i="14" s="1"/>
  <c r="H67" i="14"/>
  <c r="I67" i="14" s="1"/>
  <c r="H74" i="14"/>
  <c r="H75" i="14"/>
  <c r="I75" i="14" s="1"/>
  <c r="H76" i="14"/>
  <c r="I76" i="14" s="1"/>
  <c r="H77" i="14"/>
  <c r="I77" i="14" s="1"/>
  <c r="H78" i="14"/>
  <c r="I78" i="14" s="1"/>
  <c r="H79" i="14"/>
  <c r="I79" i="14" s="1"/>
  <c r="G65" i="14"/>
  <c r="G66" i="14"/>
  <c r="G67" i="14"/>
  <c r="G68" i="14"/>
  <c r="H68" i="14" s="1"/>
  <c r="I68" i="14" s="1"/>
  <c r="G69" i="14"/>
  <c r="H69" i="14" s="1"/>
  <c r="I69" i="14" s="1"/>
  <c r="G70" i="14"/>
  <c r="H70" i="14" s="1"/>
  <c r="I70" i="14" s="1"/>
  <c r="G71" i="14"/>
  <c r="H71" i="14" s="1"/>
  <c r="I71" i="14" s="1"/>
  <c r="G72" i="14"/>
  <c r="H72" i="14" s="1"/>
  <c r="I72" i="14" s="1"/>
  <c r="G73" i="14"/>
  <c r="H73" i="14" s="1"/>
  <c r="I73" i="14" s="1"/>
  <c r="G74" i="14"/>
  <c r="G75" i="14"/>
  <c r="G76" i="14"/>
  <c r="G77" i="14"/>
  <c r="G78" i="14"/>
  <c r="G79" i="14"/>
  <c r="G80" i="14"/>
  <c r="H80" i="14" s="1"/>
  <c r="I80" i="14" s="1"/>
  <c r="G81" i="14"/>
  <c r="H81" i="14" s="1"/>
  <c r="I81" i="14" s="1"/>
  <c r="G82" i="14"/>
  <c r="G83" i="14"/>
  <c r="G64" i="14"/>
  <c r="H64" i="14" s="1"/>
  <c r="I64" i="14" s="1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36" i="14"/>
  <c r="H9" i="14"/>
  <c r="I9" i="14" s="1"/>
  <c r="H10" i="14"/>
  <c r="I10" i="14" s="1"/>
  <c r="H16" i="14"/>
  <c r="I16" i="14" s="1"/>
  <c r="J16" i="14" s="1"/>
  <c r="H17" i="14"/>
  <c r="I17" i="14" s="1"/>
  <c r="K17" i="14" s="1"/>
  <c r="H18" i="14"/>
  <c r="I18" i="14" s="1"/>
  <c r="K18" i="14" s="1"/>
  <c r="H19" i="14"/>
  <c r="I19" i="14" s="1"/>
  <c r="J19" i="14" s="1"/>
  <c r="H20" i="14"/>
  <c r="I20" i="14" s="1"/>
  <c r="H21" i="14"/>
  <c r="I21" i="14" s="1"/>
  <c r="H22" i="14"/>
  <c r="I22" i="14" s="1"/>
  <c r="F8" i="14"/>
  <c r="H8" i="14" s="1"/>
  <c r="I8" i="14" s="1"/>
  <c r="F9" i="14"/>
  <c r="F10" i="14"/>
  <c r="F11" i="14"/>
  <c r="H11" i="14" s="1"/>
  <c r="I11" i="14" s="1"/>
  <c r="F12" i="14"/>
  <c r="H12" i="14" s="1"/>
  <c r="I12" i="14" s="1"/>
  <c r="F13" i="14"/>
  <c r="H13" i="14" s="1"/>
  <c r="I13" i="14" s="1"/>
  <c r="F14" i="14"/>
  <c r="H14" i="14" s="1"/>
  <c r="I14" i="14" s="1"/>
  <c r="J14" i="14" s="1"/>
  <c r="F15" i="14"/>
  <c r="H15" i="14" s="1"/>
  <c r="I15" i="14" s="1"/>
  <c r="J15" i="14" s="1"/>
  <c r="F16" i="14"/>
  <c r="F17" i="14"/>
  <c r="F18" i="14"/>
  <c r="F19" i="14"/>
  <c r="F20" i="14"/>
  <c r="F21" i="14"/>
  <c r="F22" i="14"/>
  <c r="F23" i="14"/>
  <c r="H23" i="14" s="1"/>
  <c r="I23" i="14" s="1"/>
  <c r="F24" i="14"/>
  <c r="H24" i="14" s="1"/>
  <c r="I24" i="14" s="1"/>
  <c r="F25" i="14"/>
  <c r="H25" i="14" s="1"/>
  <c r="I25" i="14" s="1"/>
  <c r="F27" i="14"/>
  <c r="F26" i="14"/>
  <c r="G65" i="13"/>
  <c r="H65" i="13" s="1"/>
  <c r="I65" i="13" s="1"/>
  <c r="F9" i="13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J78" i="14" l="1"/>
  <c r="K78" i="14"/>
  <c r="K77" i="14"/>
  <c r="J77" i="14"/>
  <c r="J73" i="14"/>
  <c r="K73" i="14"/>
  <c r="K76" i="14"/>
  <c r="J76" i="14"/>
  <c r="J75" i="14"/>
  <c r="K75" i="14"/>
  <c r="J46" i="14"/>
  <c r="K46" i="14" s="1"/>
  <c r="J70" i="14"/>
  <c r="K70" i="14"/>
  <c r="K67" i="14"/>
  <c r="J67" i="14"/>
  <c r="O82" i="14"/>
  <c r="K64" i="14"/>
  <c r="J64" i="14"/>
  <c r="J45" i="14"/>
  <c r="K45" i="14" s="1"/>
  <c r="J69" i="14"/>
  <c r="K69" i="14"/>
  <c r="J80" i="14"/>
  <c r="K80" i="14"/>
  <c r="J65" i="14"/>
  <c r="K65" i="14"/>
  <c r="J79" i="14"/>
  <c r="K79" i="14"/>
  <c r="K72" i="14"/>
  <c r="J72" i="14"/>
  <c r="K71" i="14"/>
  <c r="J71" i="14"/>
  <c r="J81" i="14"/>
  <c r="K81" i="14"/>
  <c r="K66" i="14"/>
  <c r="J66" i="14"/>
  <c r="J36" i="14"/>
  <c r="K36" i="14" s="1"/>
  <c r="J68" i="14"/>
  <c r="K68" i="14"/>
  <c r="J74" i="14"/>
  <c r="J25" i="14"/>
  <c r="K25" i="14"/>
  <c r="K20" i="14"/>
  <c r="J20" i="14"/>
  <c r="J12" i="14"/>
  <c r="K12" i="14"/>
  <c r="J22" i="14"/>
  <c r="K22" i="14"/>
  <c r="J21" i="14"/>
  <c r="K21" i="14"/>
  <c r="J13" i="14"/>
  <c r="K13" i="14"/>
  <c r="J11" i="14"/>
  <c r="K11" i="14"/>
  <c r="K9" i="14"/>
  <c r="J9" i="14"/>
  <c r="K10" i="14"/>
  <c r="J10" i="14"/>
  <c r="K24" i="14"/>
  <c r="J24" i="14"/>
  <c r="K23" i="14"/>
  <c r="J23" i="14"/>
  <c r="O24" i="14"/>
  <c r="J18" i="14"/>
  <c r="K19" i="14"/>
  <c r="J17" i="14"/>
  <c r="K16" i="14"/>
  <c r="K15" i="14"/>
  <c r="K14" i="14"/>
  <c r="K8" i="14"/>
  <c r="J8" i="14"/>
  <c r="K65" i="13"/>
  <c r="J65" i="13"/>
  <c r="G66" i="13"/>
  <c r="H10" i="13"/>
  <c r="I10" i="13" s="1"/>
  <c r="H9" i="13"/>
  <c r="I9" i="13" s="1"/>
  <c r="G53" i="14"/>
  <c r="J53" i="14" s="1"/>
  <c r="K53" i="14" s="1"/>
  <c r="G52" i="14"/>
  <c r="J52" i="14" s="1"/>
  <c r="K52" i="14" s="1"/>
  <c r="G51" i="14"/>
  <c r="J51" i="14" s="1"/>
  <c r="K51" i="14" s="1"/>
  <c r="G50" i="14"/>
  <c r="J50" i="14" s="1"/>
  <c r="K50" i="14" s="1"/>
  <c r="G49" i="14"/>
  <c r="J49" i="14" s="1"/>
  <c r="K49" i="14" s="1"/>
  <c r="G48" i="14"/>
  <c r="J48" i="14" s="1"/>
  <c r="K48" i="14" s="1"/>
  <c r="G47" i="14"/>
  <c r="J47" i="14" s="1"/>
  <c r="K47" i="14" s="1"/>
  <c r="G46" i="14"/>
  <c r="G45" i="14"/>
  <c r="G44" i="14"/>
  <c r="J44" i="14" s="1"/>
  <c r="K44" i="14" s="1"/>
  <c r="G43" i="14"/>
  <c r="J43" i="14" s="1"/>
  <c r="K43" i="14" s="1"/>
  <c r="G42" i="14"/>
  <c r="J42" i="14" s="1"/>
  <c r="K42" i="14" s="1"/>
  <c r="G41" i="14"/>
  <c r="J41" i="14" s="1"/>
  <c r="K41" i="14" s="1"/>
  <c r="G40" i="14"/>
  <c r="J40" i="14" s="1"/>
  <c r="K40" i="14" s="1"/>
  <c r="G39" i="14"/>
  <c r="J39" i="14" s="1"/>
  <c r="K39" i="14" s="1"/>
  <c r="G38" i="14"/>
  <c r="J38" i="14" s="1"/>
  <c r="K38" i="14" s="1"/>
  <c r="G37" i="14"/>
  <c r="J37" i="14" s="1"/>
  <c r="K37" i="14" s="1"/>
  <c r="G36" i="14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H37" i="13" s="1"/>
  <c r="J37" i="13" s="1"/>
  <c r="K37" i="13" s="1"/>
  <c r="L37" i="13" s="1"/>
  <c r="Q37" i="12"/>
  <c r="N66" i="12"/>
  <c r="H75" i="12"/>
  <c r="I75" i="12" s="1"/>
  <c r="G69" i="12"/>
  <c r="H69" i="12" s="1"/>
  <c r="I69" i="12" s="1"/>
  <c r="G70" i="12"/>
  <c r="H70" i="12" s="1"/>
  <c r="I70" i="12" s="1"/>
  <c r="G71" i="12"/>
  <c r="H71" i="12" s="1"/>
  <c r="I71" i="12" s="1"/>
  <c r="G72" i="12"/>
  <c r="H72" i="12" s="1"/>
  <c r="I72" i="12" s="1"/>
  <c r="J72" i="12" s="1"/>
  <c r="G73" i="12"/>
  <c r="H73" i="12" s="1"/>
  <c r="I73" i="12" s="1"/>
  <c r="G74" i="12"/>
  <c r="H74" i="12" s="1"/>
  <c r="I74" i="12" s="1"/>
  <c r="G75" i="12"/>
  <c r="G76" i="12"/>
  <c r="H76" i="12" s="1"/>
  <c r="I76" i="12" s="1"/>
  <c r="G77" i="12"/>
  <c r="H77" i="12" s="1"/>
  <c r="I77" i="12" s="1"/>
  <c r="G78" i="12"/>
  <c r="H78" i="12" s="1"/>
  <c r="I78" i="12" s="1"/>
  <c r="G79" i="12"/>
  <c r="H79" i="12" s="1"/>
  <c r="I79" i="12" s="1"/>
  <c r="G80" i="12"/>
  <c r="H80" i="12" s="1"/>
  <c r="I80" i="12" s="1"/>
  <c r="K80" i="12" s="1"/>
  <c r="G81" i="12"/>
  <c r="H81" i="12" s="1"/>
  <c r="I81" i="12" s="1"/>
  <c r="G68" i="12"/>
  <c r="H68" i="12" s="1"/>
  <c r="I68" i="12" s="1"/>
  <c r="G53" i="12"/>
  <c r="G52" i="12"/>
  <c r="G51" i="12"/>
  <c r="G50" i="12"/>
  <c r="G49" i="12"/>
  <c r="G48" i="12"/>
  <c r="G47" i="12"/>
  <c r="G46" i="12"/>
  <c r="G45" i="12"/>
  <c r="H49" i="12" s="1"/>
  <c r="J49" i="12" s="1"/>
  <c r="K49" i="12" s="1"/>
  <c r="G44" i="12"/>
  <c r="G43" i="12"/>
  <c r="G42" i="12"/>
  <c r="G41" i="12"/>
  <c r="G40" i="12"/>
  <c r="G39" i="12"/>
  <c r="G38" i="12"/>
  <c r="G37" i="12"/>
  <c r="G36" i="12"/>
  <c r="N7" i="12"/>
  <c r="H68" i="11"/>
  <c r="G65" i="11"/>
  <c r="H65" i="11" s="1"/>
  <c r="G66" i="11"/>
  <c r="H66" i="11" s="1"/>
  <c r="F61" i="11"/>
  <c r="G61" i="11" s="1"/>
  <c r="H61" i="11" s="1"/>
  <c r="F62" i="11"/>
  <c r="G62" i="11" s="1"/>
  <c r="H62" i="11" s="1"/>
  <c r="F63" i="11"/>
  <c r="G63" i="11" s="1"/>
  <c r="H63" i="11" s="1"/>
  <c r="F64" i="11"/>
  <c r="G64" i="11" s="1"/>
  <c r="H64" i="11" s="1"/>
  <c r="F65" i="11"/>
  <c r="F66" i="11"/>
  <c r="F67" i="11"/>
  <c r="G67" i="11" s="1"/>
  <c r="H67" i="11" s="1"/>
  <c r="F68" i="11"/>
  <c r="G68" i="11" s="1"/>
  <c r="F69" i="11"/>
  <c r="G69" i="11" s="1"/>
  <c r="H69" i="11" s="1"/>
  <c r="F70" i="11"/>
  <c r="G70" i="11" s="1"/>
  <c r="H70" i="11" s="1"/>
  <c r="J70" i="11" s="1"/>
  <c r="F71" i="11"/>
  <c r="G71" i="11" s="1"/>
  <c r="H71" i="11" s="1"/>
  <c r="F72" i="11"/>
  <c r="G72" i="11" s="1"/>
  <c r="H72" i="11" s="1"/>
  <c r="F73" i="11"/>
  <c r="G73" i="11" s="1"/>
  <c r="H73" i="11" s="1"/>
  <c r="F74" i="11"/>
  <c r="F75" i="11"/>
  <c r="F60" i="11"/>
  <c r="G60" i="11" s="1"/>
  <c r="H60" i="11" s="1"/>
  <c r="G47" i="11"/>
  <c r="G46" i="11"/>
  <c r="G45" i="11"/>
  <c r="H49" i="11" s="1"/>
  <c r="G44" i="11"/>
  <c r="G43" i="11"/>
  <c r="H47" i="11" s="1"/>
  <c r="I47" i="11" s="1"/>
  <c r="J47" i="11" s="1"/>
  <c r="G42" i="11"/>
  <c r="G41" i="11"/>
  <c r="G40" i="11"/>
  <c r="G39" i="11"/>
  <c r="G38" i="11"/>
  <c r="H42" i="11" s="1"/>
  <c r="G37" i="11"/>
  <c r="H41" i="11" s="1"/>
  <c r="I41" i="11" s="1"/>
  <c r="J41" i="11" s="1"/>
  <c r="G36" i="11"/>
  <c r="G35" i="11"/>
  <c r="G34" i="11"/>
  <c r="G33" i="11"/>
  <c r="H37" i="11" s="1"/>
  <c r="G32" i="11"/>
  <c r="H36" i="11" s="1"/>
  <c r="I36" i="11" s="1"/>
  <c r="J36" i="11" s="1"/>
  <c r="G31" i="11"/>
  <c r="H35" i="11" s="1"/>
  <c r="I35" i="11" s="1"/>
  <c r="J35" i="11" s="1"/>
  <c r="G30" i="11"/>
  <c r="H34" i="11" s="1"/>
  <c r="I34" i="11" s="1"/>
  <c r="J34" i="11" s="1"/>
  <c r="F9" i="11"/>
  <c r="G9" i="11" s="1"/>
  <c r="H9" i="11" s="1"/>
  <c r="F10" i="11"/>
  <c r="G10" i="11" s="1"/>
  <c r="H10" i="11" s="1"/>
  <c r="F11" i="11"/>
  <c r="G11" i="11" s="1"/>
  <c r="H11" i="11" s="1"/>
  <c r="F12" i="11"/>
  <c r="G12" i="11" s="1"/>
  <c r="H12" i="11" s="1"/>
  <c r="F13" i="11"/>
  <c r="G13" i="11" s="1"/>
  <c r="H13" i="11" s="1"/>
  <c r="F14" i="11"/>
  <c r="G14" i="11" s="1"/>
  <c r="H14" i="11" s="1"/>
  <c r="F15" i="11"/>
  <c r="G15" i="11" s="1"/>
  <c r="H15" i="11" s="1"/>
  <c r="F16" i="11"/>
  <c r="G16" i="11" s="1"/>
  <c r="H16" i="11" s="1"/>
  <c r="F17" i="11"/>
  <c r="G17" i="11" s="1"/>
  <c r="H17" i="11" s="1"/>
  <c r="F18" i="11"/>
  <c r="G18" i="11" s="1"/>
  <c r="H18" i="11" s="1"/>
  <c r="F19" i="11"/>
  <c r="G19" i="11" s="1"/>
  <c r="H19" i="11" s="1"/>
  <c r="F20" i="11"/>
  <c r="G20" i="11" s="1"/>
  <c r="H20" i="11" s="1"/>
  <c r="F21" i="11"/>
  <c r="G21" i="11" s="1"/>
  <c r="H21" i="11" s="1"/>
  <c r="F22" i="11"/>
  <c r="F23" i="11"/>
  <c r="F8" i="11"/>
  <c r="G8" i="11" s="1"/>
  <c r="H8" i="11" s="1"/>
  <c r="L41" i="14" l="1"/>
  <c r="M41" i="14"/>
  <c r="L42" i="14"/>
  <c r="M42" i="14"/>
  <c r="L43" i="14"/>
  <c r="M43" i="14"/>
  <c r="L53" i="14"/>
  <c r="M53" i="14"/>
  <c r="M44" i="14"/>
  <c r="L44" i="14"/>
  <c r="M50" i="14"/>
  <c r="L50" i="14"/>
  <c r="L39" i="14"/>
  <c r="M39" i="14"/>
  <c r="M40" i="14"/>
  <c r="L40" i="14"/>
  <c r="M45" i="14"/>
  <c r="L45" i="14"/>
  <c r="O83" i="14"/>
  <c r="O84" i="14"/>
  <c r="L38" i="14"/>
  <c r="M38" i="14"/>
  <c r="M51" i="14"/>
  <c r="L51" i="14"/>
  <c r="L46" i="14"/>
  <c r="M46" i="14"/>
  <c r="P54" i="14"/>
  <c r="L36" i="14"/>
  <c r="M36" i="14"/>
  <c r="M48" i="14"/>
  <c r="L48" i="14"/>
  <c r="L52" i="14"/>
  <c r="M52" i="14"/>
  <c r="M47" i="14"/>
  <c r="L47" i="14"/>
  <c r="M37" i="14"/>
  <c r="L37" i="14"/>
  <c r="M49" i="14"/>
  <c r="L49" i="14"/>
  <c r="O25" i="14"/>
  <c r="O26" i="14"/>
  <c r="O78" i="12"/>
  <c r="H54" i="12"/>
  <c r="H42" i="12"/>
  <c r="J42" i="12" s="1"/>
  <c r="K42" i="12" s="1"/>
  <c r="H48" i="11"/>
  <c r="I37" i="11"/>
  <c r="J37" i="11" s="1"/>
  <c r="H38" i="11"/>
  <c r="I38" i="11" s="1"/>
  <c r="J38" i="11" s="1"/>
  <c r="K38" i="11" s="1"/>
  <c r="H39" i="11"/>
  <c r="I39" i="11" s="1"/>
  <c r="J39" i="11" s="1"/>
  <c r="H40" i="11"/>
  <c r="I40" i="11" s="1"/>
  <c r="J40" i="11" s="1"/>
  <c r="L40" i="11" s="1"/>
  <c r="J62" i="11"/>
  <c r="I62" i="11"/>
  <c r="H46" i="11"/>
  <c r="I46" i="11" s="1"/>
  <c r="J46" i="11" s="1"/>
  <c r="H45" i="11"/>
  <c r="I45" i="11" s="1"/>
  <c r="J45" i="11" s="1"/>
  <c r="L45" i="11" s="1"/>
  <c r="H44" i="11"/>
  <c r="I44" i="11" s="1"/>
  <c r="J44" i="11" s="1"/>
  <c r="K44" i="11" s="1"/>
  <c r="H43" i="11"/>
  <c r="I43" i="11" s="1"/>
  <c r="J43" i="11" s="1"/>
  <c r="L43" i="11" s="1"/>
  <c r="J73" i="11"/>
  <c r="I73" i="11"/>
  <c r="J61" i="11"/>
  <c r="I61" i="11"/>
  <c r="I72" i="11"/>
  <c r="J72" i="11"/>
  <c r="J66" i="11"/>
  <c r="I66" i="11"/>
  <c r="I71" i="11"/>
  <c r="J71" i="11"/>
  <c r="J65" i="11"/>
  <c r="I65" i="11"/>
  <c r="J68" i="11"/>
  <c r="I68" i="11"/>
  <c r="J69" i="11"/>
  <c r="I69" i="11"/>
  <c r="I70" i="11"/>
  <c r="J67" i="11"/>
  <c r="I67" i="11"/>
  <c r="I42" i="11"/>
  <c r="J42" i="11" s="1"/>
  <c r="L42" i="11" s="1"/>
  <c r="J60" i="11"/>
  <c r="I60" i="11"/>
  <c r="O74" i="11"/>
  <c r="J64" i="11"/>
  <c r="I64" i="11"/>
  <c r="J63" i="11"/>
  <c r="I63" i="11"/>
  <c r="J17" i="11"/>
  <c r="I17" i="11"/>
  <c r="J15" i="11"/>
  <c r="I15" i="11"/>
  <c r="J13" i="11"/>
  <c r="I13" i="11"/>
  <c r="I12" i="11"/>
  <c r="J12" i="11"/>
  <c r="J21" i="11"/>
  <c r="I21" i="11"/>
  <c r="I8" i="11"/>
  <c r="J8" i="11"/>
  <c r="N21" i="11"/>
  <c r="J11" i="11"/>
  <c r="I11" i="11"/>
  <c r="I16" i="11"/>
  <c r="J16" i="11"/>
  <c r="I14" i="11"/>
  <c r="J14" i="11"/>
  <c r="J9" i="11"/>
  <c r="I9" i="11"/>
  <c r="J20" i="11"/>
  <c r="I20" i="11"/>
  <c r="J19" i="11"/>
  <c r="I19" i="11"/>
  <c r="J18" i="11"/>
  <c r="I18" i="11"/>
  <c r="J10" i="11"/>
  <c r="I10" i="11"/>
  <c r="H38" i="13"/>
  <c r="J38" i="13" s="1"/>
  <c r="K38" i="13" s="1"/>
  <c r="M37" i="13"/>
  <c r="H66" i="13"/>
  <c r="I66" i="13" s="1"/>
  <c r="G67" i="13"/>
  <c r="J9" i="13"/>
  <c r="K9" i="13"/>
  <c r="J10" i="13"/>
  <c r="K10" i="13"/>
  <c r="H11" i="13"/>
  <c r="I11" i="13" s="1"/>
  <c r="J77" i="12"/>
  <c r="K77" i="12"/>
  <c r="H50" i="12"/>
  <c r="J50" i="12" s="1"/>
  <c r="K50" i="12" s="1"/>
  <c r="M50" i="12" s="1"/>
  <c r="H45" i="12"/>
  <c r="J45" i="12" s="1"/>
  <c r="K45" i="12" s="1"/>
  <c r="M45" i="12" s="1"/>
  <c r="J79" i="12"/>
  <c r="K79" i="12"/>
  <c r="K74" i="12"/>
  <c r="J74" i="12"/>
  <c r="K78" i="12"/>
  <c r="J78" i="12"/>
  <c r="K73" i="12"/>
  <c r="J73" i="12"/>
  <c r="K68" i="12"/>
  <c r="J68" i="12"/>
  <c r="K69" i="12"/>
  <c r="J69" i="12"/>
  <c r="K76" i="12"/>
  <c r="J76" i="12"/>
  <c r="J71" i="12"/>
  <c r="K71" i="12"/>
  <c r="K70" i="12"/>
  <c r="J70" i="12"/>
  <c r="K81" i="12"/>
  <c r="J81" i="12"/>
  <c r="K75" i="12"/>
  <c r="J75" i="12"/>
  <c r="K72" i="12"/>
  <c r="H55" i="12"/>
  <c r="H44" i="12"/>
  <c r="J44" i="12" s="1"/>
  <c r="K44" i="12" s="1"/>
  <c r="L44" i="12" s="1"/>
  <c r="J80" i="12"/>
  <c r="F14" i="12"/>
  <c r="H14" i="12" s="1"/>
  <c r="I14" i="12" s="1"/>
  <c r="K14" i="12" s="1"/>
  <c r="H51" i="12"/>
  <c r="J51" i="12" s="1"/>
  <c r="K51" i="12" s="1"/>
  <c r="M51" i="12" s="1"/>
  <c r="H40" i="12"/>
  <c r="J40" i="12" s="1"/>
  <c r="K40" i="12" s="1"/>
  <c r="L40" i="12" s="1"/>
  <c r="H52" i="12"/>
  <c r="J52" i="12" s="1"/>
  <c r="K52" i="12" s="1"/>
  <c r="L52" i="12" s="1"/>
  <c r="H41" i="12"/>
  <c r="J41" i="12" s="1"/>
  <c r="K41" i="12" s="1"/>
  <c r="L41" i="12" s="1"/>
  <c r="H53" i="12"/>
  <c r="J53" i="12" s="1"/>
  <c r="K53" i="12" s="1"/>
  <c r="L53" i="12" s="1"/>
  <c r="H46" i="12"/>
  <c r="J46" i="12" s="1"/>
  <c r="K46" i="12" s="1"/>
  <c r="M46" i="12" s="1"/>
  <c r="H47" i="12"/>
  <c r="J47" i="12" s="1"/>
  <c r="K47" i="12" s="1"/>
  <c r="M47" i="12" s="1"/>
  <c r="H48" i="12"/>
  <c r="J48" i="12" s="1"/>
  <c r="K48" i="12" s="1"/>
  <c r="M48" i="12" s="1"/>
  <c r="F16" i="12"/>
  <c r="H16" i="12" s="1"/>
  <c r="I16" i="12" s="1"/>
  <c r="K16" i="12" s="1"/>
  <c r="F18" i="12"/>
  <c r="H18" i="12" s="1"/>
  <c r="I18" i="12" s="1"/>
  <c r="K18" i="12" s="1"/>
  <c r="F19" i="12"/>
  <c r="H19" i="12" s="1"/>
  <c r="I19" i="12" s="1"/>
  <c r="J19" i="12" s="1"/>
  <c r="F23" i="12"/>
  <c r="H23" i="12" s="1"/>
  <c r="I23" i="12" s="1"/>
  <c r="J23" i="12" s="1"/>
  <c r="F22" i="12"/>
  <c r="H22" i="12" s="1"/>
  <c r="I22" i="12" s="1"/>
  <c r="J22" i="12" s="1"/>
  <c r="F21" i="12"/>
  <c r="H21" i="12" s="1"/>
  <c r="I21" i="12" s="1"/>
  <c r="K21" i="12" s="1"/>
  <c r="F20" i="12"/>
  <c r="H20" i="12" s="1"/>
  <c r="I20" i="12" s="1"/>
  <c r="K20" i="12" s="1"/>
  <c r="F11" i="12"/>
  <c r="H11" i="12" s="1"/>
  <c r="I11" i="12" s="1"/>
  <c r="K11" i="12" s="1"/>
  <c r="O26" i="12" s="1"/>
  <c r="F13" i="12"/>
  <c r="H13" i="12" s="1"/>
  <c r="I13" i="12" s="1"/>
  <c r="J13" i="12" s="1"/>
  <c r="F12" i="12"/>
  <c r="H12" i="12" s="1"/>
  <c r="I12" i="12" s="1"/>
  <c r="K12" i="12" s="1"/>
  <c r="F25" i="12"/>
  <c r="H25" i="12" s="1"/>
  <c r="I25" i="12" s="1"/>
  <c r="J25" i="12" s="1"/>
  <c r="F15" i="12"/>
  <c r="H15" i="12" s="1"/>
  <c r="I15" i="12" s="1"/>
  <c r="K15" i="12" s="1"/>
  <c r="F27" i="12"/>
  <c r="F24" i="12"/>
  <c r="H24" i="12" s="1"/>
  <c r="I24" i="12" s="1"/>
  <c r="J24" i="12" s="1"/>
  <c r="F17" i="12"/>
  <c r="H17" i="12" s="1"/>
  <c r="I17" i="12" s="1"/>
  <c r="F26" i="12"/>
  <c r="M49" i="12"/>
  <c r="L49" i="12"/>
  <c r="H43" i="12"/>
  <c r="J43" i="12" s="1"/>
  <c r="K43" i="12" s="1"/>
  <c r="L36" i="11"/>
  <c r="K36" i="11"/>
  <c r="L38" i="11"/>
  <c r="L41" i="11"/>
  <c r="K41" i="11"/>
  <c r="K40" i="11"/>
  <c r="K34" i="11"/>
  <c r="L34" i="11"/>
  <c r="L46" i="11"/>
  <c r="K46" i="11"/>
  <c r="L37" i="11"/>
  <c r="K37" i="11"/>
  <c r="L35" i="11"/>
  <c r="K35" i="11"/>
  <c r="L47" i="11"/>
  <c r="K47" i="11"/>
  <c r="J66" i="10"/>
  <c r="I66" i="10"/>
  <c r="J56" i="10"/>
  <c r="J69" i="10"/>
  <c r="J62" i="10"/>
  <c r="I65" i="10"/>
  <c r="I68" i="10"/>
  <c r="J68" i="10"/>
  <c r="J57" i="10"/>
  <c r="I57" i="10"/>
  <c r="J58" i="10"/>
  <c r="I58" i="10"/>
  <c r="J60" i="10"/>
  <c r="G8" i="10"/>
  <c r="H8" i="10" s="1"/>
  <c r="G9" i="10"/>
  <c r="H9" i="10" s="1"/>
  <c r="G10" i="10"/>
  <c r="H10" i="10" s="1"/>
  <c r="G11" i="10"/>
  <c r="H11" i="10" s="1"/>
  <c r="G12" i="10"/>
  <c r="H12" i="10" s="1"/>
  <c r="G13" i="10"/>
  <c r="H13" i="10" s="1"/>
  <c r="F57" i="10"/>
  <c r="G57" i="10" s="1"/>
  <c r="H57" i="10" s="1"/>
  <c r="F58" i="10"/>
  <c r="G58" i="10" s="1"/>
  <c r="H58" i="10" s="1"/>
  <c r="F59" i="10"/>
  <c r="G59" i="10" s="1"/>
  <c r="H59" i="10" s="1"/>
  <c r="I59" i="10" s="1"/>
  <c r="F60" i="10"/>
  <c r="G60" i="10" s="1"/>
  <c r="H60" i="10" s="1"/>
  <c r="I60" i="10" s="1"/>
  <c r="F61" i="10"/>
  <c r="G61" i="10" s="1"/>
  <c r="H61" i="10" s="1"/>
  <c r="J61" i="10" s="1"/>
  <c r="F62" i="10"/>
  <c r="G62" i="10" s="1"/>
  <c r="H62" i="10" s="1"/>
  <c r="I62" i="10" s="1"/>
  <c r="F63" i="10"/>
  <c r="G63" i="10" s="1"/>
  <c r="H63" i="10" s="1"/>
  <c r="J63" i="10" s="1"/>
  <c r="F64" i="10"/>
  <c r="G64" i="10" s="1"/>
  <c r="H64" i="10" s="1"/>
  <c r="I64" i="10" s="1"/>
  <c r="F65" i="10"/>
  <c r="G65" i="10" s="1"/>
  <c r="H65" i="10" s="1"/>
  <c r="J65" i="10" s="1"/>
  <c r="F66" i="10"/>
  <c r="G66" i="10" s="1"/>
  <c r="H66" i="10" s="1"/>
  <c r="F67" i="10"/>
  <c r="G67" i="10" s="1"/>
  <c r="H67" i="10" s="1"/>
  <c r="J67" i="10" s="1"/>
  <c r="F68" i="10"/>
  <c r="G68" i="10" s="1"/>
  <c r="H68" i="10" s="1"/>
  <c r="F69" i="10"/>
  <c r="G69" i="10" s="1"/>
  <c r="H69" i="10" s="1"/>
  <c r="I69" i="10" s="1"/>
  <c r="F70" i="10"/>
  <c r="G70" i="10" s="1"/>
  <c r="H70" i="10" s="1"/>
  <c r="J70" i="10" s="1"/>
  <c r="F71" i="10"/>
  <c r="G71" i="10" s="1"/>
  <c r="H71" i="10" s="1"/>
  <c r="I71" i="10" s="1"/>
  <c r="F72" i="10"/>
  <c r="G72" i="10" s="1"/>
  <c r="H72" i="10" s="1"/>
  <c r="J72" i="10" s="1"/>
  <c r="F73" i="10"/>
  <c r="F56" i="10"/>
  <c r="G56" i="10" s="1"/>
  <c r="H56" i="10" s="1"/>
  <c r="F6" i="10"/>
  <c r="G6" i="10" s="1"/>
  <c r="H6" i="10" s="1"/>
  <c r="J6" i="10" s="1"/>
  <c r="F7" i="10"/>
  <c r="G7" i="10" s="1"/>
  <c r="H7" i="10" s="1"/>
  <c r="F8" i="10"/>
  <c r="F9" i="10"/>
  <c r="F10" i="10"/>
  <c r="F11" i="10"/>
  <c r="F12" i="10"/>
  <c r="F13" i="10"/>
  <c r="F14" i="10"/>
  <c r="G14" i="10" s="1"/>
  <c r="H14" i="10" s="1"/>
  <c r="F15" i="10"/>
  <c r="G15" i="10" s="1"/>
  <c r="H15" i="10" s="1"/>
  <c r="F16" i="10"/>
  <c r="G16" i="10" s="1"/>
  <c r="H16" i="10" s="1"/>
  <c r="F17" i="10"/>
  <c r="G17" i="10" s="1"/>
  <c r="H17" i="10" s="1"/>
  <c r="J17" i="10" s="1"/>
  <c r="F18" i="10"/>
  <c r="G18" i="10" s="1"/>
  <c r="H18" i="10" s="1"/>
  <c r="J18" i="10" s="1"/>
  <c r="F19" i="10"/>
  <c r="G19" i="10" s="1"/>
  <c r="H19" i="10" s="1"/>
  <c r="F20" i="10"/>
  <c r="G20" i="10" s="1"/>
  <c r="H20" i="10" s="1"/>
  <c r="F21" i="10"/>
  <c r="G21" i="10" s="1"/>
  <c r="H21" i="10" s="1"/>
  <c r="F22" i="10"/>
  <c r="F5" i="10"/>
  <c r="G5" i="10" s="1"/>
  <c r="H5" i="10" s="1"/>
  <c r="H32" i="10"/>
  <c r="H33" i="10"/>
  <c r="H34" i="10"/>
  <c r="H38" i="10"/>
  <c r="H39" i="10"/>
  <c r="H44" i="10"/>
  <c r="H45" i="10"/>
  <c r="H46" i="10"/>
  <c r="H31" i="10"/>
  <c r="G47" i="10"/>
  <c r="G46" i="10"/>
  <c r="I46" i="10" s="1"/>
  <c r="J46" i="10" s="1"/>
  <c r="K46" i="10" s="1"/>
  <c r="G45" i="10"/>
  <c r="G44" i="10"/>
  <c r="G43" i="10"/>
  <c r="G42" i="10"/>
  <c r="G41" i="10"/>
  <c r="G40" i="10"/>
  <c r="G39" i="10"/>
  <c r="G38" i="10"/>
  <c r="G37" i="10"/>
  <c r="G36" i="10"/>
  <c r="G35" i="10"/>
  <c r="G34" i="10"/>
  <c r="I34" i="10" s="1"/>
  <c r="J34" i="10" s="1"/>
  <c r="L34" i="10" s="1"/>
  <c r="G33" i="10"/>
  <c r="G32" i="10"/>
  <c r="G31" i="10"/>
  <c r="G30" i="10"/>
  <c r="M53" i="12" l="1"/>
  <c r="M42" i="12"/>
  <c r="L42" i="12"/>
  <c r="O79" i="12"/>
  <c r="P56" i="14"/>
  <c r="P55" i="14"/>
  <c r="H39" i="13"/>
  <c r="O80" i="12"/>
  <c r="L46" i="12"/>
  <c r="K39" i="11"/>
  <c r="L39" i="11"/>
  <c r="K42" i="11"/>
  <c r="L44" i="11"/>
  <c r="P45" i="11"/>
  <c r="N23" i="11"/>
  <c r="P47" i="11"/>
  <c r="O75" i="11"/>
  <c r="K43" i="11"/>
  <c r="O76" i="11"/>
  <c r="K45" i="11"/>
  <c r="N22" i="11"/>
  <c r="J64" i="10"/>
  <c r="I36" i="10"/>
  <c r="J36" i="10" s="1"/>
  <c r="H37" i="10"/>
  <c r="I37" i="10"/>
  <c r="J37" i="10" s="1"/>
  <c r="H48" i="10"/>
  <c r="L46" i="10"/>
  <c r="I61" i="10"/>
  <c r="J71" i="10"/>
  <c r="I67" i="10"/>
  <c r="J59" i="10"/>
  <c r="M75" i="10" s="1"/>
  <c r="I42" i="10"/>
  <c r="J42" i="10" s="1"/>
  <c r="H43" i="10"/>
  <c r="M73" i="10"/>
  <c r="I56" i="10"/>
  <c r="H47" i="10"/>
  <c r="I47" i="10" s="1"/>
  <c r="J47" i="10" s="1"/>
  <c r="I40" i="10"/>
  <c r="J40" i="10" s="1"/>
  <c r="I43" i="10"/>
  <c r="J43" i="10" s="1"/>
  <c r="I72" i="10"/>
  <c r="I70" i="10"/>
  <c r="I32" i="10"/>
  <c r="J32" i="10" s="1"/>
  <c r="I44" i="10"/>
  <c r="J44" i="10" s="1"/>
  <c r="H41" i="10"/>
  <c r="I41" i="10" s="1"/>
  <c r="J41" i="10" s="1"/>
  <c r="K34" i="10"/>
  <c r="H36" i="10"/>
  <c r="I38" i="10"/>
  <c r="J38" i="10" s="1"/>
  <c r="H35" i="10"/>
  <c r="I35" i="10" s="1"/>
  <c r="J35" i="10" s="1"/>
  <c r="I39" i="10"/>
  <c r="J39" i="10" s="1"/>
  <c r="I63" i="10"/>
  <c r="I31" i="10"/>
  <c r="J31" i="10" s="1"/>
  <c r="H42" i="10"/>
  <c r="I33" i="10"/>
  <c r="J33" i="10" s="1"/>
  <c r="I45" i="10"/>
  <c r="J45" i="10" s="1"/>
  <c r="H40" i="10"/>
  <c r="I11" i="10"/>
  <c r="J11" i="10"/>
  <c r="I12" i="10"/>
  <c r="J12" i="10"/>
  <c r="J14" i="10"/>
  <c r="I14" i="10"/>
  <c r="J13" i="10"/>
  <c r="I13" i="10"/>
  <c r="I15" i="10"/>
  <c r="J15" i="10"/>
  <c r="I16" i="10"/>
  <c r="J16" i="10"/>
  <c r="J9" i="10"/>
  <c r="I9" i="10"/>
  <c r="O23" i="10"/>
  <c r="I5" i="10"/>
  <c r="J5" i="10"/>
  <c r="J10" i="10"/>
  <c r="I10" i="10"/>
  <c r="J8" i="10"/>
  <c r="I8" i="10"/>
  <c r="I7" i="10"/>
  <c r="J7" i="10"/>
  <c r="J21" i="10"/>
  <c r="I21" i="10"/>
  <c r="J19" i="10"/>
  <c r="I19" i="10"/>
  <c r="J20" i="10"/>
  <c r="I20" i="10"/>
  <c r="I6" i="10"/>
  <c r="I18" i="10"/>
  <c r="I17" i="10"/>
  <c r="J39" i="13"/>
  <c r="K39" i="13" s="1"/>
  <c r="H40" i="13"/>
  <c r="M38" i="13"/>
  <c r="L38" i="13"/>
  <c r="H67" i="13"/>
  <c r="I67" i="13" s="1"/>
  <c r="G68" i="13"/>
  <c r="K66" i="13"/>
  <c r="J66" i="13"/>
  <c r="J11" i="13"/>
  <c r="K11" i="13"/>
  <c r="H12" i="13"/>
  <c r="I12" i="13" s="1"/>
  <c r="M44" i="12"/>
  <c r="J14" i="12"/>
  <c r="M41" i="12"/>
  <c r="L50" i="12"/>
  <c r="M52" i="12"/>
  <c r="L51" i="12"/>
  <c r="M40" i="12"/>
  <c r="L48" i="12"/>
  <c r="L47" i="12"/>
  <c r="P54" i="12"/>
  <c r="L45" i="12"/>
  <c r="J18" i="12"/>
  <c r="J21" i="12"/>
  <c r="K13" i="12"/>
  <c r="J16" i="12"/>
  <c r="K23" i="12"/>
  <c r="K19" i="12"/>
  <c r="O24" i="12"/>
  <c r="J11" i="12"/>
  <c r="K22" i="12"/>
  <c r="K25" i="12"/>
  <c r="J12" i="12"/>
  <c r="J20" i="12"/>
  <c r="K24" i="12"/>
  <c r="J15" i="12"/>
  <c r="K17" i="12"/>
  <c r="J17" i="12"/>
  <c r="M43" i="12"/>
  <c r="L43" i="12"/>
  <c r="P46" i="11" l="1"/>
  <c r="K41" i="10"/>
  <c r="L41" i="10"/>
  <c r="K47" i="10"/>
  <c r="L47" i="10"/>
  <c r="K35" i="10"/>
  <c r="L35" i="10"/>
  <c r="L42" i="10"/>
  <c r="K42" i="10"/>
  <c r="K32" i="10"/>
  <c r="L32" i="10"/>
  <c r="K43" i="10"/>
  <c r="L43" i="10"/>
  <c r="L40" i="10"/>
  <c r="K40" i="10"/>
  <c r="L37" i="10"/>
  <c r="K37" i="10"/>
  <c r="K44" i="10"/>
  <c r="L44" i="10"/>
  <c r="O47" i="10"/>
  <c r="L31" i="10"/>
  <c r="K31" i="10"/>
  <c r="L39" i="10"/>
  <c r="K39" i="10"/>
  <c r="K38" i="10"/>
  <c r="L38" i="10"/>
  <c r="M74" i="10"/>
  <c r="L45" i="10"/>
  <c r="K45" i="10"/>
  <c r="K33" i="10"/>
  <c r="L33" i="10"/>
  <c r="K36" i="10"/>
  <c r="L36" i="10"/>
  <c r="O25" i="10"/>
  <c r="O24" i="10"/>
  <c r="J40" i="13"/>
  <c r="K40" i="13" s="1"/>
  <c r="H41" i="13"/>
  <c r="M39" i="13"/>
  <c r="L39" i="13"/>
  <c r="G69" i="13"/>
  <c r="H68" i="13"/>
  <c r="I68" i="13" s="1"/>
  <c r="K67" i="13"/>
  <c r="J67" i="13"/>
  <c r="J12" i="13"/>
  <c r="K12" i="13"/>
  <c r="H13" i="13"/>
  <c r="I13" i="13" s="1"/>
  <c r="P55" i="12"/>
  <c r="P56" i="12"/>
  <c r="O25" i="12"/>
  <c r="O49" i="10" l="1"/>
  <c r="O48" i="10"/>
  <c r="H42" i="13"/>
  <c r="J41" i="13"/>
  <c r="K41" i="13" s="1"/>
  <c r="M40" i="13"/>
  <c r="L40" i="13"/>
  <c r="K68" i="13"/>
  <c r="J68" i="13"/>
  <c r="G70" i="13"/>
  <c r="H69" i="13"/>
  <c r="I69" i="13" s="1"/>
  <c r="J13" i="13"/>
  <c r="K13" i="13"/>
  <c r="H14" i="13"/>
  <c r="I14" i="13" s="1"/>
  <c r="F24" i="4"/>
  <c r="L24" i="4" s="1"/>
  <c r="M24" i="4" s="1"/>
  <c r="F23" i="4"/>
  <c r="L23" i="4" s="1"/>
  <c r="M23" i="4" s="1"/>
  <c r="F22" i="4"/>
  <c r="L22" i="4" s="1"/>
  <c r="M22" i="4" s="1"/>
  <c r="F21" i="4"/>
  <c r="L21" i="4" s="1"/>
  <c r="M21" i="4" s="1"/>
  <c r="F20" i="4"/>
  <c r="L20" i="4" s="1"/>
  <c r="M20" i="4" s="1"/>
  <c r="F19" i="4"/>
  <c r="L19" i="4" s="1"/>
  <c r="M19" i="4" s="1"/>
  <c r="F18" i="4"/>
  <c r="L18" i="4" s="1"/>
  <c r="M18" i="4" s="1"/>
  <c r="F17" i="4"/>
  <c r="L17" i="4" s="1"/>
  <c r="M17" i="4" s="1"/>
  <c r="F16" i="4"/>
  <c r="L16" i="4" s="1"/>
  <c r="M16" i="4" s="1"/>
  <c r="F15" i="4"/>
  <c r="L15" i="4" s="1"/>
  <c r="M15" i="4" s="1"/>
  <c r="F14" i="4"/>
  <c r="L14" i="4" s="1"/>
  <c r="M14" i="4" s="1"/>
  <c r="F13" i="4"/>
  <c r="L13" i="4" s="1"/>
  <c r="M13" i="4" s="1"/>
  <c r="F12" i="4"/>
  <c r="L12" i="4" s="1"/>
  <c r="M12" i="4" s="1"/>
  <c r="F11" i="4"/>
  <c r="L11" i="4" s="1"/>
  <c r="M11" i="4" s="1"/>
  <c r="F10" i="4"/>
  <c r="L10" i="4" s="1"/>
  <c r="M10" i="4" s="1"/>
  <c r="F9" i="4"/>
  <c r="L9" i="4" s="1"/>
  <c r="M9" i="4" s="1"/>
  <c r="F8" i="4"/>
  <c r="L8" i="4" s="1"/>
  <c r="M8" i="4" s="1"/>
  <c r="F7" i="4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7" i="1"/>
  <c r="O13" i="4" l="1"/>
  <c r="N13" i="4"/>
  <c r="O14" i="4"/>
  <c r="N14" i="4"/>
  <c r="O15" i="4"/>
  <c r="N15" i="4"/>
  <c r="O16" i="4"/>
  <c r="N16" i="4"/>
  <c r="O17" i="4"/>
  <c r="N17" i="4"/>
  <c r="O18" i="4"/>
  <c r="N18" i="4"/>
  <c r="O19" i="4"/>
  <c r="N19" i="4"/>
  <c r="O8" i="4"/>
  <c r="N30" i="4"/>
  <c r="N8" i="4"/>
  <c r="O20" i="4"/>
  <c r="N20" i="4"/>
  <c r="O9" i="4"/>
  <c r="N9" i="4"/>
  <c r="O21" i="4"/>
  <c r="N21" i="4"/>
  <c r="O10" i="4"/>
  <c r="N10" i="4"/>
  <c r="O22" i="4"/>
  <c r="N22" i="4"/>
  <c r="O11" i="4"/>
  <c r="N11" i="4"/>
  <c r="O23" i="4"/>
  <c r="N23" i="4"/>
  <c r="O12" i="4"/>
  <c r="N12" i="4"/>
  <c r="O24" i="4"/>
  <c r="N24" i="4"/>
  <c r="M41" i="13"/>
  <c r="L41" i="13"/>
  <c r="H43" i="13"/>
  <c r="J42" i="13"/>
  <c r="K42" i="13" s="1"/>
  <c r="K69" i="13"/>
  <c r="J69" i="13"/>
  <c r="G71" i="13"/>
  <c r="H70" i="13"/>
  <c r="I70" i="13" s="1"/>
  <c r="J14" i="13"/>
  <c r="K14" i="13"/>
  <c r="H15" i="13"/>
  <c r="I15" i="13" s="1"/>
  <c r="N32" i="4" l="1"/>
  <c r="N31" i="4"/>
  <c r="M42" i="13"/>
  <c r="L42" i="13"/>
  <c r="H44" i="13"/>
  <c r="J43" i="13"/>
  <c r="K43" i="13" s="1"/>
  <c r="K70" i="13"/>
  <c r="J70" i="13"/>
  <c r="G72" i="13"/>
  <c r="H71" i="13"/>
  <c r="I71" i="13" s="1"/>
  <c r="J15" i="13"/>
  <c r="K15" i="13"/>
  <c r="H16" i="13"/>
  <c r="I16" i="13" s="1"/>
  <c r="E27" i="2"/>
  <c r="G27" i="1"/>
  <c r="G25" i="3"/>
  <c r="F28" i="4"/>
  <c r="D28" i="5"/>
  <c r="F28" i="6"/>
  <c r="H27" i="6"/>
  <c r="G27" i="6"/>
  <c r="F27" i="6"/>
  <c r="I27" i="6" s="1"/>
  <c r="H26" i="6"/>
  <c r="G26" i="6"/>
  <c r="F26" i="6"/>
  <c r="H25" i="6"/>
  <c r="G25" i="6"/>
  <c r="F25" i="6"/>
  <c r="H24" i="6"/>
  <c r="G24" i="6"/>
  <c r="F24" i="6"/>
  <c r="I24" i="6" s="1"/>
  <c r="J24" i="6" s="1"/>
  <c r="H23" i="6"/>
  <c r="G23" i="6"/>
  <c r="F23" i="6"/>
  <c r="H22" i="6"/>
  <c r="G22" i="6"/>
  <c r="F22" i="6"/>
  <c r="H21" i="6"/>
  <c r="G21" i="6"/>
  <c r="F21" i="6"/>
  <c r="H20" i="6"/>
  <c r="G20" i="6"/>
  <c r="F20" i="6"/>
  <c r="I20" i="6" s="1"/>
  <c r="J20" i="6" s="1"/>
  <c r="H19" i="6"/>
  <c r="G19" i="6"/>
  <c r="F19" i="6"/>
  <c r="H18" i="6"/>
  <c r="G18" i="6"/>
  <c r="F18" i="6"/>
  <c r="H17" i="6"/>
  <c r="G17" i="6"/>
  <c r="F17" i="6"/>
  <c r="H16" i="6"/>
  <c r="G16" i="6"/>
  <c r="F16" i="6"/>
  <c r="I16" i="6" s="1"/>
  <c r="J16" i="6" s="1"/>
  <c r="H15" i="6"/>
  <c r="G15" i="6"/>
  <c r="F15" i="6"/>
  <c r="H14" i="6"/>
  <c r="G14" i="6"/>
  <c r="F14" i="6"/>
  <c r="H13" i="6"/>
  <c r="G13" i="6"/>
  <c r="F13" i="6"/>
  <c r="H12" i="6"/>
  <c r="G12" i="6"/>
  <c r="F12" i="6"/>
  <c r="I12" i="6" s="1"/>
  <c r="J12" i="6" s="1"/>
  <c r="H11" i="6"/>
  <c r="G11" i="6"/>
  <c r="F11" i="6"/>
  <c r="H10" i="6"/>
  <c r="G10" i="6"/>
  <c r="F10" i="6"/>
  <c r="H9" i="6"/>
  <c r="G9" i="6"/>
  <c r="F9" i="6"/>
  <c r="H8" i="6"/>
  <c r="G8" i="6"/>
  <c r="F8" i="6"/>
  <c r="I8" i="6" s="1"/>
  <c r="J8" i="6" s="1"/>
  <c r="G7" i="6"/>
  <c r="F7" i="6"/>
  <c r="I17" i="5"/>
  <c r="J17" i="5" s="1"/>
  <c r="K17" i="5" s="1"/>
  <c r="H27" i="5"/>
  <c r="G27" i="5"/>
  <c r="F27" i="5"/>
  <c r="H26" i="5"/>
  <c r="G26" i="5"/>
  <c r="F26" i="5"/>
  <c r="H25" i="5"/>
  <c r="G25" i="5"/>
  <c r="F25" i="5"/>
  <c r="I25" i="5" s="1"/>
  <c r="H24" i="5"/>
  <c r="G24" i="5"/>
  <c r="F24" i="5"/>
  <c r="H23" i="5"/>
  <c r="G23" i="5"/>
  <c r="F23" i="5"/>
  <c r="H22" i="5"/>
  <c r="G22" i="5"/>
  <c r="F22" i="5"/>
  <c r="H21" i="5"/>
  <c r="G21" i="5"/>
  <c r="F21" i="5"/>
  <c r="I21" i="5" s="1"/>
  <c r="J21" i="5" s="1"/>
  <c r="K21" i="5" s="1"/>
  <c r="H20" i="5"/>
  <c r="G20" i="5"/>
  <c r="F20" i="5"/>
  <c r="I20" i="5" s="1"/>
  <c r="J20" i="5" s="1"/>
  <c r="K20" i="5" s="1"/>
  <c r="H19" i="5"/>
  <c r="G19" i="5"/>
  <c r="F19" i="5"/>
  <c r="H18" i="5"/>
  <c r="G18" i="5"/>
  <c r="F18" i="5"/>
  <c r="H17" i="5"/>
  <c r="G17" i="5"/>
  <c r="F17" i="5"/>
  <c r="H16" i="5"/>
  <c r="G16" i="5"/>
  <c r="F16" i="5"/>
  <c r="H15" i="5"/>
  <c r="G15" i="5"/>
  <c r="F15" i="5"/>
  <c r="H14" i="5"/>
  <c r="G14" i="5"/>
  <c r="F14" i="5"/>
  <c r="H13" i="5"/>
  <c r="G13" i="5"/>
  <c r="F13" i="5"/>
  <c r="I13" i="5" s="1"/>
  <c r="J13" i="5" s="1"/>
  <c r="K13" i="5" s="1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I10" i="6" l="1"/>
  <c r="J10" i="6" s="1"/>
  <c r="I14" i="6"/>
  <c r="J14" i="6" s="1"/>
  <c r="M20" i="5"/>
  <c r="L20" i="5"/>
  <c r="M13" i="5"/>
  <c r="L13" i="5"/>
  <c r="M17" i="5"/>
  <c r="L17" i="5"/>
  <c r="M21" i="5"/>
  <c r="L21" i="5"/>
  <c r="I10" i="5"/>
  <c r="J10" i="5" s="1"/>
  <c r="K10" i="5" s="1"/>
  <c r="I14" i="5"/>
  <c r="J14" i="5" s="1"/>
  <c r="K14" i="5" s="1"/>
  <c r="I18" i="6"/>
  <c r="J18" i="6" s="1"/>
  <c r="K18" i="6" s="1"/>
  <c r="M18" i="6" s="1"/>
  <c r="I7" i="6"/>
  <c r="I15" i="6"/>
  <c r="J15" i="6" s="1"/>
  <c r="I19" i="6"/>
  <c r="J19" i="6" s="1"/>
  <c r="I13" i="6"/>
  <c r="J13" i="6" s="1"/>
  <c r="K13" i="6" s="1"/>
  <c r="M13" i="6" s="1"/>
  <c r="I17" i="6"/>
  <c r="J17" i="6" s="1"/>
  <c r="I25" i="6"/>
  <c r="I9" i="6"/>
  <c r="J9" i="6" s="1"/>
  <c r="I21" i="6"/>
  <c r="J21" i="6" s="1"/>
  <c r="K21" i="6" s="1"/>
  <c r="M21" i="6" s="1"/>
  <c r="M43" i="13"/>
  <c r="L43" i="13"/>
  <c r="H45" i="13"/>
  <c r="J44" i="13"/>
  <c r="K44" i="13" s="1"/>
  <c r="K71" i="13"/>
  <c r="J71" i="13"/>
  <c r="G73" i="13"/>
  <c r="H72" i="13"/>
  <c r="I72" i="13" s="1"/>
  <c r="J16" i="13"/>
  <c r="K16" i="13"/>
  <c r="H17" i="13"/>
  <c r="I17" i="13" s="1"/>
  <c r="I9" i="5"/>
  <c r="J9" i="5" s="1"/>
  <c r="K9" i="5" s="1"/>
  <c r="I22" i="5"/>
  <c r="J22" i="5" s="1"/>
  <c r="K22" i="5" s="1"/>
  <c r="I22" i="6"/>
  <c r="I26" i="6"/>
  <c r="K10" i="6"/>
  <c r="M10" i="6" s="1"/>
  <c r="K14" i="6"/>
  <c r="M14" i="6" s="1"/>
  <c r="K15" i="6"/>
  <c r="M15" i="6" s="1"/>
  <c r="K8" i="6"/>
  <c r="M8" i="6" s="1"/>
  <c r="K12" i="6"/>
  <c r="M12" i="6" s="1"/>
  <c r="K16" i="6"/>
  <c r="M16" i="6" s="1"/>
  <c r="K20" i="6"/>
  <c r="M20" i="6" s="1"/>
  <c r="K24" i="6"/>
  <c r="M24" i="6" s="1"/>
  <c r="K19" i="6"/>
  <c r="M19" i="6" s="1"/>
  <c r="K9" i="6"/>
  <c r="M9" i="6" s="1"/>
  <c r="K17" i="6"/>
  <c r="M17" i="6" s="1"/>
  <c r="I26" i="5"/>
  <c r="I18" i="5"/>
  <c r="J18" i="5" s="1"/>
  <c r="K18" i="5" s="1"/>
  <c r="I8" i="5"/>
  <c r="J8" i="5" s="1"/>
  <c r="K8" i="5" s="1"/>
  <c r="I7" i="5"/>
  <c r="I11" i="5"/>
  <c r="J11" i="5" s="1"/>
  <c r="K11" i="5" s="1"/>
  <c r="I15" i="5"/>
  <c r="J15" i="5" s="1"/>
  <c r="K15" i="5" s="1"/>
  <c r="I19" i="5"/>
  <c r="J19" i="5" s="1"/>
  <c r="K19" i="5" s="1"/>
  <c r="I23" i="5"/>
  <c r="J23" i="5" s="1"/>
  <c r="K23" i="5" s="1"/>
  <c r="I27" i="5"/>
  <c r="I12" i="5"/>
  <c r="J12" i="5" s="1"/>
  <c r="K12" i="5" s="1"/>
  <c r="I16" i="5"/>
  <c r="J16" i="5" s="1"/>
  <c r="K16" i="5" s="1"/>
  <c r="I24" i="5"/>
  <c r="J24" i="5" s="1"/>
  <c r="K24" i="5" s="1"/>
  <c r="I23" i="6"/>
  <c r="I11" i="6"/>
  <c r="J27" i="4"/>
  <c r="I27" i="4"/>
  <c r="H27" i="4"/>
  <c r="K27" i="4" s="1"/>
  <c r="J26" i="4"/>
  <c r="I26" i="4"/>
  <c r="H26" i="4"/>
  <c r="K26" i="4" s="1"/>
  <c r="J25" i="4"/>
  <c r="I25" i="4"/>
  <c r="H25" i="4"/>
  <c r="K25" i="4" s="1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J7" i="4"/>
  <c r="I7" i="4"/>
  <c r="H7" i="4"/>
  <c r="K7" i="4" s="1"/>
  <c r="H8" i="3"/>
  <c r="H7" i="3"/>
  <c r="H6" i="3"/>
  <c r="H5" i="3"/>
  <c r="F9" i="3" s="1"/>
  <c r="H10" i="2"/>
  <c r="H9" i="2"/>
  <c r="H8" i="2"/>
  <c r="H7" i="2"/>
  <c r="F11" i="2" s="1"/>
  <c r="J8" i="1"/>
  <c r="J9" i="1"/>
  <c r="J10" i="1"/>
  <c r="J7" i="1"/>
  <c r="H11" i="1" s="1"/>
  <c r="G9" i="3" l="1"/>
  <c r="M16" i="5"/>
  <c r="L16" i="5"/>
  <c r="M22" i="5"/>
  <c r="L22" i="5"/>
  <c r="M9" i="5"/>
  <c r="L9" i="5"/>
  <c r="M19" i="5"/>
  <c r="L19" i="5"/>
  <c r="M15" i="5"/>
  <c r="L15" i="5"/>
  <c r="M24" i="5"/>
  <c r="L24" i="5"/>
  <c r="M12" i="5"/>
  <c r="L12" i="5"/>
  <c r="M11" i="5"/>
  <c r="L11" i="5"/>
  <c r="M18" i="5"/>
  <c r="L18" i="5"/>
  <c r="M14" i="5"/>
  <c r="L14" i="5"/>
  <c r="M10" i="5"/>
  <c r="L10" i="5"/>
  <c r="M23" i="5"/>
  <c r="L23" i="5"/>
  <c r="M8" i="5"/>
  <c r="T32" i="5"/>
  <c r="L8" i="5"/>
  <c r="J11" i="6"/>
  <c r="K11" i="6" s="1"/>
  <c r="M11" i="6" s="1"/>
  <c r="J23" i="6"/>
  <c r="K23" i="6" s="1"/>
  <c r="M23" i="6" s="1"/>
  <c r="J22" i="6"/>
  <c r="K22" i="6" s="1"/>
  <c r="M22" i="6" s="1"/>
  <c r="H46" i="13"/>
  <c r="J45" i="13"/>
  <c r="K45" i="13" s="1"/>
  <c r="M44" i="13"/>
  <c r="L44" i="13"/>
  <c r="K72" i="13"/>
  <c r="J72" i="13"/>
  <c r="G74" i="13"/>
  <c r="H73" i="13"/>
  <c r="I73" i="13" s="1"/>
  <c r="J17" i="13"/>
  <c r="K17" i="13"/>
  <c r="H18" i="13"/>
  <c r="I18" i="13" s="1"/>
  <c r="L20" i="6"/>
  <c r="L8" i="6"/>
  <c r="L17" i="6"/>
  <c r="L18" i="6"/>
  <c r="L13" i="6"/>
  <c r="L15" i="6"/>
  <c r="L16" i="6"/>
  <c r="L9" i="6"/>
  <c r="L14" i="6"/>
  <c r="L24" i="6"/>
  <c r="L10" i="6"/>
  <c r="L21" i="6"/>
  <c r="L12" i="6"/>
  <c r="L19" i="6"/>
  <c r="K24" i="4"/>
  <c r="K20" i="4"/>
  <c r="K16" i="4"/>
  <c r="K12" i="4"/>
  <c r="K8" i="4"/>
  <c r="K23" i="4"/>
  <c r="K11" i="4"/>
  <c r="K22" i="4"/>
  <c r="K10" i="4"/>
  <c r="K15" i="4"/>
  <c r="K21" i="4"/>
  <c r="K9" i="4"/>
  <c r="K19" i="4"/>
  <c r="K18" i="4"/>
  <c r="K14" i="4"/>
  <c r="K17" i="4"/>
  <c r="K13" i="4"/>
  <c r="J11" i="1"/>
  <c r="H12" i="1"/>
  <c r="H9" i="3"/>
  <c r="F10" i="3"/>
  <c r="F12" i="2"/>
  <c r="H11" i="2"/>
  <c r="T33" i="5" l="1"/>
  <c r="T34" i="5"/>
  <c r="L22" i="6"/>
  <c r="L23" i="6"/>
  <c r="M30" i="6"/>
  <c r="L11" i="6"/>
  <c r="M31" i="6"/>
  <c r="M32" i="6"/>
  <c r="L45" i="13"/>
  <c r="M45" i="13"/>
  <c r="H47" i="13"/>
  <c r="J46" i="13"/>
  <c r="K46" i="13" s="1"/>
  <c r="J73" i="13"/>
  <c r="K73" i="13"/>
  <c r="G75" i="13"/>
  <c r="H74" i="13"/>
  <c r="I74" i="13" s="1"/>
  <c r="J18" i="13"/>
  <c r="K18" i="13"/>
  <c r="H19" i="13"/>
  <c r="I19" i="13" s="1"/>
  <c r="J12" i="1"/>
  <c r="I12" i="1"/>
  <c r="H13" i="1" s="1"/>
  <c r="G10" i="3"/>
  <c r="I10" i="3" s="1"/>
  <c r="J10" i="3" s="1"/>
  <c r="K10" i="3" s="1"/>
  <c r="H10" i="3"/>
  <c r="H12" i="2"/>
  <c r="G12" i="2"/>
  <c r="F13" i="2" s="1"/>
  <c r="L46" i="13" l="1"/>
  <c r="M46" i="13"/>
  <c r="H48" i="13"/>
  <c r="J47" i="13"/>
  <c r="K47" i="13" s="1"/>
  <c r="J74" i="13"/>
  <c r="K74" i="13"/>
  <c r="G76" i="13"/>
  <c r="H75" i="13"/>
  <c r="I75" i="13" s="1"/>
  <c r="J19" i="13"/>
  <c r="K19" i="13"/>
  <c r="H20" i="13"/>
  <c r="I20" i="13" s="1"/>
  <c r="I13" i="1"/>
  <c r="J13" i="1"/>
  <c r="K12" i="1"/>
  <c r="L12" i="1" s="1"/>
  <c r="M12" i="1" s="1"/>
  <c r="N12" i="1" s="1"/>
  <c r="M10" i="3"/>
  <c r="L10" i="3"/>
  <c r="F11" i="3"/>
  <c r="I12" i="2"/>
  <c r="J12" i="2" s="1"/>
  <c r="K12" i="2" s="1"/>
  <c r="M12" i="2" s="1"/>
  <c r="H13" i="2"/>
  <c r="G13" i="2"/>
  <c r="I13" i="2" s="1"/>
  <c r="J13" i="2" s="1"/>
  <c r="K13" i="2" s="1"/>
  <c r="O12" i="1" l="1"/>
  <c r="L47" i="13"/>
  <c r="M47" i="13"/>
  <c r="H49" i="13"/>
  <c r="J48" i="13"/>
  <c r="K48" i="13" s="1"/>
  <c r="J75" i="13"/>
  <c r="K75" i="13"/>
  <c r="G77" i="13"/>
  <c r="H76" i="13"/>
  <c r="I76" i="13" s="1"/>
  <c r="J20" i="13"/>
  <c r="K20" i="13"/>
  <c r="H21" i="13"/>
  <c r="I21" i="13" s="1"/>
  <c r="K13" i="1"/>
  <c r="L13" i="1" s="1"/>
  <c r="M13" i="1" s="1"/>
  <c r="N13" i="1" s="1"/>
  <c r="H14" i="1"/>
  <c r="H11" i="3"/>
  <c r="G11" i="3"/>
  <c r="I11" i="3" s="1"/>
  <c r="J11" i="3" s="1"/>
  <c r="K11" i="3" s="1"/>
  <c r="L12" i="2"/>
  <c r="F14" i="2"/>
  <c r="H14" i="2" s="1"/>
  <c r="L13" i="2"/>
  <c r="M13" i="2"/>
  <c r="H50" i="13" l="1"/>
  <c r="J49" i="13"/>
  <c r="K49" i="13" s="1"/>
  <c r="M48" i="13"/>
  <c r="L48" i="13"/>
  <c r="G78" i="13"/>
  <c r="H77" i="13"/>
  <c r="I77" i="13" s="1"/>
  <c r="J76" i="13"/>
  <c r="K76" i="13"/>
  <c r="J21" i="13"/>
  <c r="K21" i="13"/>
  <c r="H22" i="13"/>
  <c r="I22" i="13" s="1"/>
  <c r="I14" i="1"/>
  <c r="K14" i="1" s="1"/>
  <c r="L14" i="1" s="1"/>
  <c r="M14" i="1" s="1"/>
  <c r="J14" i="1"/>
  <c r="O13" i="1"/>
  <c r="F12" i="3"/>
  <c r="G12" i="3" s="1"/>
  <c r="I12" i="3" s="1"/>
  <c r="J12" i="3" s="1"/>
  <c r="K12" i="3" s="1"/>
  <c r="M11" i="3"/>
  <c r="L11" i="3"/>
  <c r="G14" i="2"/>
  <c r="L49" i="13" l="1"/>
  <c r="M49" i="13"/>
  <c r="H51" i="13"/>
  <c r="J50" i="13"/>
  <c r="K50" i="13" s="1"/>
  <c r="G79" i="13"/>
  <c r="H78" i="13"/>
  <c r="I78" i="13" s="1"/>
  <c r="J77" i="13"/>
  <c r="K77" i="13"/>
  <c r="J22" i="13"/>
  <c r="K22" i="13"/>
  <c r="H23" i="13"/>
  <c r="I23" i="13" s="1"/>
  <c r="H15" i="1"/>
  <c r="O14" i="1"/>
  <c r="N14" i="1"/>
  <c r="F13" i="3"/>
  <c r="G13" i="3" s="1"/>
  <c r="I13" i="3" s="1"/>
  <c r="J13" i="3" s="1"/>
  <c r="K13" i="3" s="1"/>
  <c r="H12" i="3"/>
  <c r="L12" i="3"/>
  <c r="M12" i="3"/>
  <c r="I14" i="2"/>
  <c r="J14" i="2" s="1"/>
  <c r="K14" i="2" s="1"/>
  <c r="F15" i="2"/>
  <c r="M50" i="13" l="1"/>
  <c r="L50" i="13"/>
  <c r="H52" i="13"/>
  <c r="J51" i="13"/>
  <c r="K51" i="13" s="1"/>
  <c r="K78" i="13"/>
  <c r="J78" i="13"/>
  <c r="G80" i="13"/>
  <c r="H79" i="13"/>
  <c r="I79" i="13" s="1"/>
  <c r="J23" i="13"/>
  <c r="K23" i="13"/>
  <c r="H24" i="13"/>
  <c r="I24" i="13" s="1"/>
  <c r="J15" i="1"/>
  <c r="I15" i="1"/>
  <c r="K15" i="1" s="1"/>
  <c r="L15" i="1" s="1"/>
  <c r="M15" i="1" s="1"/>
  <c r="H13" i="3"/>
  <c r="F14" i="3"/>
  <c r="G14" i="3" s="1"/>
  <c r="I14" i="3" s="1"/>
  <c r="J14" i="3" s="1"/>
  <c r="K14" i="3" s="1"/>
  <c r="M13" i="3"/>
  <c r="L13" i="3"/>
  <c r="H15" i="2"/>
  <c r="G15" i="2"/>
  <c r="I15" i="2" s="1"/>
  <c r="J15" i="2" s="1"/>
  <c r="K15" i="2" s="1"/>
  <c r="L14" i="2"/>
  <c r="M14" i="2"/>
  <c r="H53" i="13" l="1"/>
  <c r="J52" i="13"/>
  <c r="K52" i="13" s="1"/>
  <c r="M51" i="13"/>
  <c r="L51" i="13"/>
  <c r="K79" i="13"/>
  <c r="J79" i="13"/>
  <c r="G81" i="13"/>
  <c r="H80" i="13"/>
  <c r="I80" i="13" s="1"/>
  <c r="J24" i="13"/>
  <c r="K24" i="13"/>
  <c r="H25" i="13"/>
  <c r="I25" i="13" s="1"/>
  <c r="O24" i="13" s="1"/>
  <c r="O15" i="1"/>
  <c r="N15" i="1"/>
  <c r="H16" i="1"/>
  <c r="H14" i="3"/>
  <c r="F15" i="3"/>
  <c r="H15" i="3" s="1"/>
  <c r="M14" i="3"/>
  <c r="L14" i="3"/>
  <c r="F16" i="2"/>
  <c r="G16" i="2" s="1"/>
  <c r="L15" i="2"/>
  <c r="M15" i="2"/>
  <c r="M52" i="13" l="1"/>
  <c r="L52" i="13"/>
  <c r="H54" i="13"/>
  <c r="H55" i="13" s="1"/>
  <c r="J53" i="13"/>
  <c r="K53" i="13" s="1"/>
  <c r="G82" i="13"/>
  <c r="G83" i="13" s="1"/>
  <c r="H81" i="13"/>
  <c r="I81" i="13" s="1"/>
  <c r="K80" i="13"/>
  <c r="J80" i="13"/>
  <c r="J25" i="13"/>
  <c r="K25" i="13"/>
  <c r="O26" i="13" s="1"/>
  <c r="J16" i="1"/>
  <c r="I16" i="1"/>
  <c r="K16" i="1" s="1"/>
  <c r="L16" i="1" s="1"/>
  <c r="M16" i="1" s="1"/>
  <c r="G15" i="3"/>
  <c r="I15" i="3" s="1"/>
  <c r="J15" i="3" s="1"/>
  <c r="K15" i="3" s="1"/>
  <c r="L15" i="3" s="1"/>
  <c r="H16" i="2"/>
  <c r="I16" i="2"/>
  <c r="J16" i="2" s="1"/>
  <c r="K16" i="2" s="1"/>
  <c r="F17" i="2"/>
  <c r="L53" i="13" l="1"/>
  <c r="P55" i="13" s="1"/>
  <c r="M53" i="13"/>
  <c r="P56" i="13" s="1"/>
  <c r="P54" i="13"/>
  <c r="K81" i="13"/>
  <c r="O80" i="13" s="1"/>
  <c r="J81" i="13"/>
  <c r="O79" i="13" s="1"/>
  <c r="O78" i="13"/>
  <c r="N16" i="1"/>
  <c r="O16" i="1"/>
  <c r="H17" i="1"/>
  <c r="M15" i="3"/>
  <c r="F16" i="3"/>
  <c r="H16" i="3" s="1"/>
  <c r="H17" i="2"/>
  <c r="G17" i="2"/>
  <c r="L16" i="2"/>
  <c r="M16" i="2"/>
  <c r="J17" i="1" l="1"/>
  <c r="I17" i="1"/>
  <c r="K17" i="1" s="1"/>
  <c r="L17" i="1" s="1"/>
  <c r="M17" i="1" s="1"/>
  <c r="G16" i="3"/>
  <c r="I16" i="3" s="1"/>
  <c r="J16" i="3" s="1"/>
  <c r="K16" i="3" s="1"/>
  <c r="I17" i="2"/>
  <c r="J17" i="2" s="1"/>
  <c r="K17" i="2" s="1"/>
  <c r="F18" i="2"/>
  <c r="O17" i="1" l="1"/>
  <c r="N17" i="1"/>
  <c r="H18" i="1"/>
  <c r="M16" i="3"/>
  <c r="L16" i="3"/>
  <c r="F17" i="3"/>
  <c r="H18" i="2"/>
  <c r="G18" i="2"/>
  <c r="I18" i="2" s="1"/>
  <c r="J18" i="2" s="1"/>
  <c r="K18" i="2" s="1"/>
  <c r="L17" i="2"/>
  <c r="M17" i="2"/>
  <c r="J18" i="1" l="1"/>
  <c r="I18" i="1"/>
  <c r="K18" i="1" s="1"/>
  <c r="L18" i="1" s="1"/>
  <c r="M18" i="1" s="1"/>
  <c r="N18" i="1" s="1"/>
  <c r="G17" i="3"/>
  <c r="I17" i="3" s="1"/>
  <c r="J17" i="3" s="1"/>
  <c r="K17" i="3" s="1"/>
  <c r="H17" i="3"/>
  <c r="L18" i="2"/>
  <c r="M18" i="2"/>
  <c r="F19" i="2"/>
  <c r="O18" i="1" l="1"/>
  <c r="H19" i="1"/>
  <c r="F18" i="3"/>
  <c r="H18" i="3" s="1"/>
  <c r="M17" i="3"/>
  <c r="L17" i="3"/>
  <c r="G19" i="2"/>
  <c r="I19" i="2" s="1"/>
  <c r="J19" i="2" s="1"/>
  <c r="K19" i="2" s="1"/>
  <c r="H19" i="2"/>
  <c r="J19" i="1" l="1"/>
  <c r="I19" i="1"/>
  <c r="K19" i="1" s="1"/>
  <c r="L19" i="1" s="1"/>
  <c r="M19" i="1" s="1"/>
  <c r="N19" i="1" s="1"/>
  <c r="G18" i="3"/>
  <c r="I18" i="3" s="1"/>
  <c r="J18" i="3" s="1"/>
  <c r="K18" i="3" s="1"/>
  <c r="M18" i="3" s="1"/>
  <c r="L19" i="2"/>
  <c r="M19" i="2"/>
  <c r="F20" i="2"/>
  <c r="H20" i="1" l="1"/>
  <c r="J20" i="1" s="1"/>
  <c r="O19" i="1"/>
  <c r="I20" i="1"/>
  <c r="K20" i="1" s="1"/>
  <c r="L20" i="1" s="1"/>
  <c r="M20" i="1" s="1"/>
  <c r="O20" i="1" s="1"/>
  <c r="F19" i="3"/>
  <c r="L18" i="3"/>
  <c r="H20" i="2"/>
  <c r="G20" i="2"/>
  <c r="I20" i="2" s="1"/>
  <c r="J20" i="2" s="1"/>
  <c r="K20" i="2" s="1"/>
  <c r="N20" i="1" l="1"/>
  <c r="H21" i="1"/>
  <c r="G19" i="3"/>
  <c r="I19" i="3" s="1"/>
  <c r="J19" i="3" s="1"/>
  <c r="K19" i="3" s="1"/>
  <c r="H19" i="3"/>
  <c r="H23" i="3" s="1"/>
  <c r="M20" i="2"/>
  <c r="L20" i="2"/>
  <c r="F21" i="2"/>
  <c r="I21" i="1" l="1"/>
  <c r="H22" i="1" s="1"/>
  <c r="J21" i="1"/>
  <c r="J25" i="1" s="1"/>
  <c r="F20" i="3"/>
  <c r="G20" i="3" s="1"/>
  <c r="L19" i="3"/>
  <c r="M19" i="3"/>
  <c r="H21" i="2"/>
  <c r="H25" i="2" s="1"/>
  <c r="G21" i="2"/>
  <c r="I21" i="2" s="1"/>
  <c r="J21" i="2" s="1"/>
  <c r="K21" i="2" s="1"/>
  <c r="J22" i="1" l="1"/>
  <c r="J26" i="1" s="1"/>
  <c r="I22" i="1"/>
  <c r="K22" i="1" s="1"/>
  <c r="L22" i="1" s="1"/>
  <c r="M22" i="1" s="1"/>
  <c r="K21" i="1"/>
  <c r="L21" i="1" s="1"/>
  <c r="M21" i="1" s="1"/>
  <c r="H20" i="3"/>
  <c r="H24" i="3" s="1"/>
  <c r="I20" i="3"/>
  <c r="J20" i="3" s="1"/>
  <c r="K20" i="3" s="1"/>
  <c r="M20" i="3" s="1"/>
  <c r="F21" i="3"/>
  <c r="M21" i="2"/>
  <c r="L21" i="2"/>
  <c r="F22" i="2"/>
  <c r="N21" i="1" l="1"/>
  <c r="O21" i="1"/>
  <c r="O22" i="1"/>
  <c r="N22" i="1"/>
  <c r="H23" i="1"/>
  <c r="L20" i="3"/>
  <c r="H21" i="3"/>
  <c r="G21" i="3"/>
  <c r="I21" i="3" s="1"/>
  <c r="J21" i="3" s="1"/>
  <c r="K21" i="3" s="1"/>
  <c r="H22" i="2"/>
  <c r="H26" i="2" s="1"/>
  <c r="G22" i="2"/>
  <c r="I22" i="2" s="1"/>
  <c r="J22" i="2" s="1"/>
  <c r="K22" i="2" s="1"/>
  <c r="J23" i="1" l="1"/>
  <c r="I23" i="1"/>
  <c r="K23" i="1" s="1"/>
  <c r="L23" i="1" s="1"/>
  <c r="M23" i="1" s="1"/>
  <c r="M21" i="3"/>
  <c r="L21" i="3"/>
  <c r="F22" i="3"/>
  <c r="F23" i="2"/>
  <c r="H23" i="2" s="1"/>
  <c r="L22" i="2"/>
  <c r="M22" i="2"/>
  <c r="H24" i="1" l="1"/>
  <c r="O23" i="1"/>
  <c r="N23" i="1"/>
  <c r="I24" i="1"/>
  <c r="K24" i="1" s="1"/>
  <c r="L24" i="1" s="1"/>
  <c r="M24" i="1" s="1"/>
  <c r="J24" i="1"/>
  <c r="H22" i="3"/>
  <c r="G22" i="3"/>
  <c r="I22" i="3" s="1"/>
  <c r="J22" i="3" s="1"/>
  <c r="K22" i="3" s="1"/>
  <c r="U22" i="3" s="1"/>
  <c r="G23" i="2"/>
  <c r="I23" i="2" s="1"/>
  <c r="J23" i="2" s="1"/>
  <c r="K23" i="2" s="1"/>
  <c r="L23" i="2" s="1"/>
  <c r="K25" i="1" l="1"/>
  <c r="O24" i="1"/>
  <c r="N24" i="1"/>
  <c r="H25" i="1"/>
  <c r="H34" i="1"/>
  <c r="H33" i="1"/>
  <c r="H35" i="1"/>
  <c r="I23" i="3"/>
  <c r="F23" i="3"/>
  <c r="G23" i="3" s="1"/>
  <c r="I24" i="3" s="1"/>
  <c r="M22" i="3"/>
  <c r="U24" i="3" s="1"/>
  <c r="L22" i="3"/>
  <c r="U23" i="3" s="1"/>
  <c r="F24" i="2"/>
  <c r="H24" i="2" s="1"/>
  <c r="M23" i="2"/>
  <c r="I25" i="1" l="1"/>
  <c r="K26" i="1" s="1"/>
  <c r="F24" i="3"/>
  <c r="G24" i="3" s="1"/>
  <c r="G24" i="2"/>
  <c r="F25" i="2" s="1"/>
  <c r="G25" i="2" s="1"/>
  <c r="I26" i="2" s="1"/>
  <c r="H26" i="1" l="1"/>
  <c r="I26" i="1" s="1"/>
  <c r="I24" i="2"/>
  <c r="J24" i="2" s="1"/>
  <c r="K24" i="2" s="1"/>
  <c r="L24" i="2" s="1"/>
  <c r="F34" i="2" s="1"/>
  <c r="I25" i="2"/>
  <c r="F26" i="2"/>
  <c r="G26" i="2" s="1"/>
  <c r="M24" i="2" l="1"/>
  <c r="F35" i="2" s="1"/>
  <c r="F33" i="2"/>
</calcChain>
</file>

<file path=xl/sharedStrings.xml><?xml version="1.0" encoding="utf-8"?>
<sst xmlns="http://schemas.openxmlformats.org/spreadsheetml/2006/main" count="811" uniqueCount="110">
  <si>
    <t>Period</t>
  </si>
  <si>
    <t>YEAR</t>
  </si>
  <si>
    <t>Level</t>
  </si>
  <si>
    <t>Trend</t>
  </si>
  <si>
    <t>Seasonal</t>
  </si>
  <si>
    <t>Triple exponential smoothing forecast</t>
  </si>
  <si>
    <t xml:space="preserve">error </t>
  </si>
  <si>
    <t>abs error</t>
  </si>
  <si>
    <t>squared errors</t>
  </si>
  <si>
    <t>% error</t>
  </si>
  <si>
    <t>beta</t>
  </si>
  <si>
    <t>gamma</t>
  </si>
  <si>
    <t>alpha</t>
  </si>
  <si>
    <t>MAD</t>
  </si>
  <si>
    <t>MAPE</t>
  </si>
  <si>
    <t>Hookah</t>
  </si>
  <si>
    <t>Mughlai Chicken</t>
  </si>
  <si>
    <t>SOLVER USED</t>
  </si>
  <si>
    <t>Q1</t>
  </si>
  <si>
    <t>Q2</t>
  </si>
  <si>
    <t>Q3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</si>
  <si>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</si>
  <si>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</si>
  <si>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</si>
  <si>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</si>
  <si>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</si>
  <si>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</si>
  <si>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</si>
  <si>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</si>
  <si>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</si>
  <si>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</si>
  <si>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</si>
  <si>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</si>
  <si>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</si>
  <si>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</si>
  <si>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</si>
  <si>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</si>
  <si>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</si>
  <si>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</si>
  <si>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</si>
  <si>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</si>
  <si>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</si>
  <si>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</si>
  <si>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</si>
  <si>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</si>
  <si>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WHISKEY</t>
  </si>
  <si>
    <t>ORDER WINNERS- WHISKEY, MUGLAI CHICKEN, HOOKAH</t>
  </si>
  <si>
    <t>REGRESSION FORECAST</t>
  </si>
  <si>
    <t>ORDER WINNER 3- MUGHLAI CHICKEN</t>
  </si>
  <si>
    <t>ORDER WINNER_2 WHISKEY</t>
  </si>
  <si>
    <t>TRIPLE EXPONENTIAL SMOOTHING</t>
  </si>
  <si>
    <t>DEMAND FORECAST USING REGRESSION</t>
  </si>
  <si>
    <t>INDEX PAGE</t>
  </si>
  <si>
    <t>3 KEY SKUs---- HOOKAH&gt;WHISKEY&gt;CHICKEN</t>
  </si>
  <si>
    <t>Sales</t>
  </si>
  <si>
    <t>Lost sales</t>
  </si>
  <si>
    <t>Demand</t>
  </si>
  <si>
    <t>NAÏVE FORECAST</t>
  </si>
  <si>
    <t>Forecast</t>
  </si>
  <si>
    <t>SKU-1-HOOKAH</t>
  </si>
  <si>
    <t>SKU-2-WHISKEY</t>
  </si>
  <si>
    <t>SKU-3-MUGHLAI CHICKEN</t>
  </si>
  <si>
    <t>ABS ERROR</t>
  </si>
  <si>
    <t>SQUARED FORECAST ERROR</t>
  </si>
  <si>
    <t xml:space="preserve"> ERROR</t>
  </si>
  <si>
    <t>PERCENTAGE ERROR</t>
  </si>
  <si>
    <t>MSE</t>
  </si>
  <si>
    <t>Criteria</t>
  </si>
  <si>
    <t>Weight</t>
  </si>
  <si>
    <t>variable</t>
  </si>
  <si>
    <t>sum</t>
  </si>
  <si>
    <t>Error</t>
  </si>
  <si>
    <t>error squares</t>
  </si>
  <si>
    <t>% squares</t>
  </si>
  <si>
    <t xml:space="preserve">ABS Error </t>
  </si>
  <si>
    <t>SIMPLE EXPONENTIAL SMOOTHING OF KEY SKUs in SKYLINE</t>
  </si>
  <si>
    <t>SES FORECAST</t>
  </si>
  <si>
    <t>LINEAR TREND ANALYSIS OF KEY SKUs in SKYLINE</t>
  </si>
  <si>
    <t>LT FORECAST</t>
  </si>
  <si>
    <r>
      <t xml:space="preserve">SMOOTHING COEFFICIENT, </t>
    </r>
    <r>
      <rPr>
        <sz val="11"/>
        <color theme="1"/>
        <rFont val="Calibri"/>
        <family val="2"/>
      </rPr>
      <t>α</t>
    </r>
  </si>
  <si>
    <t>(SOLVER USED)</t>
  </si>
  <si>
    <t>NAÏVE</t>
  </si>
  <si>
    <t>SIMPLE MOVING AVERAGE</t>
  </si>
  <si>
    <t>WEIGHTED MOVING AVERAGE</t>
  </si>
  <si>
    <t xml:space="preserve">SIMPLE EXPONENTIAL SMOOTHING </t>
  </si>
  <si>
    <t>LINEAR TREND</t>
  </si>
  <si>
    <t>REGRESSION</t>
  </si>
  <si>
    <t>Weighted Average Forecast</t>
  </si>
  <si>
    <t>FOR ALL 3 SKUs of Skyline Restaurant</t>
  </si>
  <si>
    <t>SIMPLE MOVING AVERAGE FORECASTING</t>
  </si>
  <si>
    <t>WEIGHTED MOVING AVERAGE FORECASTING OF KEY SKUs in SKYLINE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</si>
  <si>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</si>
  <si>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</si>
  <si>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</si>
  <si>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</si>
  <si>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</si>
  <si>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</si>
  <si>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</si>
  <si>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</si>
  <si>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</si>
  <si>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</si>
  <si>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</si>
  <si>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</si>
  <si>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</si>
  <si>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Seasonality</t>
  </si>
  <si>
    <t>Seasonality1</t>
  </si>
  <si>
    <t>Seasonality2</t>
  </si>
  <si>
    <t>Seasonality3</t>
  </si>
  <si>
    <t>ORDER WINNER_1 HOOKAH</t>
  </si>
  <si>
    <t xml:space="preserve"> Demand in packs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</si>
</sst>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Arial Black"/>
      <family val="2"/>
    </font>
    <font>
      <sz val="14"/>
      <color theme="1"/>
      <name val="Arial Black"/>
      <family val="2"/>
    </font>
    <font>
      <sz val="22"/>
      <color theme="9"/>
      <name val="Arial Rounded MT Bold"/>
      <family val="2"/>
    </font>
    <font>
      <sz val="12"/>
      <color theme="1"/>
      <name val="Arial Black"/>
      <family val="2"/>
    </font>
    <font>
      <sz val="14"/>
      <color rgb="FF00B0F0"/>
      <name val="Arial Black"/>
      <family val="2"/>
    </font>
    <font>
      <sz val="16"/>
      <color rgb="FF00B0F0"/>
      <name val="Arial Black"/>
      <family val="2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2" borderId="0" xfId="0" applyFill="1"/>
    <xf numFmtId="0" fontId="5" fillId="2" borderId="0" xfId="0" applyFont="1" applyFill="1"/>
    <xf numFmtId="0" fontId="0" fillId="3" borderId="0" xfId="0" applyFill="1"/>
    <xf numFmtId="0" fontId="7" fillId="2" borderId="0" xfId="0" applyFont="1" applyFill="1"/>
    <xf numFmtId="0" fontId="9" fillId="2" borderId="0" xfId="0" applyFont="1" applyFill="1"/>
    <xf numFmtId="10" fontId="0" fillId="0" borderId="0" xfId="1" applyNumberFormat="1" applyFont="1"/>
    <xf numFmtId="10" fontId="0" fillId="0" borderId="0" xfId="0" applyNumberFormat="1"/>
    <xf numFmtId="0" fontId="0" fillId="0" borderId="3" xfId="0" applyBorder="1"/>
    <xf numFmtId="0" fontId="11" fillId="2" borderId="0" xfId="0" applyFont="1" applyFill="1"/>
    <xf numFmtId="0" fontId="11" fillId="0" borderId="0" xfId="0" applyFont="1"/>
    <xf numFmtId="0" fontId="0" fillId="0" borderId="4" xfId="0" applyBorder="1"/>
    <xf numFmtId="164" fontId="0" fillId="0" borderId="0" xfId="0" applyNumberFormat="1"/>
    <xf numFmtId="0" fontId="6" fillId="2" borderId="0" xfId="0" applyFont="1" applyFill="1"/>
    <xf numFmtId="0" fontId="3" fillId="0" borderId="0" xfId="0" applyFont="1"/>
    <xf numFmtId="0" fontId="11" fillId="2" borderId="0" xfId="0" applyFont="1" applyFill="1" applyAlignment="1">
      <alignment horizontal="center"/>
    </xf>
    <xf numFmtId="0" fontId="0" fillId="2" borderId="0" xfId="0" applyFill="1"/>
    <xf numFmtId="0" fontId="0" fillId="0" borderId="0" xfId="0"/>
    <xf numFmtId="0" fontId="11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8" fillId="2" borderId="0" xfId="0" applyFont="1" applyFill="1"/>
    <xf numFmtId="0" fontId="4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WHISKEY DEMAND  NAIVE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NAIVE!$G$29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NAIVE!$G$30:$G$47</c:f>
              <c:numCache>
                <c:formatCode>General</c:formatCode>
                <c:ptCount val="18"/>
                <c:pt idx="0">
                  <c:v>570</c:v>
                </c:pt>
                <c:pt idx="1">
                  <c:v>689</c:v>
                </c:pt>
                <c:pt idx="2">
                  <c:v>456</c:v>
                </c:pt>
                <c:pt idx="3">
                  <c:v>845</c:v>
                </c:pt>
                <c:pt idx="4">
                  <c:v>569</c:v>
                </c:pt>
                <c:pt idx="5">
                  <c:v>638</c:v>
                </c:pt>
                <c:pt idx="6">
                  <c:v>502</c:v>
                </c:pt>
                <c:pt idx="7">
                  <c:v>878</c:v>
                </c:pt>
                <c:pt idx="8">
                  <c:v>567</c:v>
                </c:pt>
                <c:pt idx="9">
                  <c:v>673</c:v>
                </c:pt>
                <c:pt idx="10">
                  <c:v>538</c:v>
                </c:pt>
                <c:pt idx="11">
                  <c:v>910</c:v>
                </c:pt>
                <c:pt idx="12">
                  <c:v>623</c:v>
                </c:pt>
                <c:pt idx="13">
                  <c:v>488</c:v>
                </c:pt>
                <c:pt idx="14">
                  <c:v>689</c:v>
                </c:pt>
                <c:pt idx="15">
                  <c:v>989</c:v>
                </c:pt>
                <c:pt idx="16">
                  <c:v>467</c:v>
                </c:pt>
                <c:pt idx="17">
                  <c:v>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5-4E9C-B023-28DFEA874E1B}"/>
            </c:ext>
          </c:extLst>
        </c:ser>
        <c:ser>
          <c:idx val="1"/>
          <c:order val="1"/>
          <c:tx>
            <c:strRef>
              <c:f>NAIVE!$H$29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NAIVE!$H$30:$H$48</c:f>
              <c:numCache>
                <c:formatCode>General</c:formatCode>
                <c:ptCount val="19"/>
                <c:pt idx="1">
                  <c:v>570</c:v>
                </c:pt>
                <c:pt idx="2">
                  <c:v>689</c:v>
                </c:pt>
                <c:pt idx="3">
                  <c:v>456</c:v>
                </c:pt>
                <c:pt idx="4">
                  <c:v>845</c:v>
                </c:pt>
                <c:pt idx="5">
                  <c:v>569</c:v>
                </c:pt>
                <c:pt idx="6">
                  <c:v>638</c:v>
                </c:pt>
                <c:pt idx="7">
                  <c:v>502</c:v>
                </c:pt>
                <c:pt idx="8">
                  <c:v>878</c:v>
                </c:pt>
                <c:pt idx="9">
                  <c:v>567</c:v>
                </c:pt>
                <c:pt idx="10">
                  <c:v>673</c:v>
                </c:pt>
                <c:pt idx="11">
                  <c:v>538</c:v>
                </c:pt>
                <c:pt idx="12">
                  <c:v>910</c:v>
                </c:pt>
                <c:pt idx="13">
                  <c:v>623</c:v>
                </c:pt>
                <c:pt idx="14">
                  <c:v>488</c:v>
                </c:pt>
                <c:pt idx="15">
                  <c:v>689</c:v>
                </c:pt>
                <c:pt idx="16">
                  <c:v>989</c:v>
                </c:pt>
                <c:pt idx="17">
                  <c:v>467</c:v>
                </c:pt>
                <c:pt idx="18">
                  <c:v>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5-4E9C-B023-28DFEA874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110096"/>
        <c:axId val="1416049792"/>
      </c:lineChart>
      <c:catAx>
        <c:axId val="147411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49792"/>
        <c:crosses val="autoZero"/>
        <c:auto val="1"/>
        <c:lblAlgn val="ctr"/>
        <c:lblOffset val="100"/>
        <c:noMultiLvlLbl val="0"/>
      </c:catAx>
      <c:valAx>
        <c:axId val="14160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of whiskey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3396241373718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1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HOOKAH</a:t>
            </a:r>
            <a:r>
              <a:rPr lang="en-US" baseline="0"/>
              <a:t> DEMAND FORECAST USING 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EXPONENTIAL SMOOTHING '!$E$7</c:f>
              <c:strCache>
                <c:ptCount val="1"/>
                <c:pt idx="0">
                  <c:v> Demand in packs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'SIMPLE EXPONENTIAL SMOOTHING '!$E$8:$E$27</c:f>
              <c:numCache>
                <c:formatCode>General</c:formatCode>
                <c:ptCount val="20"/>
                <c:pt idx="0">
                  <c:v>809</c:v>
                </c:pt>
                <c:pt idx="1">
                  <c:v>715</c:v>
                </c:pt>
                <c:pt idx="2">
                  <c:v>541</c:v>
                </c:pt>
                <c:pt idx="3">
                  <c:v>994</c:v>
                </c:pt>
                <c:pt idx="4">
                  <c:v>745</c:v>
                </c:pt>
                <c:pt idx="5">
                  <c:v>663</c:v>
                </c:pt>
                <c:pt idx="6">
                  <c:v>607</c:v>
                </c:pt>
                <c:pt idx="7">
                  <c:v>976</c:v>
                </c:pt>
                <c:pt idx="8">
                  <c:v>752</c:v>
                </c:pt>
                <c:pt idx="9">
                  <c:v>645</c:v>
                </c:pt>
                <c:pt idx="10">
                  <c:v>618</c:v>
                </c:pt>
                <c:pt idx="11">
                  <c:v>943</c:v>
                </c:pt>
                <c:pt idx="12">
                  <c:v>740</c:v>
                </c:pt>
                <c:pt idx="13">
                  <c:v>686</c:v>
                </c:pt>
                <c:pt idx="14">
                  <c:v>572</c:v>
                </c:pt>
                <c:pt idx="15">
                  <c:v>965</c:v>
                </c:pt>
                <c:pt idx="16">
                  <c:v>760</c:v>
                </c:pt>
                <c:pt idx="17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A-4185-888B-44B715A930D1}"/>
            </c:ext>
          </c:extLst>
        </c:ser>
        <c:ser>
          <c:idx val="1"/>
          <c:order val="1"/>
          <c:tx>
            <c:strRef>
              <c:f>'SIMPLE EXPONENTIAL SMOOTHING '!$F$7</c:f>
              <c:strCache>
                <c:ptCount val="1"/>
                <c:pt idx="0">
                  <c:v>SES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'SIMPLE EXPONENTIAL SMOOTHING '!$F$8:$F$27</c:f>
              <c:numCache>
                <c:formatCode>General</c:formatCode>
                <c:ptCount val="20"/>
                <c:pt idx="0">
                  <c:v>809</c:v>
                </c:pt>
                <c:pt idx="1">
                  <c:v>809</c:v>
                </c:pt>
                <c:pt idx="2">
                  <c:v>803.76068265537299</c:v>
                </c:pt>
                <c:pt idx="3">
                  <c:v>789.11508050513532</c:v>
                </c:pt>
                <c:pt idx="4">
                  <c:v>800.53483701962421</c:v>
                </c:pt>
                <c:pt idx="5">
                  <c:v>797.43946856400771</c:v>
                </c:pt>
                <c:pt idx="6">
                  <c:v>789.94615963369017</c:v>
                </c:pt>
                <c:pt idx="7">
                  <c:v>779.74921296026787</c:v>
                </c:pt>
                <c:pt idx="8">
                  <c:v>790.68772522020379</c:v>
                </c:pt>
                <c:pt idx="9">
                  <c:v>788.53137128647631</c:v>
                </c:pt>
                <c:pt idx="10">
                  <c:v>780.53130316861098</c:v>
                </c:pt>
                <c:pt idx="11">
                  <c:v>771.47222789482225</c:v>
                </c:pt>
                <c:pt idx="12">
                  <c:v>781.03274312328915</c:v>
                </c:pt>
                <c:pt idx="13">
                  <c:v>778.74568394516712</c:v>
                </c:pt>
                <c:pt idx="14">
                  <c:v>773.57627893949461</c:v>
                </c:pt>
                <c:pt idx="15">
                  <c:v>762.34093750850445</c:v>
                </c:pt>
                <c:pt idx="16">
                  <c:v>773.63663049954221</c:v>
                </c:pt>
                <c:pt idx="17">
                  <c:v>772.87655991764302</c:v>
                </c:pt>
                <c:pt idx="18">
                  <c:v>770.26378147686694</c:v>
                </c:pt>
                <c:pt idx="19">
                  <c:v>727.33126668718864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A-4185-888B-44B715A93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554608"/>
        <c:axId val="1999945728"/>
      </c:lineChart>
      <c:catAx>
        <c:axId val="31255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45728"/>
        <c:crosses val="autoZero"/>
        <c:auto val="1"/>
        <c:lblAlgn val="ctr"/>
        <c:lblOffset val="100"/>
        <c:noMultiLvlLbl val="0"/>
      </c:catAx>
      <c:valAx>
        <c:axId val="19999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demand of hookah in packs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5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WHISKEY DEMAND FORECAST</a:t>
            </a:r>
            <a:r>
              <a:rPr lang="en-US" baseline="0"/>
              <a:t> USING 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EXPONENTIAL SMOOTHING '!$G$35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'SIMPLE EXPONENTIAL SMOOTHING '!$G$36:$G$55</c:f>
            </c:numRef>
          </c:val>
          <c:smooth val="0"/>
          <c:extLst>
            <c:ext xmlns:c16="http://schemas.microsoft.com/office/drawing/2014/chart" uri="{C3380CC4-5D6E-409C-BE32-E72D297353CC}">
              <c16:uniqueId val="{00000000-78B6-40E1-A6A8-1B22B068BDFA}"/>
            </c:ext>
          </c:extLst>
        </c:ser>
        <c:ser>
          <c:idx val="1"/>
          <c:order val="1"/>
          <c:tx>
            <c:strRef>
              <c:f>'SIMPLE EXPONENTIAL SMOOTHING '!$H$35</c:f>
              <c:strCache>
                <c:ptCount val="1"/>
                <c:pt idx="0">
                  <c:v>SES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'SIMPLE EXPONENTIAL SMOOTHING '!$H$36:$H$55</c:f>
              <c:numCache>
                <c:formatCode>General</c:formatCode>
                <c:ptCount val="20"/>
                <c:pt idx="0">
                  <c:v>570</c:v>
                </c:pt>
                <c:pt idx="1">
                  <c:v>570</c:v>
                </c:pt>
                <c:pt idx="2">
                  <c:v>579.6278286840336</c:v>
                </c:pt>
                <c:pt idx="3">
                  <c:v>569.6255803214375</c:v>
                </c:pt>
                <c:pt idx="4">
                  <c:v>591.90505709984404</c:v>
                </c:pt>
                <c:pt idx="5">
                  <c:v>590.05189772374899</c:v>
                </c:pt>
                <c:pt idx="6">
                  <c:v>593.93119280307894</c:v>
                </c:pt>
                <c:pt idx="7">
                  <c:v>586.49339637428136</c:v>
                </c:pt>
                <c:pt idx="8">
                  <c:v>610.07806561775124</c:v>
                </c:pt>
                <c:pt idx="9">
                  <c:v>606.5927863252532</c:v>
                </c:pt>
                <c:pt idx="10">
                  <c:v>611.96553654915635</c:v>
                </c:pt>
                <c:pt idx="11">
                  <c:v>605.98127172211514</c:v>
                </c:pt>
                <c:pt idx="12">
                  <c:v>630.57824846662982</c:v>
                </c:pt>
                <c:pt idx="13">
                  <c:v>629.96512176106887</c:v>
                </c:pt>
                <c:pt idx="14">
                  <c:v>618.4792741020475</c:v>
                </c:pt>
                <c:pt idx="15">
                  <c:v>624.18483265346913</c:v>
                </c:pt>
                <c:pt idx="16">
                  <c:v>653.70061359926297</c:v>
                </c:pt>
                <c:pt idx="17">
                  <c:v>638.59539071743382</c:v>
                </c:pt>
                <c:pt idx="18">
                  <c:v>636.44366075430446</c:v>
                </c:pt>
                <c:pt idx="19">
                  <c:v>584.95147140319807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6-40E1-A6A8-1B22B068B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575856"/>
        <c:axId val="2124037312"/>
      </c:lineChart>
      <c:catAx>
        <c:axId val="28857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37312"/>
        <c:crosses val="autoZero"/>
        <c:auto val="1"/>
        <c:lblAlgn val="ctr"/>
        <c:lblOffset val="100"/>
        <c:noMultiLvlLbl val="0"/>
      </c:catAx>
      <c:valAx>
        <c:axId val="21240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of whiskey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7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MUGHLAI CHICKEN DEMAND FORECAST USING 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EXPONENTIAL SMOOTHING '!$F$63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'SIMPLE EXPONENTIAL SMOOTHING '!$F$64:$F$83</c:f>
              <c:numCache>
                <c:formatCode>General</c:formatCode>
                <c:ptCount val="20"/>
                <c:pt idx="0">
                  <c:v>417</c:v>
                </c:pt>
                <c:pt idx="1">
                  <c:v>546</c:v>
                </c:pt>
                <c:pt idx="2">
                  <c:v>625</c:v>
                </c:pt>
                <c:pt idx="3">
                  <c:v>780</c:v>
                </c:pt>
                <c:pt idx="4">
                  <c:v>424</c:v>
                </c:pt>
                <c:pt idx="5">
                  <c:v>579</c:v>
                </c:pt>
                <c:pt idx="6">
                  <c:v>683</c:v>
                </c:pt>
                <c:pt idx="7">
                  <c:v>793</c:v>
                </c:pt>
                <c:pt idx="8">
                  <c:v>401</c:v>
                </c:pt>
                <c:pt idx="9">
                  <c:v>592</c:v>
                </c:pt>
                <c:pt idx="10">
                  <c:v>692</c:v>
                </c:pt>
                <c:pt idx="11">
                  <c:v>720</c:v>
                </c:pt>
                <c:pt idx="12">
                  <c:v>493</c:v>
                </c:pt>
                <c:pt idx="13">
                  <c:v>572</c:v>
                </c:pt>
                <c:pt idx="14">
                  <c:v>682</c:v>
                </c:pt>
                <c:pt idx="15">
                  <c:v>428</c:v>
                </c:pt>
                <c:pt idx="16">
                  <c:v>590</c:v>
                </c:pt>
                <c:pt idx="17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7-45CE-9E03-42BBEDAD46D3}"/>
            </c:ext>
          </c:extLst>
        </c:ser>
        <c:ser>
          <c:idx val="1"/>
          <c:order val="1"/>
          <c:tx>
            <c:strRef>
              <c:f>'SIMPLE EXPONENTIAL SMOOTHING '!$G$63</c:f>
              <c:strCache>
                <c:ptCount val="1"/>
                <c:pt idx="0">
                  <c:v>SES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'SIMPLE EXPONENTIAL SMOOTHING '!$G$64:$G$83</c:f>
            </c:numRef>
          </c:val>
          <c:smooth val="0"/>
          <c:extLst>
            <c:ext xmlns:c16="http://schemas.microsoft.com/office/drawing/2014/chart" uri="{C3380CC4-5D6E-409C-BE32-E72D297353CC}">
              <c16:uniqueId val="{00000001-DC47-45CE-9E03-42BBEDAD4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371536"/>
        <c:axId val="2100497136"/>
      </c:lineChart>
      <c:catAx>
        <c:axId val="31437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497136"/>
        <c:crosses val="autoZero"/>
        <c:auto val="1"/>
        <c:lblAlgn val="ctr"/>
        <c:lblOffset val="100"/>
        <c:noMultiLvlLbl val="0"/>
      </c:catAx>
      <c:valAx>
        <c:axId val="21004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of mughlai chicken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7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forecast of hookah</a:t>
            </a:r>
          </a:p>
        </c:rich>
      </c:tx>
      <c:layout>
        <c:manualLayout>
          <c:xMode val="edge"/>
          <c:yMode val="edge"/>
          <c:x val="8.4472222222222212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'LINEAR TREND'!$E$7</c:f>
              <c:strCache>
                <c:ptCount val="1"/>
                <c:pt idx="0">
                  <c:v> Demand in packs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552055993000873E-2"/>
                  <c:y val="-0.266937518226888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0.6615x + 741.33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'LINEAR TREND'!$E$8:$E$25</c:f>
              <c:numCache>
                <c:formatCode>General</c:formatCode>
                <c:ptCount val="18"/>
                <c:pt idx="0">
                  <c:v>809</c:v>
                </c:pt>
                <c:pt idx="1">
                  <c:v>715</c:v>
                </c:pt>
                <c:pt idx="2">
                  <c:v>541</c:v>
                </c:pt>
                <c:pt idx="3">
                  <c:v>994</c:v>
                </c:pt>
                <c:pt idx="4">
                  <c:v>745</c:v>
                </c:pt>
                <c:pt idx="5">
                  <c:v>663</c:v>
                </c:pt>
                <c:pt idx="6">
                  <c:v>607</c:v>
                </c:pt>
                <c:pt idx="7">
                  <c:v>976</c:v>
                </c:pt>
                <c:pt idx="8">
                  <c:v>752</c:v>
                </c:pt>
                <c:pt idx="9">
                  <c:v>645</c:v>
                </c:pt>
                <c:pt idx="10">
                  <c:v>618</c:v>
                </c:pt>
                <c:pt idx="11">
                  <c:v>943</c:v>
                </c:pt>
                <c:pt idx="12">
                  <c:v>740</c:v>
                </c:pt>
                <c:pt idx="13">
                  <c:v>686</c:v>
                </c:pt>
                <c:pt idx="14">
                  <c:v>572</c:v>
                </c:pt>
                <c:pt idx="15">
                  <c:v>965</c:v>
                </c:pt>
                <c:pt idx="16">
                  <c:v>760</c:v>
                </c:pt>
                <c:pt idx="17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4-424D-8C80-E77BC459A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73392"/>
        <c:axId val="1904133904"/>
      </c:lineChart>
      <c:catAx>
        <c:axId val="1091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33904"/>
        <c:crosses val="autoZero"/>
        <c:auto val="1"/>
        <c:lblAlgn val="ctr"/>
        <c:lblOffset val="100"/>
        <c:noMultiLvlLbl val="0"/>
      </c:catAx>
      <c:valAx>
        <c:axId val="1904133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demand of hookah in packs</a:t>
                </a:r>
              </a:p>
            </c:rich>
          </c:tx>
          <c:layout>
            <c:manualLayout>
              <c:xMode val="edge"/>
              <c:yMode val="edge"/>
              <c:x val="2.6699554707999184E-2"/>
              <c:y val="0.25339232420323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forecast of whiskey</a:t>
            </a:r>
          </a:p>
        </c:rich>
      </c:tx>
      <c:layout>
        <c:manualLayout>
          <c:xMode val="edge"/>
          <c:yMode val="edge"/>
          <c:x val="0.138638888888888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'LINEAR TREND'!$G$35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6663167104111987E-2"/>
                  <c:y val="-0.30041192767570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'LINEAR TREND'!$G$36:$G$53</c:f>
            </c:numRef>
          </c:val>
          <c:smooth val="0"/>
          <c:extLst>
            <c:ext xmlns:c16="http://schemas.microsoft.com/office/drawing/2014/chart" uri="{C3380CC4-5D6E-409C-BE32-E72D297353CC}">
              <c16:uniqueId val="{00000001-FA88-4DC9-B710-4EDE4C5B1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096096"/>
        <c:axId val="380593200"/>
      </c:lineChart>
      <c:catAx>
        <c:axId val="38109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93200"/>
        <c:crosses val="autoZero"/>
        <c:auto val="1"/>
        <c:lblAlgn val="ctr"/>
        <c:lblOffset val="100"/>
        <c:noMultiLvlLbl val="0"/>
      </c:catAx>
      <c:valAx>
        <c:axId val="3805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  <a:r>
                  <a:rPr lang="en-US" baseline="0"/>
                  <a:t> OF WHISKEY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forecast </a:t>
            </a:r>
            <a:r>
              <a:rPr lang="en-US" baseline="0"/>
              <a:t> of Mughlai chicken</a:t>
            </a:r>
            <a:endParaRPr lang="en-US"/>
          </a:p>
        </c:rich>
      </c:tx>
      <c:layout>
        <c:manualLayout>
          <c:xMode val="edge"/>
          <c:yMode val="edge"/>
          <c:x val="0.10520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'LINEAR TREND'!$F$63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355205599300087E-2"/>
                  <c:y val="-0.264562554680664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'LINEAR TREND'!$F$64:$F$81</c:f>
              <c:numCache>
                <c:formatCode>General</c:formatCode>
                <c:ptCount val="18"/>
                <c:pt idx="0">
                  <c:v>417</c:v>
                </c:pt>
                <c:pt idx="1">
                  <c:v>546</c:v>
                </c:pt>
                <c:pt idx="2">
                  <c:v>625</c:v>
                </c:pt>
                <c:pt idx="3">
                  <c:v>780</c:v>
                </c:pt>
                <c:pt idx="4">
                  <c:v>424</c:v>
                </c:pt>
                <c:pt idx="5">
                  <c:v>579</c:v>
                </c:pt>
                <c:pt idx="6">
                  <c:v>683</c:v>
                </c:pt>
                <c:pt idx="7">
                  <c:v>793</c:v>
                </c:pt>
                <c:pt idx="8">
                  <c:v>401</c:v>
                </c:pt>
                <c:pt idx="9">
                  <c:v>592</c:v>
                </c:pt>
                <c:pt idx="10">
                  <c:v>692</c:v>
                </c:pt>
                <c:pt idx="11">
                  <c:v>720</c:v>
                </c:pt>
                <c:pt idx="12">
                  <c:v>493</c:v>
                </c:pt>
                <c:pt idx="13">
                  <c:v>572</c:v>
                </c:pt>
                <c:pt idx="14">
                  <c:v>682</c:v>
                </c:pt>
                <c:pt idx="15">
                  <c:v>428</c:v>
                </c:pt>
                <c:pt idx="16">
                  <c:v>590</c:v>
                </c:pt>
                <c:pt idx="17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8-4929-ACE6-C8721F70B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160528"/>
        <c:axId val="392090896"/>
      </c:lineChart>
      <c:catAx>
        <c:axId val="39316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90896"/>
        <c:crosses val="autoZero"/>
        <c:auto val="1"/>
        <c:lblAlgn val="ctr"/>
        <c:lblOffset val="100"/>
        <c:noMultiLvlLbl val="0"/>
      </c:catAx>
      <c:valAx>
        <c:axId val="3920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  <a:r>
                  <a:rPr lang="en-US" baseline="0"/>
                  <a:t> of  Chicken orders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6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Hookah</a:t>
            </a:r>
            <a:r>
              <a:rPr lang="en-US" baseline="0"/>
              <a:t> Demand 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HOOKAH_TES!$E$4</c:f>
              <c:strCache>
                <c:ptCount val="1"/>
                <c:pt idx="0">
                  <c:v> Demand in packs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HOOKAH_TES!$E$5:$E$24</c:f>
              <c:numCache>
                <c:formatCode>General</c:formatCode>
                <c:ptCount val="20"/>
                <c:pt idx="0">
                  <c:v>809</c:v>
                </c:pt>
                <c:pt idx="1">
                  <c:v>715</c:v>
                </c:pt>
                <c:pt idx="2">
                  <c:v>541</c:v>
                </c:pt>
                <c:pt idx="3">
                  <c:v>994</c:v>
                </c:pt>
                <c:pt idx="4">
                  <c:v>745</c:v>
                </c:pt>
                <c:pt idx="5">
                  <c:v>663</c:v>
                </c:pt>
                <c:pt idx="6">
                  <c:v>607</c:v>
                </c:pt>
                <c:pt idx="7">
                  <c:v>976</c:v>
                </c:pt>
                <c:pt idx="8">
                  <c:v>752</c:v>
                </c:pt>
                <c:pt idx="9">
                  <c:v>645</c:v>
                </c:pt>
                <c:pt idx="10">
                  <c:v>618</c:v>
                </c:pt>
                <c:pt idx="11">
                  <c:v>943</c:v>
                </c:pt>
                <c:pt idx="12">
                  <c:v>740</c:v>
                </c:pt>
                <c:pt idx="13">
                  <c:v>686</c:v>
                </c:pt>
                <c:pt idx="14">
                  <c:v>572</c:v>
                </c:pt>
                <c:pt idx="15">
                  <c:v>965</c:v>
                </c:pt>
                <c:pt idx="16">
                  <c:v>760</c:v>
                </c:pt>
                <c:pt idx="17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D-4770-8881-F314D0D23F72}"/>
            </c:ext>
          </c:extLst>
        </c:ser>
        <c:ser>
          <c:idx val="1"/>
          <c:order val="1"/>
          <c:tx>
            <c:strRef>
              <c:f>HOOKAH_TES!$I$4</c:f>
              <c:strCache>
                <c:ptCount val="1"/>
                <c:pt idx="0">
                  <c:v>Triple exponential smoothing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HOOKAH_TES!$I$5:$I$24</c:f>
              <c:numCache>
                <c:formatCode>General</c:formatCode>
                <c:ptCount val="20"/>
                <c:pt idx="5">
                  <c:v>916.97756942580338</c:v>
                </c:pt>
                <c:pt idx="6">
                  <c:v>658.24824004555308</c:v>
                </c:pt>
                <c:pt idx="7">
                  <c:v>934.91683230591229</c:v>
                </c:pt>
                <c:pt idx="8">
                  <c:v>712.36429130864656</c:v>
                </c:pt>
                <c:pt idx="9">
                  <c:v>628.57408655536301</c:v>
                </c:pt>
                <c:pt idx="10">
                  <c:v>700.17824780933597</c:v>
                </c:pt>
                <c:pt idx="11">
                  <c:v>963.51843600388781</c:v>
                </c:pt>
                <c:pt idx="12">
                  <c:v>711.28896094086485</c:v>
                </c:pt>
                <c:pt idx="13">
                  <c:v>699.11000472490764</c:v>
                </c:pt>
                <c:pt idx="14">
                  <c:v>621.3840834846809</c:v>
                </c:pt>
                <c:pt idx="15">
                  <c:v>994.6276050091227</c:v>
                </c:pt>
                <c:pt idx="16">
                  <c:v>758.73049409816758</c:v>
                </c:pt>
                <c:pt idx="17">
                  <c:v>761.21234051824945</c:v>
                </c:pt>
                <c:pt idx="18">
                  <c:v>586.14303433298733</c:v>
                </c:pt>
                <c:pt idx="19">
                  <c:v>1135.5319234162757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D-4770-8881-F314D0D2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24800"/>
        <c:axId val="79722224"/>
      </c:lineChart>
      <c:catAx>
        <c:axId val="10432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2224"/>
        <c:crosses val="autoZero"/>
        <c:auto val="1"/>
        <c:lblAlgn val="ctr"/>
        <c:lblOffset val="100"/>
        <c:noMultiLvlLbl val="0"/>
      </c:catAx>
      <c:valAx>
        <c:axId val="797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demand of hookah in packs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WHISKEY</a:t>
            </a:r>
            <a:r>
              <a:rPr lang="en-US" baseline="0"/>
              <a:t> </a:t>
            </a:r>
            <a:r>
              <a:rPr lang="en-US"/>
              <a:t>DEMAND 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WHISKEY_TES!$G$6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WHISKEY_TES!$G$7:$G$26</c:f>
              <c:numCache>
                <c:formatCode>General</c:formatCode>
                <c:ptCount val="20"/>
                <c:pt idx="0">
                  <c:v>570</c:v>
                </c:pt>
                <c:pt idx="1">
                  <c:v>689</c:v>
                </c:pt>
                <c:pt idx="2">
                  <c:v>456</c:v>
                </c:pt>
                <c:pt idx="3">
                  <c:v>845</c:v>
                </c:pt>
                <c:pt idx="4">
                  <c:v>569</c:v>
                </c:pt>
                <c:pt idx="5">
                  <c:v>638</c:v>
                </c:pt>
                <c:pt idx="6">
                  <c:v>502</c:v>
                </c:pt>
                <c:pt idx="7">
                  <c:v>878</c:v>
                </c:pt>
                <c:pt idx="8">
                  <c:v>567</c:v>
                </c:pt>
                <c:pt idx="9">
                  <c:v>673</c:v>
                </c:pt>
                <c:pt idx="10">
                  <c:v>538</c:v>
                </c:pt>
                <c:pt idx="11">
                  <c:v>910</c:v>
                </c:pt>
                <c:pt idx="12">
                  <c:v>623</c:v>
                </c:pt>
                <c:pt idx="13">
                  <c:v>488</c:v>
                </c:pt>
                <c:pt idx="14">
                  <c:v>689</c:v>
                </c:pt>
                <c:pt idx="15">
                  <c:v>989</c:v>
                </c:pt>
                <c:pt idx="16">
                  <c:v>467</c:v>
                </c:pt>
                <c:pt idx="17">
                  <c:v>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A-4BCD-8E3E-155A3E4E81BB}"/>
            </c:ext>
          </c:extLst>
        </c:ser>
        <c:ser>
          <c:idx val="1"/>
          <c:order val="1"/>
          <c:tx>
            <c:strRef>
              <c:f>WHISKEY_TES!$K$6</c:f>
              <c:strCache>
                <c:ptCount val="1"/>
                <c:pt idx="0">
                  <c:v>Triple exponential smoothing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WHISKEY_TES!$K$7:$K$26</c:f>
              <c:numCache>
                <c:formatCode>General</c:formatCode>
                <c:ptCount val="20"/>
                <c:pt idx="5">
                  <c:v>802.20731893727088</c:v>
                </c:pt>
                <c:pt idx="6">
                  <c:v>530.39436210338977</c:v>
                </c:pt>
                <c:pt idx="7">
                  <c:v>881.93035497067922</c:v>
                </c:pt>
                <c:pt idx="8">
                  <c:v>559.23978875375519</c:v>
                </c:pt>
                <c:pt idx="9">
                  <c:v>733.95114445462127</c:v>
                </c:pt>
                <c:pt idx="10">
                  <c:v>589.56877245769351</c:v>
                </c:pt>
                <c:pt idx="11">
                  <c:v>908.92764568039502</c:v>
                </c:pt>
                <c:pt idx="12">
                  <c:v>630.35249758420264</c:v>
                </c:pt>
                <c:pt idx="13">
                  <c:v>376.97261661415678</c:v>
                </c:pt>
                <c:pt idx="14">
                  <c:v>888.16114994758743</c:v>
                </c:pt>
                <c:pt idx="15">
                  <c:v>1037.4788473614531</c:v>
                </c:pt>
                <c:pt idx="16">
                  <c:v>287.19949211477416</c:v>
                </c:pt>
                <c:pt idx="17">
                  <c:v>635.37112244727462</c:v>
                </c:pt>
                <c:pt idx="18">
                  <c:v>537.23441255274031</c:v>
                </c:pt>
                <c:pt idx="19">
                  <c:v>931.67726914909258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A-4BCD-8E3E-155A3E4E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554272"/>
        <c:axId val="1540885328"/>
      </c:lineChart>
      <c:catAx>
        <c:axId val="201155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85328"/>
        <c:crosses val="autoZero"/>
        <c:auto val="1"/>
        <c:lblAlgn val="ctr"/>
        <c:lblOffset val="100"/>
        <c:noMultiLvlLbl val="0"/>
      </c:catAx>
      <c:valAx>
        <c:axId val="15408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5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Chicken Demand 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CHICKEN_TES!$E$6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CHICKEN_TES!$E$7:$E$26</c:f>
              <c:numCache>
                <c:formatCode>General</c:formatCode>
                <c:ptCount val="20"/>
                <c:pt idx="0">
                  <c:v>417</c:v>
                </c:pt>
                <c:pt idx="1">
                  <c:v>546</c:v>
                </c:pt>
                <c:pt idx="2">
                  <c:v>625</c:v>
                </c:pt>
                <c:pt idx="3">
                  <c:v>780</c:v>
                </c:pt>
                <c:pt idx="4">
                  <c:v>424</c:v>
                </c:pt>
                <c:pt idx="5">
                  <c:v>579</c:v>
                </c:pt>
                <c:pt idx="6">
                  <c:v>683</c:v>
                </c:pt>
                <c:pt idx="7">
                  <c:v>793</c:v>
                </c:pt>
                <c:pt idx="8">
                  <c:v>401</c:v>
                </c:pt>
                <c:pt idx="9">
                  <c:v>592</c:v>
                </c:pt>
                <c:pt idx="10">
                  <c:v>692</c:v>
                </c:pt>
                <c:pt idx="11">
                  <c:v>720</c:v>
                </c:pt>
                <c:pt idx="12">
                  <c:v>493</c:v>
                </c:pt>
                <c:pt idx="13">
                  <c:v>572</c:v>
                </c:pt>
                <c:pt idx="14">
                  <c:v>682</c:v>
                </c:pt>
                <c:pt idx="15">
                  <c:v>428</c:v>
                </c:pt>
                <c:pt idx="16">
                  <c:v>590</c:v>
                </c:pt>
                <c:pt idx="17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0-449D-8780-94C64E56ED43}"/>
            </c:ext>
          </c:extLst>
        </c:ser>
        <c:ser>
          <c:idx val="1"/>
          <c:order val="1"/>
          <c:tx>
            <c:strRef>
              <c:f>CHICKEN_TES!$I$6</c:f>
              <c:strCache>
                <c:ptCount val="1"/>
                <c:pt idx="0">
                  <c:v>Triple exponential smoothing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CHICKEN_TES!$I$7:$I$26</c:f>
              <c:numCache>
                <c:formatCode>General</c:formatCode>
                <c:ptCount val="20"/>
                <c:pt idx="5">
                  <c:v>809.72111978841292</c:v>
                </c:pt>
                <c:pt idx="6">
                  <c:v>713.85932522301732</c:v>
                </c:pt>
                <c:pt idx="7">
                  <c:v>760.85086382176337</c:v>
                </c:pt>
                <c:pt idx="8">
                  <c:v>376.60569563725153</c:v>
                </c:pt>
                <c:pt idx="9">
                  <c:v>633.89444577539155</c:v>
                </c:pt>
                <c:pt idx="10">
                  <c:v>763.94599995344697</c:v>
                </c:pt>
                <c:pt idx="11">
                  <c:v>698.18906779007568</c:v>
                </c:pt>
                <c:pt idx="12">
                  <c:v>537.46084796768832</c:v>
                </c:pt>
                <c:pt idx="13">
                  <c:v>592.88728634201141</c:v>
                </c:pt>
                <c:pt idx="14">
                  <c:v>708.03955400864493</c:v>
                </c:pt>
                <c:pt idx="15">
                  <c:v>222.77677131411792</c:v>
                </c:pt>
                <c:pt idx="16">
                  <c:v>729.5290456104575</c:v>
                </c:pt>
                <c:pt idx="17">
                  <c:v>715.73411822797789</c:v>
                </c:pt>
                <c:pt idx="18">
                  <c:v>808.0648690450746</c:v>
                </c:pt>
                <c:pt idx="19">
                  <c:v>1065.4852008766973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0-449D-8780-94C64E56E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64704"/>
        <c:axId val="79714544"/>
      </c:lineChart>
      <c:catAx>
        <c:axId val="10436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4544"/>
        <c:crosses val="autoZero"/>
        <c:auto val="1"/>
        <c:lblAlgn val="ctr"/>
        <c:lblOffset val="100"/>
        <c:noMultiLvlLbl val="0"/>
      </c:catAx>
      <c:valAx>
        <c:axId val="797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Hookah Demand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HOOKAH_REGRESSION!$D$6</c:f>
              <c:strCache>
                <c:ptCount val="1"/>
                <c:pt idx="0">
                  <c:v> Demand in packs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HOOKAH_REGRESSION!$D$7:$D$27</c:f>
              <c:numCache>
                <c:formatCode>General</c:formatCode>
                <c:ptCount val="21"/>
                <c:pt idx="0">
                  <c:v>809</c:v>
                </c:pt>
                <c:pt idx="1">
                  <c:v>715</c:v>
                </c:pt>
                <c:pt idx="2">
                  <c:v>541</c:v>
                </c:pt>
                <c:pt idx="3">
                  <c:v>994</c:v>
                </c:pt>
                <c:pt idx="4">
                  <c:v>745</c:v>
                </c:pt>
                <c:pt idx="5">
                  <c:v>663</c:v>
                </c:pt>
                <c:pt idx="6">
                  <c:v>607</c:v>
                </c:pt>
                <c:pt idx="7">
                  <c:v>976</c:v>
                </c:pt>
                <c:pt idx="8">
                  <c:v>752</c:v>
                </c:pt>
                <c:pt idx="9">
                  <c:v>645</c:v>
                </c:pt>
                <c:pt idx="10">
                  <c:v>618</c:v>
                </c:pt>
                <c:pt idx="11">
                  <c:v>943</c:v>
                </c:pt>
                <c:pt idx="12">
                  <c:v>740</c:v>
                </c:pt>
                <c:pt idx="13">
                  <c:v>686</c:v>
                </c:pt>
                <c:pt idx="14">
                  <c:v>572</c:v>
                </c:pt>
                <c:pt idx="15">
                  <c:v>965</c:v>
                </c:pt>
                <c:pt idx="16">
                  <c:v>760</c:v>
                </c:pt>
                <c:pt idx="17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B-4669-AB7B-4058DF5088AF}"/>
            </c:ext>
          </c:extLst>
        </c:ser>
        <c:ser>
          <c:idx val="2"/>
          <c:order val="1"/>
          <c:tx>
            <c:strRef>
              <c:f>HOOKAH_REGRESSION!$I$6</c:f>
              <c:strCache>
                <c:ptCount val="1"/>
                <c:pt idx="0">
                  <c:v>REGRESSION 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HOOKAH_REGRESSION!$I$7:$I$27</c:f>
              <c:numCache>
                <c:formatCode>General</c:formatCode>
                <c:ptCount val="21"/>
                <c:pt idx="0">
                  <c:v>745.33333333333326</c:v>
                </c:pt>
                <c:pt idx="1">
                  <c:v>675.13333333333321</c:v>
                </c:pt>
                <c:pt idx="2">
                  <c:v>564.89999999999986</c:v>
                </c:pt>
                <c:pt idx="3">
                  <c:v>941.9</c:v>
                </c:pt>
                <c:pt idx="4">
                  <c:v>738.06666666666661</c:v>
                </c:pt>
                <c:pt idx="5">
                  <c:v>667.86666666666656</c:v>
                </c:pt>
                <c:pt idx="6">
                  <c:v>557.63333333333321</c:v>
                </c:pt>
                <c:pt idx="7">
                  <c:v>934.63333333333333</c:v>
                </c:pt>
                <c:pt idx="8">
                  <c:v>730.8</c:v>
                </c:pt>
                <c:pt idx="9">
                  <c:v>660.59999999999991</c:v>
                </c:pt>
                <c:pt idx="10">
                  <c:v>550.36666666666656</c:v>
                </c:pt>
                <c:pt idx="11">
                  <c:v>927.36666666666656</c:v>
                </c:pt>
                <c:pt idx="12">
                  <c:v>723.5333333333333</c:v>
                </c:pt>
                <c:pt idx="13">
                  <c:v>653.33333333333326</c:v>
                </c:pt>
                <c:pt idx="14">
                  <c:v>543.09999999999991</c:v>
                </c:pt>
                <c:pt idx="15">
                  <c:v>920.09999999999991</c:v>
                </c:pt>
                <c:pt idx="16">
                  <c:v>716.26666666666654</c:v>
                </c:pt>
                <c:pt idx="17">
                  <c:v>646.06666666666661</c:v>
                </c:pt>
                <c:pt idx="18">
                  <c:v>535.83333333333326</c:v>
                </c:pt>
                <c:pt idx="19">
                  <c:v>912.83333333333326</c:v>
                </c:pt>
                <c:pt idx="20">
                  <c:v>708.99999999999989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B-4669-AB7B-4058DF508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61504"/>
        <c:axId val="296920048"/>
      </c:lineChart>
      <c:catAx>
        <c:axId val="44836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20048"/>
        <c:crosses val="autoZero"/>
        <c:auto val="1"/>
        <c:lblAlgn val="ctr"/>
        <c:lblOffset val="100"/>
        <c:noMultiLvlLbl val="0"/>
      </c:catAx>
      <c:valAx>
        <c:axId val="2969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demand of hookah in packs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HOOKAH DEMAND FORECAST NAIVE METHOD</a:t>
            </a:r>
          </a:p>
        </c:rich>
      </c:tx>
      <c:layout>
        <c:manualLayout>
          <c:xMode val="edge"/>
          <c:yMode val="edge"/>
          <c:x val="0.125770778652668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NAIVE!$E$3</c:f>
              <c:strCache>
                <c:ptCount val="1"/>
                <c:pt idx="0">
                  <c:v> Demand in packs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NAIVE!$E$4:$E$22</c:f>
              <c:numCache>
                <c:formatCode>General</c:formatCode>
                <c:ptCount val="19"/>
                <c:pt idx="0">
                  <c:v>809</c:v>
                </c:pt>
                <c:pt idx="1">
                  <c:v>715</c:v>
                </c:pt>
                <c:pt idx="2">
                  <c:v>541</c:v>
                </c:pt>
                <c:pt idx="3">
                  <c:v>994</c:v>
                </c:pt>
                <c:pt idx="4">
                  <c:v>745</c:v>
                </c:pt>
                <c:pt idx="5">
                  <c:v>663</c:v>
                </c:pt>
                <c:pt idx="6">
                  <c:v>607</c:v>
                </c:pt>
                <c:pt idx="7">
                  <c:v>976</c:v>
                </c:pt>
                <c:pt idx="8">
                  <c:v>752</c:v>
                </c:pt>
                <c:pt idx="9">
                  <c:v>645</c:v>
                </c:pt>
                <c:pt idx="10">
                  <c:v>618</c:v>
                </c:pt>
                <c:pt idx="11">
                  <c:v>943</c:v>
                </c:pt>
                <c:pt idx="12">
                  <c:v>740</c:v>
                </c:pt>
                <c:pt idx="13">
                  <c:v>686</c:v>
                </c:pt>
                <c:pt idx="14">
                  <c:v>572</c:v>
                </c:pt>
                <c:pt idx="15">
                  <c:v>965</c:v>
                </c:pt>
                <c:pt idx="16">
                  <c:v>760</c:v>
                </c:pt>
                <c:pt idx="17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2-4582-BE55-E29A6394FF24}"/>
            </c:ext>
          </c:extLst>
        </c:ser>
        <c:ser>
          <c:idx val="1"/>
          <c:order val="1"/>
          <c:tx>
            <c:strRef>
              <c:f>NAIVE!$F$3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NAIVE!$F$4:$F$22</c:f>
              <c:numCache>
                <c:formatCode>General</c:formatCode>
                <c:ptCount val="19"/>
                <c:pt idx="1">
                  <c:v>809</c:v>
                </c:pt>
                <c:pt idx="2">
                  <c:v>715</c:v>
                </c:pt>
                <c:pt idx="3">
                  <c:v>541</c:v>
                </c:pt>
                <c:pt idx="4">
                  <c:v>994</c:v>
                </c:pt>
                <c:pt idx="5">
                  <c:v>745</c:v>
                </c:pt>
                <c:pt idx="6">
                  <c:v>663</c:v>
                </c:pt>
                <c:pt idx="7">
                  <c:v>607</c:v>
                </c:pt>
                <c:pt idx="8">
                  <c:v>976</c:v>
                </c:pt>
                <c:pt idx="9">
                  <c:v>752</c:v>
                </c:pt>
                <c:pt idx="10">
                  <c:v>645</c:v>
                </c:pt>
                <c:pt idx="11">
                  <c:v>618</c:v>
                </c:pt>
                <c:pt idx="12">
                  <c:v>943</c:v>
                </c:pt>
                <c:pt idx="13">
                  <c:v>740</c:v>
                </c:pt>
                <c:pt idx="14">
                  <c:v>686</c:v>
                </c:pt>
                <c:pt idx="15">
                  <c:v>572</c:v>
                </c:pt>
                <c:pt idx="16">
                  <c:v>965</c:v>
                </c:pt>
                <c:pt idx="17">
                  <c:v>760</c:v>
                </c:pt>
                <c:pt idx="18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2-4582-BE55-E29A6394F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593536"/>
        <c:axId val="1299333856"/>
      </c:lineChart>
      <c:catAx>
        <c:axId val="148859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33856"/>
        <c:crosses val="autoZero"/>
        <c:auto val="1"/>
        <c:lblAlgn val="ctr"/>
        <c:lblOffset val="100"/>
        <c:noMultiLvlLbl val="0"/>
      </c:catAx>
      <c:valAx>
        <c:axId val="12993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  <a:r>
                  <a:rPr lang="en-US" baseline="0"/>
                  <a:t> of hookah in packs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 MODEL FOE SKU-WHISKEY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WHISKEY_REGRESSION!$F$6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WHISKEY_REGRESSION!$B$7:$B$27</c:f>
              <c:numCache>
                <c:formatCode>General</c:formatCode>
                <c:ptCount val="21"/>
                <c:pt idx="0">
                  <c:v>2022</c:v>
                </c:pt>
                <c:pt idx="1">
                  <c:v>2022</c:v>
                </c:pt>
                <c:pt idx="2">
                  <c:v>2022</c:v>
                </c:pt>
                <c:pt idx="3">
                  <c:v>2022</c:v>
                </c:pt>
                <c:pt idx="4">
                  <c:v>2022</c:v>
                </c:pt>
                <c:pt idx="5">
                  <c:v>2022</c:v>
                </c:pt>
                <c:pt idx="6">
                  <c:v>2022</c:v>
                </c:pt>
                <c:pt idx="7">
                  <c:v>2022</c:v>
                </c:pt>
                <c:pt idx="8">
                  <c:v>2022</c:v>
                </c:pt>
                <c:pt idx="9">
                  <c:v>2022</c:v>
                </c:pt>
                <c:pt idx="10">
                  <c:v>2022</c:v>
                </c:pt>
                <c:pt idx="11">
                  <c:v>2022</c:v>
                </c:pt>
                <c:pt idx="12">
                  <c:v>2023</c:v>
                </c:pt>
                <c:pt idx="13">
                  <c:v>2023</c:v>
                </c:pt>
                <c:pt idx="14">
                  <c:v>2023</c:v>
                </c:pt>
                <c:pt idx="15">
                  <c:v>2023</c:v>
                </c:pt>
                <c:pt idx="16">
                  <c:v>2023</c:v>
                </c:pt>
                <c:pt idx="17">
                  <c:v>2023</c:v>
                </c:pt>
                <c:pt idx="18">
                  <c:v>2023</c:v>
                </c:pt>
                <c:pt idx="19">
                  <c:v>2023</c:v>
                </c:pt>
                <c:pt idx="20">
                  <c:v>2023</c:v>
                </c:pt>
              </c:numCache>
            </c:numRef>
          </c:cat>
          <c:val>
            <c:numRef>
              <c:f>WHISKEY_REGRESSION!$F$7:$F$27</c:f>
              <c:numCache>
                <c:formatCode>General</c:formatCode>
                <c:ptCount val="21"/>
                <c:pt idx="0">
                  <c:v>570</c:v>
                </c:pt>
                <c:pt idx="1">
                  <c:v>689</c:v>
                </c:pt>
                <c:pt idx="2">
                  <c:v>456</c:v>
                </c:pt>
                <c:pt idx="3">
                  <c:v>845</c:v>
                </c:pt>
                <c:pt idx="4">
                  <c:v>569</c:v>
                </c:pt>
                <c:pt idx="5">
                  <c:v>638</c:v>
                </c:pt>
                <c:pt idx="6">
                  <c:v>502</c:v>
                </c:pt>
                <c:pt idx="7">
                  <c:v>878</c:v>
                </c:pt>
                <c:pt idx="8">
                  <c:v>567</c:v>
                </c:pt>
                <c:pt idx="9">
                  <c:v>673</c:v>
                </c:pt>
                <c:pt idx="10">
                  <c:v>538</c:v>
                </c:pt>
                <c:pt idx="11">
                  <c:v>910</c:v>
                </c:pt>
                <c:pt idx="12">
                  <c:v>623</c:v>
                </c:pt>
                <c:pt idx="13">
                  <c:v>488</c:v>
                </c:pt>
                <c:pt idx="14">
                  <c:v>689</c:v>
                </c:pt>
                <c:pt idx="15">
                  <c:v>989</c:v>
                </c:pt>
                <c:pt idx="16">
                  <c:v>467</c:v>
                </c:pt>
                <c:pt idx="17">
                  <c:v>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0-47DB-B7B3-D5DB9323E8F7}"/>
            </c:ext>
          </c:extLst>
        </c:ser>
        <c:ser>
          <c:idx val="1"/>
          <c:order val="1"/>
          <c:tx>
            <c:strRef>
              <c:f>WHISKEY_REGRESSION!$K$6</c:f>
              <c:strCache>
                <c:ptCount val="1"/>
                <c:pt idx="0">
                  <c:v>REGRESSION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WHISKEY_REGRESSION!$B$7:$B$27</c:f>
              <c:numCache>
                <c:formatCode>General</c:formatCode>
                <c:ptCount val="21"/>
                <c:pt idx="0">
                  <c:v>2022</c:v>
                </c:pt>
                <c:pt idx="1">
                  <c:v>2022</c:v>
                </c:pt>
                <c:pt idx="2">
                  <c:v>2022</c:v>
                </c:pt>
                <c:pt idx="3">
                  <c:v>2022</c:v>
                </c:pt>
                <c:pt idx="4">
                  <c:v>2022</c:v>
                </c:pt>
                <c:pt idx="5">
                  <c:v>2022</c:v>
                </c:pt>
                <c:pt idx="6">
                  <c:v>2022</c:v>
                </c:pt>
                <c:pt idx="7">
                  <c:v>2022</c:v>
                </c:pt>
                <c:pt idx="8">
                  <c:v>2022</c:v>
                </c:pt>
                <c:pt idx="9">
                  <c:v>2022</c:v>
                </c:pt>
                <c:pt idx="10">
                  <c:v>2022</c:v>
                </c:pt>
                <c:pt idx="11">
                  <c:v>2022</c:v>
                </c:pt>
                <c:pt idx="12">
                  <c:v>2023</c:v>
                </c:pt>
                <c:pt idx="13">
                  <c:v>2023</c:v>
                </c:pt>
                <c:pt idx="14">
                  <c:v>2023</c:v>
                </c:pt>
                <c:pt idx="15">
                  <c:v>2023</c:v>
                </c:pt>
                <c:pt idx="16">
                  <c:v>2023</c:v>
                </c:pt>
                <c:pt idx="17">
                  <c:v>2023</c:v>
                </c:pt>
                <c:pt idx="18">
                  <c:v>2023</c:v>
                </c:pt>
                <c:pt idx="19">
                  <c:v>2023</c:v>
                </c:pt>
                <c:pt idx="20">
                  <c:v>2023</c:v>
                </c:pt>
              </c:numCache>
            </c:numRef>
          </c:cat>
          <c:val>
            <c:numRef>
              <c:f>WHISKEY_REGRESSION!$K$7:$K$27</c:f>
              <c:numCache>
                <c:formatCode>General</c:formatCode>
                <c:ptCount val="21"/>
                <c:pt idx="0">
                  <c:v>549.63333333333333</c:v>
                </c:pt>
                <c:pt idx="1">
                  <c:v>610.43333333333317</c:v>
                </c:pt>
                <c:pt idx="2">
                  <c:v>539.07499999999982</c:v>
                </c:pt>
                <c:pt idx="3">
                  <c:v>898.32499999999993</c:v>
                </c:pt>
                <c:pt idx="4">
                  <c:v>554.41666666666663</c:v>
                </c:pt>
                <c:pt idx="5">
                  <c:v>615.21666666666647</c:v>
                </c:pt>
                <c:pt idx="6">
                  <c:v>543.85833333333312</c:v>
                </c:pt>
                <c:pt idx="7">
                  <c:v>903.10833333333323</c:v>
                </c:pt>
                <c:pt idx="8">
                  <c:v>559.19999999999993</c:v>
                </c:pt>
                <c:pt idx="9">
                  <c:v>619.99999999999977</c:v>
                </c:pt>
                <c:pt idx="10">
                  <c:v>548.64166666666642</c:v>
                </c:pt>
                <c:pt idx="11">
                  <c:v>907.89166666666654</c:v>
                </c:pt>
                <c:pt idx="12">
                  <c:v>563.98333333333323</c:v>
                </c:pt>
                <c:pt idx="13">
                  <c:v>624.78333333333308</c:v>
                </c:pt>
                <c:pt idx="14">
                  <c:v>553.42499999999973</c:v>
                </c:pt>
                <c:pt idx="15">
                  <c:v>912.67499999999984</c:v>
                </c:pt>
                <c:pt idx="16">
                  <c:v>568.76666666666654</c:v>
                </c:pt>
                <c:pt idx="17">
                  <c:v>629.56666666666638</c:v>
                </c:pt>
                <c:pt idx="18">
                  <c:v>558.20833333333303</c:v>
                </c:pt>
                <c:pt idx="19">
                  <c:v>917.45833333333314</c:v>
                </c:pt>
                <c:pt idx="20">
                  <c:v>573.54999999999984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0-47DB-B7B3-D5DB9323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721215"/>
        <c:axId val="982887935"/>
      </c:lineChart>
      <c:catAx>
        <c:axId val="1103721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887935"/>
        <c:crosses val="autoZero"/>
        <c:auto val="1"/>
        <c:lblAlgn val="ctr"/>
        <c:lblOffset val="100"/>
        <c:noMultiLvlLbl val="1"/>
      </c:catAx>
      <c:valAx>
        <c:axId val="9828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2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MUGHLAI CHICKEN DEMAND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CHICKEN_REGRESSION!$D$6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CHICKEN_REGRESSION!$B$7:$B$27</c:f>
              <c:numCache>
                <c:formatCode>General</c:formatCode>
                <c:ptCount val="21"/>
                <c:pt idx="0">
                  <c:v>2022</c:v>
                </c:pt>
                <c:pt idx="1">
                  <c:v>2022</c:v>
                </c:pt>
                <c:pt idx="2">
                  <c:v>2022</c:v>
                </c:pt>
                <c:pt idx="3">
                  <c:v>2022</c:v>
                </c:pt>
                <c:pt idx="4">
                  <c:v>2022</c:v>
                </c:pt>
                <c:pt idx="5">
                  <c:v>2022</c:v>
                </c:pt>
                <c:pt idx="6">
                  <c:v>2022</c:v>
                </c:pt>
                <c:pt idx="7">
                  <c:v>2022</c:v>
                </c:pt>
                <c:pt idx="8">
                  <c:v>2022</c:v>
                </c:pt>
                <c:pt idx="9">
                  <c:v>2022</c:v>
                </c:pt>
                <c:pt idx="10">
                  <c:v>2022</c:v>
                </c:pt>
                <c:pt idx="11">
                  <c:v>2022</c:v>
                </c:pt>
                <c:pt idx="12">
                  <c:v>2023</c:v>
                </c:pt>
                <c:pt idx="13">
                  <c:v>2023</c:v>
                </c:pt>
                <c:pt idx="14">
                  <c:v>2023</c:v>
                </c:pt>
                <c:pt idx="15">
                  <c:v>2023</c:v>
                </c:pt>
                <c:pt idx="16">
                  <c:v>2023</c:v>
                </c:pt>
                <c:pt idx="17">
                  <c:v>2023</c:v>
                </c:pt>
                <c:pt idx="18">
                  <c:v>2023</c:v>
                </c:pt>
                <c:pt idx="19">
                  <c:v>2023</c:v>
                </c:pt>
                <c:pt idx="20">
                  <c:v>2023</c:v>
                </c:pt>
              </c:numCache>
            </c:numRef>
          </c:cat>
          <c:val>
            <c:numRef>
              <c:f>CHICKEN_REGRESSION!$D$7:$D$27</c:f>
              <c:numCache>
                <c:formatCode>General</c:formatCode>
                <c:ptCount val="21"/>
                <c:pt idx="0">
                  <c:v>417</c:v>
                </c:pt>
                <c:pt idx="1">
                  <c:v>546</c:v>
                </c:pt>
                <c:pt idx="2">
                  <c:v>625</c:v>
                </c:pt>
                <c:pt idx="3">
                  <c:v>780</c:v>
                </c:pt>
                <c:pt idx="4">
                  <c:v>424</c:v>
                </c:pt>
                <c:pt idx="5">
                  <c:v>579</c:v>
                </c:pt>
                <c:pt idx="6">
                  <c:v>683</c:v>
                </c:pt>
                <c:pt idx="7">
                  <c:v>793</c:v>
                </c:pt>
                <c:pt idx="8">
                  <c:v>401</c:v>
                </c:pt>
                <c:pt idx="9">
                  <c:v>592</c:v>
                </c:pt>
                <c:pt idx="10">
                  <c:v>692</c:v>
                </c:pt>
                <c:pt idx="11">
                  <c:v>720</c:v>
                </c:pt>
                <c:pt idx="12">
                  <c:v>493</c:v>
                </c:pt>
                <c:pt idx="13">
                  <c:v>572</c:v>
                </c:pt>
                <c:pt idx="14">
                  <c:v>682</c:v>
                </c:pt>
                <c:pt idx="15">
                  <c:v>428</c:v>
                </c:pt>
                <c:pt idx="16">
                  <c:v>590</c:v>
                </c:pt>
                <c:pt idx="17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F-43A6-B2A2-1DEEEEE737B5}"/>
            </c:ext>
          </c:extLst>
        </c:ser>
        <c:ser>
          <c:idx val="1"/>
          <c:order val="1"/>
          <c:tx>
            <c:strRef>
              <c:f>CHICKEN_REGRESSION!$I$6</c:f>
              <c:strCache>
                <c:ptCount val="1"/>
                <c:pt idx="0">
                  <c:v>REGRESSION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CHICKEN_REGRESSION!$B$7:$B$27</c:f>
              <c:numCache>
                <c:formatCode>General</c:formatCode>
                <c:ptCount val="21"/>
                <c:pt idx="0">
                  <c:v>2022</c:v>
                </c:pt>
                <c:pt idx="1">
                  <c:v>2022</c:v>
                </c:pt>
                <c:pt idx="2">
                  <c:v>2022</c:v>
                </c:pt>
                <c:pt idx="3">
                  <c:v>2022</c:v>
                </c:pt>
                <c:pt idx="4">
                  <c:v>2022</c:v>
                </c:pt>
                <c:pt idx="5">
                  <c:v>2022</c:v>
                </c:pt>
                <c:pt idx="6">
                  <c:v>2022</c:v>
                </c:pt>
                <c:pt idx="7">
                  <c:v>2022</c:v>
                </c:pt>
                <c:pt idx="8">
                  <c:v>2022</c:v>
                </c:pt>
                <c:pt idx="9">
                  <c:v>2022</c:v>
                </c:pt>
                <c:pt idx="10">
                  <c:v>2022</c:v>
                </c:pt>
                <c:pt idx="11">
                  <c:v>2022</c:v>
                </c:pt>
                <c:pt idx="12">
                  <c:v>2023</c:v>
                </c:pt>
                <c:pt idx="13">
                  <c:v>2023</c:v>
                </c:pt>
                <c:pt idx="14">
                  <c:v>2023</c:v>
                </c:pt>
                <c:pt idx="15">
                  <c:v>2023</c:v>
                </c:pt>
                <c:pt idx="16">
                  <c:v>2023</c:v>
                </c:pt>
                <c:pt idx="17">
                  <c:v>2023</c:v>
                </c:pt>
                <c:pt idx="18">
                  <c:v>2023</c:v>
                </c:pt>
                <c:pt idx="19">
                  <c:v>2023</c:v>
                </c:pt>
                <c:pt idx="20">
                  <c:v>2023</c:v>
                </c:pt>
              </c:numCache>
            </c:numRef>
          </c:cat>
          <c:val>
            <c:numRef>
              <c:f>CHICKEN_REGRESSION!$I$7:$I$27</c:f>
              <c:numCache>
                <c:formatCode>General</c:formatCode>
                <c:ptCount val="21"/>
                <c:pt idx="0">
                  <c:v>460.09999999999991</c:v>
                </c:pt>
                <c:pt idx="1">
                  <c:v>576.09999999999991</c:v>
                </c:pt>
                <c:pt idx="2">
                  <c:v>666.82499999999982</c:v>
                </c:pt>
                <c:pt idx="3">
                  <c:v>676.57499999999993</c:v>
                </c:pt>
                <c:pt idx="4">
                  <c:v>462.54999999999995</c:v>
                </c:pt>
                <c:pt idx="5">
                  <c:v>578.54999999999984</c:v>
                </c:pt>
                <c:pt idx="6">
                  <c:v>669.27499999999986</c:v>
                </c:pt>
                <c:pt idx="7">
                  <c:v>679.02499999999986</c:v>
                </c:pt>
                <c:pt idx="8">
                  <c:v>464.99999999999989</c:v>
                </c:pt>
                <c:pt idx="9">
                  <c:v>580.99999999999989</c:v>
                </c:pt>
                <c:pt idx="10">
                  <c:v>671.7249999999998</c:v>
                </c:pt>
                <c:pt idx="11">
                  <c:v>681.47499999999991</c:v>
                </c:pt>
                <c:pt idx="12">
                  <c:v>467.44999999999993</c:v>
                </c:pt>
                <c:pt idx="13">
                  <c:v>583.44999999999982</c:v>
                </c:pt>
                <c:pt idx="14">
                  <c:v>674.17499999999984</c:v>
                </c:pt>
                <c:pt idx="15">
                  <c:v>683.92499999999984</c:v>
                </c:pt>
                <c:pt idx="16">
                  <c:v>469.89999999999986</c:v>
                </c:pt>
                <c:pt idx="17">
                  <c:v>585.89999999999986</c:v>
                </c:pt>
                <c:pt idx="18">
                  <c:v>676.62499999999977</c:v>
                </c:pt>
                <c:pt idx="19">
                  <c:v>686.37499999999989</c:v>
                </c:pt>
                <c:pt idx="20">
                  <c:v>472.34999999999991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F-43A6-B2A2-1DEEEEE7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733311"/>
        <c:axId val="1103338239"/>
      </c:lineChart>
      <c:catAx>
        <c:axId val="1107733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38239"/>
        <c:crosses val="autoZero"/>
        <c:auto val="1"/>
        <c:lblAlgn val="ctr"/>
        <c:lblOffset val="100"/>
        <c:noMultiLvlLbl val="1"/>
      </c:catAx>
      <c:valAx>
        <c:axId val="11033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73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MUGHLAI  CHICKEN DEMAND NAIVE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NAIVE!$E$54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NAIVE!$E$55:$E$73</c:f>
              <c:numCache>
                <c:formatCode>General</c:formatCode>
                <c:ptCount val="19"/>
                <c:pt idx="0">
                  <c:v>417</c:v>
                </c:pt>
                <c:pt idx="1">
                  <c:v>546</c:v>
                </c:pt>
                <c:pt idx="2">
                  <c:v>625</c:v>
                </c:pt>
                <c:pt idx="3">
                  <c:v>780</c:v>
                </c:pt>
                <c:pt idx="4">
                  <c:v>424</c:v>
                </c:pt>
                <c:pt idx="5">
                  <c:v>579</c:v>
                </c:pt>
                <c:pt idx="6">
                  <c:v>683</c:v>
                </c:pt>
                <c:pt idx="7">
                  <c:v>793</c:v>
                </c:pt>
                <c:pt idx="8">
                  <c:v>401</c:v>
                </c:pt>
                <c:pt idx="9">
                  <c:v>592</c:v>
                </c:pt>
                <c:pt idx="10">
                  <c:v>692</c:v>
                </c:pt>
                <c:pt idx="11">
                  <c:v>720</c:v>
                </c:pt>
                <c:pt idx="12">
                  <c:v>493</c:v>
                </c:pt>
                <c:pt idx="13">
                  <c:v>572</c:v>
                </c:pt>
                <c:pt idx="14">
                  <c:v>682</c:v>
                </c:pt>
                <c:pt idx="15">
                  <c:v>428</c:v>
                </c:pt>
                <c:pt idx="16">
                  <c:v>590</c:v>
                </c:pt>
                <c:pt idx="17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6-47DC-AD83-83F35B71B26C}"/>
            </c:ext>
          </c:extLst>
        </c:ser>
        <c:ser>
          <c:idx val="1"/>
          <c:order val="1"/>
          <c:tx>
            <c:strRef>
              <c:f>NAIVE!$F$54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NAIVE!$F$55:$F$73</c:f>
              <c:numCache>
                <c:formatCode>General</c:formatCode>
                <c:ptCount val="19"/>
                <c:pt idx="1">
                  <c:v>417</c:v>
                </c:pt>
                <c:pt idx="2">
                  <c:v>546</c:v>
                </c:pt>
                <c:pt idx="3">
                  <c:v>625</c:v>
                </c:pt>
                <c:pt idx="4">
                  <c:v>780</c:v>
                </c:pt>
                <c:pt idx="5">
                  <c:v>424</c:v>
                </c:pt>
                <c:pt idx="6">
                  <c:v>579</c:v>
                </c:pt>
                <c:pt idx="7">
                  <c:v>683</c:v>
                </c:pt>
                <c:pt idx="8">
                  <c:v>793</c:v>
                </c:pt>
                <c:pt idx="9">
                  <c:v>401</c:v>
                </c:pt>
                <c:pt idx="10">
                  <c:v>592</c:v>
                </c:pt>
                <c:pt idx="11">
                  <c:v>692</c:v>
                </c:pt>
                <c:pt idx="12">
                  <c:v>720</c:v>
                </c:pt>
                <c:pt idx="13">
                  <c:v>493</c:v>
                </c:pt>
                <c:pt idx="14">
                  <c:v>572</c:v>
                </c:pt>
                <c:pt idx="15">
                  <c:v>682</c:v>
                </c:pt>
                <c:pt idx="16">
                  <c:v>428</c:v>
                </c:pt>
                <c:pt idx="17">
                  <c:v>590</c:v>
                </c:pt>
                <c:pt idx="18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6-47DC-AD83-83F35B71B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085136"/>
        <c:axId val="1467442352"/>
      </c:lineChart>
      <c:catAx>
        <c:axId val="149008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42352"/>
        <c:crosses val="autoZero"/>
        <c:auto val="1"/>
        <c:lblAlgn val="ctr"/>
        <c:lblOffset val="100"/>
        <c:noMultiLvlLbl val="0"/>
      </c:catAx>
      <c:valAx>
        <c:axId val="14674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of mughlai chicken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0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HOOKAH DEMAND FORECAST USING SMA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MOVING AVERAGE'!$E$3</c:f>
              <c:strCache>
                <c:ptCount val="1"/>
                <c:pt idx="0">
                  <c:v> Demand in packs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'SIMPLE MOVING AVERAGE'!$E$4:$E$23</c:f>
              <c:numCache>
                <c:formatCode>General</c:formatCode>
                <c:ptCount val="20"/>
                <c:pt idx="0">
                  <c:v>809</c:v>
                </c:pt>
                <c:pt idx="1">
                  <c:v>715</c:v>
                </c:pt>
                <c:pt idx="2">
                  <c:v>541</c:v>
                </c:pt>
                <c:pt idx="3">
                  <c:v>994</c:v>
                </c:pt>
                <c:pt idx="4">
                  <c:v>745</c:v>
                </c:pt>
                <c:pt idx="5">
                  <c:v>663</c:v>
                </c:pt>
                <c:pt idx="6">
                  <c:v>607</c:v>
                </c:pt>
                <c:pt idx="7">
                  <c:v>976</c:v>
                </c:pt>
                <c:pt idx="8">
                  <c:v>752</c:v>
                </c:pt>
                <c:pt idx="9">
                  <c:v>645</c:v>
                </c:pt>
                <c:pt idx="10">
                  <c:v>618</c:v>
                </c:pt>
                <c:pt idx="11">
                  <c:v>943</c:v>
                </c:pt>
                <c:pt idx="12">
                  <c:v>740</c:v>
                </c:pt>
                <c:pt idx="13">
                  <c:v>686</c:v>
                </c:pt>
                <c:pt idx="14">
                  <c:v>572</c:v>
                </c:pt>
                <c:pt idx="15">
                  <c:v>965</c:v>
                </c:pt>
                <c:pt idx="16">
                  <c:v>760</c:v>
                </c:pt>
                <c:pt idx="17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A-4521-A01E-BB5ECF95D8B0}"/>
            </c:ext>
          </c:extLst>
        </c:ser>
        <c:ser>
          <c:idx val="1"/>
          <c:order val="1"/>
          <c:tx>
            <c:strRef>
              <c:f>'SIMPLE MOVING AVERAGE'!$F$3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'SIMPLE MOVING AVERAGE'!$F$4:$F$23</c:f>
              <c:numCache>
                <c:formatCode>General</c:formatCode>
                <c:ptCount val="20"/>
                <c:pt idx="4">
                  <c:v>765</c:v>
                </c:pt>
                <c:pt idx="5">
                  <c:v>749</c:v>
                </c:pt>
                <c:pt idx="6">
                  <c:v>736</c:v>
                </c:pt>
                <c:pt idx="7">
                  <c:v>752</c:v>
                </c:pt>
                <c:pt idx="8">
                  <c:v>748</c:v>
                </c:pt>
                <c:pt idx="9">
                  <c:v>750</c:v>
                </c:pt>
                <c:pt idx="10">
                  <c:v>745</c:v>
                </c:pt>
                <c:pt idx="11">
                  <c:v>748</c:v>
                </c:pt>
                <c:pt idx="12">
                  <c:v>740</c:v>
                </c:pt>
                <c:pt idx="13">
                  <c:v>737</c:v>
                </c:pt>
                <c:pt idx="14">
                  <c:v>747</c:v>
                </c:pt>
                <c:pt idx="15">
                  <c:v>735</c:v>
                </c:pt>
                <c:pt idx="16">
                  <c:v>741</c:v>
                </c:pt>
                <c:pt idx="17">
                  <c:v>746</c:v>
                </c:pt>
                <c:pt idx="18">
                  <c:v>756</c:v>
                </c:pt>
                <c:pt idx="19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A-4521-A01E-BB5ECF95D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747680"/>
        <c:axId val="1467441392"/>
      </c:lineChart>
      <c:catAx>
        <c:axId val="129874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41392"/>
        <c:crosses val="autoZero"/>
        <c:auto val="1"/>
        <c:lblAlgn val="ctr"/>
        <c:lblOffset val="100"/>
        <c:noMultiLvlLbl val="0"/>
      </c:catAx>
      <c:valAx>
        <c:axId val="14674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  <a:r>
                  <a:rPr lang="en-US" baseline="0"/>
                  <a:t> of hookah shisha in packs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4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WHISKEY DEMAND FORECAST USING SMA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MOVING AVERAGE'!$G$29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'SIMPLE MOVING AVERAGE'!$G$30:$G$49</c:f>
              <c:numCache>
                <c:formatCode>General</c:formatCode>
                <c:ptCount val="20"/>
                <c:pt idx="0">
                  <c:v>570</c:v>
                </c:pt>
                <c:pt idx="1">
                  <c:v>689</c:v>
                </c:pt>
                <c:pt idx="2">
                  <c:v>456</c:v>
                </c:pt>
                <c:pt idx="3">
                  <c:v>845</c:v>
                </c:pt>
                <c:pt idx="4">
                  <c:v>569</c:v>
                </c:pt>
                <c:pt idx="5">
                  <c:v>638</c:v>
                </c:pt>
                <c:pt idx="6">
                  <c:v>502</c:v>
                </c:pt>
                <c:pt idx="7">
                  <c:v>878</c:v>
                </c:pt>
                <c:pt idx="8">
                  <c:v>567</c:v>
                </c:pt>
                <c:pt idx="9">
                  <c:v>673</c:v>
                </c:pt>
                <c:pt idx="10">
                  <c:v>538</c:v>
                </c:pt>
                <c:pt idx="11">
                  <c:v>910</c:v>
                </c:pt>
                <c:pt idx="12">
                  <c:v>623</c:v>
                </c:pt>
                <c:pt idx="13">
                  <c:v>488</c:v>
                </c:pt>
                <c:pt idx="14">
                  <c:v>689</c:v>
                </c:pt>
                <c:pt idx="15">
                  <c:v>989</c:v>
                </c:pt>
                <c:pt idx="16">
                  <c:v>467</c:v>
                </c:pt>
                <c:pt idx="17">
                  <c:v>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D-499E-84F6-C5574207E263}"/>
            </c:ext>
          </c:extLst>
        </c:ser>
        <c:ser>
          <c:idx val="1"/>
          <c:order val="1"/>
          <c:tx>
            <c:strRef>
              <c:f>'SIMPLE MOVING AVERAGE'!$H$29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'SIMPLE MOVING AVERAGE'!$H$30:$H$49</c:f>
              <c:numCache>
                <c:formatCode>General</c:formatCode>
                <c:ptCount val="20"/>
                <c:pt idx="4">
                  <c:v>640</c:v>
                </c:pt>
                <c:pt idx="5">
                  <c:v>640</c:v>
                </c:pt>
                <c:pt idx="6">
                  <c:v>627</c:v>
                </c:pt>
                <c:pt idx="7">
                  <c:v>639</c:v>
                </c:pt>
                <c:pt idx="8">
                  <c:v>647</c:v>
                </c:pt>
                <c:pt idx="9">
                  <c:v>646</c:v>
                </c:pt>
                <c:pt idx="10">
                  <c:v>655</c:v>
                </c:pt>
                <c:pt idx="11">
                  <c:v>664</c:v>
                </c:pt>
                <c:pt idx="12">
                  <c:v>672</c:v>
                </c:pt>
                <c:pt idx="13">
                  <c:v>686</c:v>
                </c:pt>
                <c:pt idx="14">
                  <c:v>640</c:v>
                </c:pt>
                <c:pt idx="15">
                  <c:v>678</c:v>
                </c:pt>
                <c:pt idx="16">
                  <c:v>697</c:v>
                </c:pt>
                <c:pt idx="17">
                  <c:v>658</c:v>
                </c:pt>
                <c:pt idx="18">
                  <c:v>689</c:v>
                </c:pt>
                <c:pt idx="19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D-499E-84F6-C5574207E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254976"/>
        <c:axId val="1042260816"/>
      </c:lineChart>
      <c:catAx>
        <c:axId val="142725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260816"/>
        <c:crosses val="autoZero"/>
        <c:auto val="1"/>
        <c:lblAlgn val="ctr"/>
        <c:lblOffset val="100"/>
        <c:noMultiLvlLbl val="0"/>
      </c:catAx>
      <c:valAx>
        <c:axId val="10422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  <a:r>
                  <a:rPr lang="en-US" baseline="0"/>
                  <a:t> of whiskey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2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MUGHLAI CHICKEN DEMAND FORECAST USING SMA</a:t>
            </a:r>
          </a:p>
        </c:rich>
      </c:tx>
      <c:layout>
        <c:manualLayout>
          <c:xMode val="edge"/>
          <c:yMode val="edge"/>
          <c:x val="0.11534961721467236"/>
          <c:y val="2.5806451612903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MOVING AVERAGE'!$E$55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'SIMPLE MOVING AVERAGE'!$E$56:$E$75</c:f>
              <c:numCache>
                <c:formatCode>General</c:formatCode>
                <c:ptCount val="20"/>
                <c:pt idx="0">
                  <c:v>417</c:v>
                </c:pt>
                <c:pt idx="1">
                  <c:v>546</c:v>
                </c:pt>
                <c:pt idx="2">
                  <c:v>625</c:v>
                </c:pt>
                <c:pt idx="3">
                  <c:v>780</c:v>
                </c:pt>
                <c:pt idx="4">
                  <c:v>424</c:v>
                </c:pt>
                <c:pt idx="5">
                  <c:v>579</c:v>
                </c:pt>
                <c:pt idx="6">
                  <c:v>683</c:v>
                </c:pt>
                <c:pt idx="7">
                  <c:v>793</c:v>
                </c:pt>
                <c:pt idx="8">
                  <c:v>401</c:v>
                </c:pt>
                <c:pt idx="9">
                  <c:v>592</c:v>
                </c:pt>
                <c:pt idx="10">
                  <c:v>692</c:v>
                </c:pt>
                <c:pt idx="11">
                  <c:v>720</c:v>
                </c:pt>
                <c:pt idx="12">
                  <c:v>493</c:v>
                </c:pt>
                <c:pt idx="13">
                  <c:v>572</c:v>
                </c:pt>
                <c:pt idx="14">
                  <c:v>682</c:v>
                </c:pt>
                <c:pt idx="15">
                  <c:v>428</c:v>
                </c:pt>
                <c:pt idx="16">
                  <c:v>590</c:v>
                </c:pt>
                <c:pt idx="17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C-4B6C-B9FA-E9408DD2D467}"/>
            </c:ext>
          </c:extLst>
        </c:ser>
        <c:ser>
          <c:idx val="1"/>
          <c:order val="1"/>
          <c:tx>
            <c:strRef>
              <c:f>'SIMPLE MOVING AVERAGE'!$F$55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'SIMPLE MOVING AVERAGE'!$F$56:$F$75</c:f>
              <c:numCache>
                <c:formatCode>General</c:formatCode>
                <c:ptCount val="20"/>
                <c:pt idx="4">
                  <c:v>592</c:v>
                </c:pt>
                <c:pt idx="5">
                  <c:v>594</c:v>
                </c:pt>
                <c:pt idx="6">
                  <c:v>602</c:v>
                </c:pt>
                <c:pt idx="7">
                  <c:v>617</c:v>
                </c:pt>
                <c:pt idx="8">
                  <c:v>620</c:v>
                </c:pt>
                <c:pt idx="9">
                  <c:v>614</c:v>
                </c:pt>
                <c:pt idx="10">
                  <c:v>617</c:v>
                </c:pt>
                <c:pt idx="11">
                  <c:v>620</c:v>
                </c:pt>
                <c:pt idx="12">
                  <c:v>601</c:v>
                </c:pt>
                <c:pt idx="13">
                  <c:v>624</c:v>
                </c:pt>
                <c:pt idx="14">
                  <c:v>619</c:v>
                </c:pt>
                <c:pt idx="15">
                  <c:v>617</c:v>
                </c:pt>
                <c:pt idx="16">
                  <c:v>544</c:v>
                </c:pt>
                <c:pt idx="17">
                  <c:v>568</c:v>
                </c:pt>
                <c:pt idx="18">
                  <c:v>579</c:v>
                </c:pt>
                <c:pt idx="19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C-4B6C-B9FA-E9408DD2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877680"/>
        <c:axId val="1378632080"/>
      </c:lineChart>
      <c:catAx>
        <c:axId val="149887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32080"/>
        <c:crosses val="autoZero"/>
        <c:auto val="1"/>
        <c:lblAlgn val="ctr"/>
        <c:lblOffset val="100"/>
        <c:noMultiLvlLbl val="0"/>
      </c:catAx>
      <c:valAx>
        <c:axId val="13786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of mughlai chicken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HOOKAH</a:t>
            </a:r>
            <a:r>
              <a:rPr lang="en-US" baseline="0"/>
              <a:t> DEMAND FORECAST USING WMA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'WEIGHTED MOVING AVERAGE'!$E$7</c:f>
              <c:strCache>
                <c:ptCount val="1"/>
                <c:pt idx="0">
                  <c:v> Demand in packs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'WEIGHTED MOVING AVERAGE'!$E$8:$E$27</c:f>
              <c:numCache>
                <c:formatCode>General</c:formatCode>
                <c:ptCount val="20"/>
                <c:pt idx="0">
                  <c:v>809</c:v>
                </c:pt>
                <c:pt idx="1">
                  <c:v>715</c:v>
                </c:pt>
                <c:pt idx="2">
                  <c:v>541</c:v>
                </c:pt>
                <c:pt idx="3">
                  <c:v>994</c:v>
                </c:pt>
                <c:pt idx="4">
                  <c:v>745</c:v>
                </c:pt>
                <c:pt idx="5">
                  <c:v>663</c:v>
                </c:pt>
                <c:pt idx="6">
                  <c:v>607</c:v>
                </c:pt>
                <c:pt idx="7">
                  <c:v>976</c:v>
                </c:pt>
                <c:pt idx="8">
                  <c:v>752</c:v>
                </c:pt>
                <c:pt idx="9">
                  <c:v>645</c:v>
                </c:pt>
                <c:pt idx="10">
                  <c:v>618</c:v>
                </c:pt>
                <c:pt idx="11">
                  <c:v>943</c:v>
                </c:pt>
                <c:pt idx="12">
                  <c:v>740</c:v>
                </c:pt>
                <c:pt idx="13">
                  <c:v>686</c:v>
                </c:pt>
                <c:pt idx="14">
                  <c:v>572</c:v>
                </c:pt>
                <c:pt idx="15">
                  <c:v>965</c:v>
                </c:pt>
                <c:pt idx="16">
                  <c:v>760</c:v>
                </c:pt>
                <c:pt idx="17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5-4524-BAAD-72126E2E854A}"/>
            </c:ext>
          </c:extLst>
        </c:ser>
        <c:ser>
          <c:idx val="1"/>
          <c:order val="1"/>
          <c:tx>
            <c:strRef>
              <c:f>'WEIGHTED MOVING AVERAGE'!$F$7</c:f>
              <c:strCache>
                <c:ptCount val="1"/>
                <c:pt idx="0">
                  <c:v>Weighted Average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'WEIGHTED MOVING AVERAGE'!$F$8:$F$27</c:f>
              <c:numCache>
                <c:formatCode>General</c:formatCode>
                <c:ptCount val="20"/>
                <c:pt idx="3">
                  <c:v>710.20812697107306</c:v>
                </c:pt>
                <c:pt idx="4">
                  <c:v>755.02081988813131</c:v>
                </c:pt>
                <c:pt idx="5">
                  <c:v>704.35167594523455</c:v>
                </c:pt>
                <c:pt idx="6">
                  <c:v>841.27102331047865</c:v>
                </c:pt>
                <c:pt idx="7">
                  <c:v>686.36534815595212</c:v>
                </c:pt>
                <c:pt idx="8">
                  <c:v>740.06777282284918</c:v>
                </c:pt>
                <c:pt idx="9">
                  <c:v>733.97282290783505</c:v>
                </c:pt>
                <c:pt idx="10">
                  <c:v>829.04847837548562</c:v>
                </c:pt>
                <c:pt idx="11">
                  <c:v>688.73817132951945</c:v>
                </c:pt>
                <c:pt idx="12">
                  <c:v>724.45607730360246</c:v>
                </c:pt>
                <c:pt idx="13">
                  <c:v>728.19040212161838</c:v>
                </c:pt>
                <c:pt idx="14">
                  <c:v>822.18168804372237</c:v>
                </c:pt>
                <c:pt idx="15">
                  <c:v>679.20901103945027</c:v>
                </c:pt>
                <c:pt idx="16">
                  <c:v>739.88671204414834</c:v>
                </c:pt>
                <c:pt idx="17">
                  <c:v>716.88467083491912</c:v>
                </c:pt>
                <c:pt idx="18">
                  <c:v>848.89574371210756</c:v>
                </c:pt>
                <c:pt idx="19">
                  <c:v>533.58979578241031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5-4524-BAAD-72126E2E8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939904"/>
        <c:axId val="1171065920"/>
      </c:lineChart>
      <c:catAx>
        <c:axId val="141393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5920"/>
        <c:crosses val="autoZero"/>
        <c:auto val="1"/>
        <c:lblAlgn val="ctr"/>
        <c:lblOffset val="100"/>
        <c:noMultiLvlLbl val="0"/>
      </c:catAx>
      <c:valAx>
        <c:axId val="11710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demand of hookah in packs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93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MUGHLAI CHICKEN DEMAND WMA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'WEIGHTED MOVING AVERAGE'!$F$63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'WEIGHTED MOVING AVERAGE'!$F$64:$F$83</c:f>
              <c:numCache>
                <c:formatCode>General</c:formatCode>
                <c:ptCount val="20"/>
                <c:pt idx="0">
                  <c:v>417</c:v>
                </c:pt>
                <c:pt idx="1">
                  <c:v>546</c:v>
                </c:pt>
                <c:pt idx="2">
                  <c:v>625</c:v>
                </c:pt>
                <c:pt idx="3">
                  <c:v>780</c:v>
                </c:pt>
                <c:pt idx="4">
                  <c:v>424</c:v>
                </c:pt>
                <c:pt idx="5">
                  <c:v>579</c:v>
                </c:pt>
                <c:pt idx="6">
                  <c:v>683</c:v>
                </c:pt>
                <c:pt idx="7">
                  <c:v>793</c:v>
                </c:pt>
                <c:pt idx="8">
                  <c:v>401</c:v>
                </c:pt>
                <c:pt idx="9">
                  <c:v>592</c:v>
                </c:pt>
                <c:pt idx="10">
                  <c:v>692</c:v>
                </c:pt>
                <c:pt idx="11">
                  <c:v>720</c:v>
                </c:pt>
                <c:pt idx="12">
                  <c:v>493</c:v>
                </c:pt>
                <c:pt idx="13">
                  <c:v>572</c:v>
                </c:pt>
                <c:pt idx="14">
                  <c:v>682</c:v>
                </c:pt>
                <c:pt idx="15">
                  <c:v>428</c:v>
                </c:pt>
                <c:pt idx="16">
                  <c:v>590</c:v>
                </c:pt>
                <c:pt idx="17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7-4412-B4E9-27BFC31FB18E}"/>
            </c:ext>
          </c:extLst>
        </c:ser>
        <c:ser>
          <c:idx val="1"/>
          <c:order val="1"/>
          <c:tx>
            <c:strRef>
              <c:f>'WEIGHTED MOVING AVERAGE'!$G$63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'WEIGHTED MOVING AVERAGE'!$G$64:$G$83</c:f>
              <c:numCache>
                <c:formatCode>General</c:formatCode>
                <c:ptCount val="20"/>
                <c:pt idx="4">
                  <c:v>592</c:v>
                </c:pt>
                <c:pt idx="5">
                  <c:v>594</c:v>
                </c:pt>
                <c:pt idx="6">
                  <c:v>602</c:v>
                </c:pt>
                <c:pt idx="7">
                  <c:v>617</c:v>
                </c:pt>
                <c:pt idx="8">
                  <c:v>620</c:v>
                </c:pt>
                <c:pt idx="9">
                  <c:v>614</c:v>
                </c:pt>
                <c:pt idx="10">
                  <c:v>617</c:v>
                </c:pt>
                <c:pt idx="11">
                  <c:v>620</c:v>
                </c:pt>
                <c:pt idx="12">
                  <c:v>601</c:v>
                </c:pt>
                <c:pt idx="13">
                  <c:v>624</c:v>
                </c:pt>
                <c:pt idx="14">
                  <c:v>619</c:v>
                </c:pt>
                <c:pt idx="15">
                  <c:v>617</c:v>
                </c:pt>
                <c:pt idx="16">
                  <c:v>544</c:v>
                </c:pt>
                <c:pt idx="17">
                  <c:v>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7-4412-B4E9-27BFC31FB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486720"/>
        <c:axId val="1470485648"/>
      </c:lineChart>
      <c:catAx>
        <c:axId val="161148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85648"/>
        <c:crosses val="autoZero"/>
        <c:auto val="1"/>
        <c:lblAlgn val="ctr"/>
        <c:lblOffset val="100"/>
        <c:noMultiLvlLbl val="0"/>
      </c:catAx>
      <c:valAx>
        <c:axId val="14704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of mughlai chicken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WHISKEY DEMAND WMA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'WEIGHTED MOVING AVERAGE'!$H$35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'WEIGHTED MOVING AVERAGE'!$H$36:$H$55</c:f>
              <c:numCache>
                <c:formatCode>General</c:formatCode>
                <c:ptCount val="20"/>
                <c:pt idx="4">
                  <c:v>640</c:v>
                </c:pt>
                <c:pt idx="5">
                  <c:v>640</c:v>
                </c:pt>
                <c:pt idx="6">
                  <c:v>627</c:v>
                </c:pt>
                <c:pt idx="7">
                  <c:v>639</c:v>
                </c:pt>
                <c:pt idx="8">
                  <c:v>647</c:v>
                </c:pt>
                <c:pt idx="9">
                  <c:v>646</c:v>
                </c:pt>
                <c:pt idx="10">
                  <c:v>655</c:v>
                </c:pt>
                <c:pt idx="11">
                  <c:v>664</c:v>
                </c:pt>
                <c:pt idx="12">
                  <c:v>672</c:v>
                </c:pt>
                <c:pt idx="13">
                  <c:v>686</c:v>
                </c:pt>
                <c:pt idx="14">
                  <c:v>640</c:v>
                </c:pt>
                <c:pt idx="15">
                  <c:v>678</c:v>
                </c:pt>
                <c:pt idx="16">
                  <c:v>697</c:v>
                </c:pt>
                <c:pt idx="17">
                  <c:v>658</c:v>
                </c:pt>
                <c:pt idx="18">
                  <c:v>689</c:v>
                </c:pt>
                <c:pt idx="19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2-4F9B-B84D-33306CB2B73F}"/>
            </c:ext>
          </c:extLst>
        </c:ser>
        <c:ser>
          <c:idx val="1"/>
          <c:order val="1"/>
          <c:tx>
            <c:strRef>
              <c:f>'WEIGHTED MOVING AVERAGE'!$G$35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'WEIGHTED MOVING AVERAGE'!$G$36:$G$53</c:f>
              <c:numCache>
                <c:formatCode>General</c:formatCode>
                <c:ptCount val="18"/>
                <c:pt idx="0">
                  <c:v>570</c:v>
                </c:pt>
                <c:pt idx="1">
                  <c:v>689</c:v>
                </c:pt>
                <c:pt idx="2">
                  <c:v>456</c:v>
                </c:pt>
                <c:pt idx="3">
                  <c:v>845</c:v>
                </c:pt>
                <c:pt idx="4">
                  <c:v>569</c:v>
                </c:pt>
                <c:pt idx="5">
                  <c:v>638</c:v>
                </c:pt>
                <c:pt idx="6">
                  <c:v>502</c:v>
                </c:pt>
                <c:pt idx="7">
                  <c:v>878</c:v>
                </c:pt>
                <c:pt idx="8">
                  <c:v>567</c:v>
                </c:pt>
                <c:pt idx="9">
                  <c:v>673</c:v>
                </c:pt>
                <c:pt idx="10">
                  <c:v>538</c:v>
                </c:pt>
                <c:pt idx="11">
                  <c:v>910</c:v>
                </c:pt>
                <c:pt idx="12">
                  <c:v>623</c:v>
                </c:pt>
                <c:pt idx="13">
                  <c:v>488</c:v>
                </c:pt>
                <c:pt idx="14">
                  <c:v>689</c:v>
                </c:pt>
                <c:pt idx="15">
                  <c:v>989</c:v>
                </c:pt>
                <c:pt idx="16">
                  <c:v>467</c:v>
                </c:pt>
                <c:pt idx="17">
                  <c:v>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2-4F9B-B84D-33306CB2B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889663"/>
        <c:axId val="1023605983"/>
      </c:lineChart>
      <c:catAx>
        <c:axId val="1016889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05983"/>
        <c:crosses val="autoZero"/>
        <c:auto val="1"/>
        <c:lblAlgn val="ctr"/>
        <c:lblOffset val="100"/>
        <c:noMultiLvlLbl val="0"/>
      </c:catAx>
      <c:valAx>
        <c:axId val="102360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of whiskey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8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HOOKAH_TES!A1"/><Relationship Id="rId2" Type="http://schemas.openxmlformats.org/officeDocument/2006/relationships/hyperlink" Target="#CHICKEN_TES!A1"/><Relationship Id="rId1" Type="http://schemas.openxmlformats.org/officeDocument/2006/relationships/hyperlink" Target="#WHISKEY_TES!A1"/><Relationship Id="rId6" Type="http://schemas.openxmlformats.org/officeDocument/2006/relationships/hyperlink" Target="#CHICKEN_REGRESSION!A1"/><Relationship Id="rId5" Type="http://schemas.openxmlformats.org/officeDocument/2006/relationships/hyperlink" Target="#WHISKEY_REGRESSION!A1"/><Relationship Id="rId4" Type="http://schemas.openxmlformats.org/officeDocument/2006/relationships/hyperlink" Target="#HOOKAH_REGRESSION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HOOKAH_TES!A1"/><Relationship Id="rId7" Type="http://schemas.openxmlformats.org/officeDocument/2006/relationships/chart" Target="../charts/chart19.xml"/><Relationship Id="rId2" Type="http://schemas.openxmlformats.org/officeDocument/2006/relationships/hyperlink" Target="#CHICKEN_TES!A1"/><Relationship Id="rId1" Type="http://schemas.openxmlformats.org/officeDocument/2006/relationships/hyperlink" Target="#WHISKEY_TES!A1"/><Relationship Id="rId6" Type="http://schemas.openxmlformats.org/officeDocument/2006/relationships/hyperlink" Target="#CHICKEN_REGRESSION!A1"/><Relationship Id="rId5" Type="http://schemas.openxmlformats.org/officeDocument/2006/relationships/hyperlink" Target="#WHISKEY_REGRESSION!A1"/><Relationship Id="rId4" Type="http://schemas.openxmlformats.org/officeDocument/2006/relationships/hyperlink" Target="#HOOKAH_REGRESSION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CHICKEN_TES!A1"/><Relationship Id="rId7" Type="http://schemas.openxmlformats.org/officeDocument/2006/relationships/hyperlink" Target="#CHICKEN_REGRESSION!A1"/><Relationship Id="rId2" Type="http://schemas.openxmlformats.org/officeDocument/2006/relationships/hyperlink" Target="#WHISKEY_TES!A1"/><Relationship Id="rId1" Type="http://schemas.openxmlformats.org/officeDocument/2006/relationships/chart" Target="../charts/chart20.xml"/><Relationship Id="rId6" Type="http://schemas.openxmlformats.org/officeDocument/2006/relationships/hyperlink" Target="#WHISKEY_REGRESSION!A1"/><Relationship Id="rId5" Type="http://schemas.openxmlformats.org/officeDocument/2006/relationships/hyperlink" Target="#HOOKAH_REGRESSION!A1"/><Relationship Id="rId4" Type="http://schemas.openxmlformats.org/officeDocument/2006/relationships/hyperlink" Target="#HOOKAH_TES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CHICKEN_TES!A1"/><Relationship Id="rId7" Type="http://schemas.openxmlformats.org/officeDocument/2006/relationships/hyperlink" Target="#CHICKEN_REGRESSION!A1"/><Relationship Id="rId2" Type="http://schemas.openxmlformats.org/officeDocument/2006/relationships/hyperlink" Target="#WHISKEY_TES!A1"/><Relationship Id="rId1" Type="http://schemas.openxmlformats.org/officeDocument/2006/relationships/chart" Target="../charts/chart21.xml"/><Relationship Id="rId6" Type="http://schemas.openxmlformats.org/officeDocument/2006/relationships/hyperlink" Target="#WHISKEY_REGRESSION!A1"/><Relationship Id="rId5" Type="http://schemas.openxmlformats.org/officeDocument/2006/relationships/hyperlink" Target="#HOOKAH_REGRESSION!A1"/><Relationship Id="rId4" Type="http://schemas.openxmlformats.org/officeDocument/2006/relationships/hyperlink" Target="#HOOKAH_T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CHICKEN_TES!A1"/><Relationship Id="rId7" Type="http://schemas.openxmlformats.org/officeDocument/2006/relationships/hyperlink" Target="#CHICKEN_REGRESSION!A1"/><Relationship Id="rId2" Type="http://schemas.openxmlformats.org/officeDocument/2006/relationships/hyperlink" Target="#WHISKEY_TES!A1"/><Relationship Id="rId1" Type="http://schemas.openxmlformats.org/officeDocument/2006/relationships/chart" Target="../charts/chart16.xml"/><Relationship Id="rId6" Type="http://schemas.openxmlformats.org/officeDocument/2006/relationships/hyperlink" Target="#WHISKEY_REGRESSION!A1"/><Relationship Id="rId5" Type="http://schemas.openxmlformats.org/officeDocument/2006/relationships/hyperlink" Target="#HOOKAH_REGRESSION!A1"/><Relationship Id="rId4" Type="http://schemas.openxmlformats.org/officeDocument/2006/relationships/hyperlink" Target="#HOOKAH_TES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CHICKEN_TES!A1"/><Relationship Id="rId7" Type="http://schemas.openxmlformats.org/officeDocument/2006/relationships/hyperlink" Target="#CHICKEN_REGRESSION!A1"/><Relationship Id="rId2" Type="http://schemas.openxmlformats.org/officeDocument/2006/relationships/hyperlink" Target="#WHISKEY_TES!A1"/><Relationship Id="rId1" Type="http://schemas.openxmlformats.org/officeDocument/2006/relationships/chart" Target="../charts/chart17.xml"/><Relationship Id="rId6" Type="http://schemas.openxmlformats.org/officeDocument/2006/relationships/hyperlink" Target="#WHISKEY_REGRESSION!A1"/><Relationship Id="rId5" Type="http://schemas.openxmlformats.org/officeDocument/2006/relationships/hyperlink" Target="#HOOKAH_REGRESSION!A1"/><Relationship Id="rId4" Type="http://schemas.openxmlformats.org/officeDocument/2006/relationships/hyperlink" Target="#HOOKAH_TES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CHICKEN_TES!A1"/><Relationship Id="rId7" Type="http://schemas.openxmlformats.org/officeDocument/2006/relationships/hyperlink" Target="#CHICKEN_REGRESSION!A1"/><Relationship Id="rId2" Type="http://schemas.openxmlformats.org/officeDocument/2006/relationships/hyperlink" Target="#WHISKEY_TES!A1"/><Relationship Id="rId1" Type="http://schemas.openxmlformats.org/officeDocument/2006/relationships/chart" Target="../charts/chart18.xml"/><Relationship Id="rId6" Type="http://schemas.openxmlformats.org/officeDocument/2006/relationships/hyperlink" Target="#WHISKEY_REGRESSION!A1"/><Relationship Id="rId5" Type="http://schemas.openxmlformats.org/officeDocument/2006/relationships/hyperlink" Target="#HOOKAH_REGRESSION!A1"/><Relationship Id="rId4" Type="http://schemas.openxmlformats.org/officeDocument/2006/relationships/hyperlink" Target="#HOOKAH_T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4</xdr:row>
      <xdr:rowOff>12700</xdr:rowOff>
    </xdr:from>
    <xdr:to>
      <xdr:col>13</xdr:col>
      <xdr:colOff>69850</xdr:colOff>
      <xdr:row>9</xdr:row>
      <xdr:rowOff>107950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978CBE99-381A-7155-E210-6771B4EC3385}"/>
            </a:ext>
          </a:extLst>
        </xdr:cNvPr>
        <xdr:cNvGrpSpPr/>
      </xdr:nvGrpSpPr>
      <xdr:grpSpPr>
        <a:xfrm>
          <a:off x="2139950" y="958850"/>
          <a:ext cx="5854700" cy="1016000"/>
          <a:chOff x="2139950" y="908050"/>
          <a:chExt cx="5854700" cy="1016000"/>
        </a:xfrm>
      </xdr:grpSpPr>
      <xdr:sp macro="" textlink="">
        <xdr:nvSpPr>
          <xdr:cNvPr id="2" name="Rectangle: Rounded Corners 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92D26475-C1D0-12A5-F860-AD50B3A963F0}"/>
              </a:ext>
            </a:extLst>
          </xdr:cNvPr>
          <xdr:cNvSpPr/>
        </xdr:nvSpPr>
        <xdr:spPr>
          <a:xfrm>
            <a:off x="6057900" y="92710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WHISKEY_TES</a:t>
            </a:r>
          </a:p>
        </xdr:txBody>
      </xdr:sp>
      <xdr:sp macro="" textlink="">
        <xdr:nvSpPr>
          <xdr:cNvPr id="3" name="Rectangle: Rounded Corners 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814A196-140F-4691-A7FA-BC6E721CF348}"/>
              </a:ext>
            </a:extLst>
          </xdr:cNvPr>
          <xdr:cNvSpPr/>
        </xdr:nvSpPr>
        <xdr:spPr>
          <a:xfrm>
            <a:off x="4089400" y="9080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CHICKEN_TES</a:t>
            </a:r>
          </a:p>
        </xdr:txBody>
      </xdr:sp>
      <xdr:sp macro="" textlink="">
        <xdr:nvSpPr>
          <xdr:cNvPr id="4" name="Rectangle: Rounded Corners 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5F204250-13FC-4655-9C0B-E8568A739918}"/>
              </a:ext>
            </a:extLst>
          </xdr:cNvPr>
          <xdr:cNvSpPr/>
        </xdr:nvSpPr>
        <xdr:spPr>
          <a:xfrm>
            <a:off x="2146300" y="92710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HOOKAH_TES</a:t>
            </a:r>
          </a:p>
        </xdr:txBody>
      </xdr:sp>
      <xdr:sp macro="" textlink="">
        <xdr:nvSpPr>
          <xdr:cNvPr id="5" name="Rectangle: Rounded Corners 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4A8E48B6-9D98-4512-A7C9-D20C6843F303}"/>
              </a:ext>
            </a:extLst>
          </xdr:cNvPr>
          <xdr:cNvSpPr/>
        </xdr:nvSpPr>
        <xdr:spPr>
          <a:xfrm>
            <a:off x="2139950" y="14414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HOOKAH_REGRESSION</a:t>
            </a:r>
          </a:p>
        </xdr:txBody>
      </xdr:sp>
      <xdr:sp macro="" textlink="">
        <xdr:nvSpPr>
          <xdr:cNvPr id="6" name="Rectangle: Rounded Corners 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8D3B0E94-1DA8-459B-A305-B192721901D0}"/>
              </a:ext>
            </a:extLst>
          </xdr:cNvPr>
          <xdr:cNvSpPr/>
        </xdr:nvSpPr>
        <xdr:spPr>
          <a:xfrm>
            <a:off x="4102100" y="14414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WHISKEY</a:t>
            </a:r>
            <a:r>
              <a:rPr lang="en-US" sz="1100" baseline="0"/>
              <a:t>_REGRESSION</a:t>
            </a:r>
            <a:endParaRPr lang="en-US" sz="1100"/>
          </a:p>
        </xdr:txBody>
      </xdr:sp>
      <xdr:sp macro="" textlink="">
        <xdr:nvSpPr>
          <xdr:cNvPr id="7" name="Rectangle: Rounded Corners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BFA49F0D-839F-4053-B2AF-19762585B6C2}"/>
              </a:ext>
            </a:extLst>
          </xdr:cNvPr>
          <xdr:cNvSpPr/>
        </xdr:nvSpPr>
        <xdr:spPr>
          <a:xfrm>
            <a:off x="6064250" y="14414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CHICKEN_REGRESSION</a:t>
            </a:r>
          </a:p>
          <a:p>
            <a:pPr algn="l"/>
            <a:endParaRPr lang="en-US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331717</xdr:colOff>
      <xdr:row>46</xdr:row>
      <xdr:rowOff>123209</xdr:rowOff>
    </xdr:from>
    <xdr:to>
      <xdr:col>26</xdr:col>
      <xdr:colOff>137594</xdr:colOff>
      <xdr:row>52</xdr:row>
      <xdr:rowOff>18393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BE491BE5-ABC1-4761-AC76-48C340115450}"/>
            </a:ext>
          </a:extLst>
        </xdr:cNvPr>
        <xdr:cNvGrpSpPr/>
      </xdr:nvGrpSpPr>
      <xdr:grpSpPr>
        <a:xfrm>
          <a:off x="11003508" y="8785746"/>
          <a:ext cx="5881026" cy="975632"/>
          <a:chOff x="2139950" y="908050"/>
          <a:chExt cx="5854700" cy="1016000"/>
        </a:xfrm>
      </xdr:grpSpPr>
      <xdr:sp macro="" textlink="">
        <xdr:nvSpPr>
          <xdr:cNvPr id="8" name="Rectangle: Rounded Corners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89C0B7A2-7837-40AF-303B-DB0A3D461CA7}"/>
              </a:ext>
            </a:extLst>
          </xdr:cNvPr>
          <xdr:cNvSpPr/>
        </xdr:nvSpPr>
        <xdr:spPr>
          <a:xfrm>
            <a:off x="6057900" y="92710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WHISKEY_TES</a:t>
            </a:r>
          </a:p>
        </xdr:txBody>
      </xdr:sp>
      <xdr:sp macro="" textlink="">
        <xdr:nvSpPr>
          <xdr:cNvPr id="9" name="Rectangle: Rounded Corners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BF5CB8E-8CBE-52BB-5754-BE3A2F0610BE}"/>
              </a:ext>
            </a:extLst>
          </xdr:cNvPr>
          <xdr:cNvSpPr/>
        </xdr:nvSpPr>
        <xdr:spPr>
          <a:xfrm>
            <a:off x="4089400" y="9080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CHICKEN_TES</a:t>
            </a:r>
          </a:p>
        </xdr:txBody>
      </xdr:sp>
      <xdr:sp macro="" textlink="">
        <xdr:nvSpPr>
          <xdr:cNvPr id="10" name="Rectangle: Rounded Corners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D3D1B755-4D37-4DF3-96C4-264A0E5D9C5E}"/>
              </a:ext>
            </a:extLst>
          </xdr:cNvPr>
          <xdr:cNvSpPr/>
        </xdr:nvSpPr>
        <xdr:spPr>
          <a:xfrm>
            <a:off x="2146300" y="92710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HOOKAH_TES</a:t>
            </a:r>
          </a:p>
        </xdr:txBody>
      </xdr:sp>
      <xdr:sp macro="" textlink="">
        <xdr:nvSpPr>
          <xdr:cNvPr id="11" name="Rectangle: Rounded Corners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846D35A9-5830-D763-7E24-34CB31366FBF}"/>
              </a:ext>
            </a:extLst>
          </xdr:cNvPr>
          <xdr:cNvSpPr/>
        </xdr:nvSpPr>
        <xdr:spPr>
          <a:xfrm>
            <a:off x="2139950" y="14414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HOOKAH_REGRESSION</a:t>
            </a:r>
          </a:p>
        </xdr:txBody>
      </xdr:sp>
      <xdr:sp macro="" textlink="">
        <xdr:nvSpPr>
          <xdr:cNvPr id="12" name="Rectangle: Rounded Corners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20D0CAD0-F3A2-E5BE-B95C-8598EA4CD4E3}"/>
              </a:ext>
            </a:extLst>
          </xdr:cNvPr>
          <xdr:cNvSpPr/>
        </xdr:nvSpPr>
        <xdr:spPr>
          <a:xfrm>
            <a:off x="4102100" y="14414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WHISKEY</a:t>
            </a:r>
            <a:r>
              <a:rPr lang="en-US" sz="1100" baseline="0"/>
              <a:t>_REGRESSION</a:t>
            </a:r>
            <a:endParaRPr lang="en-US" sz="1100"/>
          </a:p>
        </xdr:txBody>
      </xdr:sp>
      <xdr:sp macro="" textlink="">
        <xdr:nvSpPr>
          <xdr:cNvPr id="13" name="Rectangle: Rounded Corners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46467EAB-FBE1-CF8F-DE24-71C5CD205452}"/>
              </a:ext>
            </a:extLst>
          </xdr:cNvPr>
          <xdr:cNvSpPr/>
        </xdr:nvSpPr>
        <xdr:spPr>
          <a:xfrm>
            <a:off x="6064250" y="14414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CHICKEN_REGRESSION</a:t>
            </a:r>
          </a:p>
          <a:p>
            <a:pPr algn="l"/>
            <a:endParaRPr lang="en-US" sz="1100"/>
          </a:p>
        </xdr:txBody>
      </xdr:sp>
    </xdr:grpSp>
    <xdr:clientData/>
  </xdr:twoCellAnchor>
  <xdr:twoCellAnchor>
    <xdr:from>
      <xdr:col>16</xdr:col>
      <xdr:colOff>50231</xdr:colOff>
      <xdr:row>0</xdr:row>
      <xdr:rowOff>170599</xdr:rowOff>
    </xdr:from>
    <xdr:to>
      <xdr:col>24</xdr:col>
      <xdr:colOff>568656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7C4F10-1B21-539C-4909-E46979844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81411</xdr:colOff>
      <xdr:row>1</xdr:row>
      <xdr:rowOff>179102</xdr:rowOff>
    </xdr:from>
    <xdr:to>
      <xdr:col>24</xdr:col>
      <xdr:colOff>72311</xdr:colOff>
      <xdr:row>14</xdr:row>
      <xdr:rowOff>154756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7F3D2-2742-9464-198A-2B35D1850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31</xdr:row>
      <xdr:rowOff>0</xdr:rowOff>
    </xdr:from>
    <xdr:to>
      <xdr:col>25</xdr:col>
      <xdr:colOff>513229</xdr:colOff>
      <xdr:row>36</xdr:row>
      <xdr:rowOff>82177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8467581B-5022-4A20-9711-91B96145DAD9}"/>
            </a:ext>
          </a:extLst>
        </xdr:cNvPr>
        <xdr:cNvGrpSpPr/>
      </xdr:nvGrpSpPr>
      <xdr:grpSpPr>
        <a:xfrm>
          <a:off x="11649808" y="5926667"/>
          <a:ext cx="6138677" cy="1018395"/>
          <a:chOff x="2139950" y="908050"/>
          <a:chExt cx="5854700" cy="1016000"/>
        </a:xfrm>
      </xdr:grpSpPr>
      <xdr:sp macro="" textlink="">
        <xdr:nvSpPr>
          <xdr:cNvPr id="8" name="Rectangle: Rounded Corners 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575F76CE-E032-EB86-E309-63F1E90B3277}"/>
              </a:ext>
            </a:extLst>
          </xdr:cNvPr>
          <xdr:cNvSpPr/>
        </xdr:nvSpPr>
        <xdr:spPr>
          <a:xfrm>
            <a:off x="6057900" y="92710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WHISKEY_TES</a:t>
            </a:r>
          </a:p>
        </xdr:txBody>
      </xdr:sp>
      <xdr:sp macro="" textlink="">
        <xdr:nvSpPr>
          <xdr:cNvPr id="9" name="Rectangle: Rounded Corners 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910CE7B3-6471-C61E-A58C-8FC21E38F658}"/>
              </a:ext>
            </a:extLst>
          </xdr:cNvPr>
          <xdr:cNvSpPr/>
        </xdr:nvSpPr>
        <xdr:spPr>
          <a:xfrm>
            <a:off x="4089400" y="9080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CHICKEN_TES</a:t>
            </a:r>
          </a:p>
        </xdr:txBody>
      </xdr:sp>
      <xdr:sp macro="" textlink="">
        <xdr:nvSpPr>
          <xdr:cNvPr id="10" name="Rectangle: Rounded Corners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B90769A-39B3-58C8-1A03-70F91B721B4D}"/>
              </a:ext>
            </a:extLst>
          </xdr:cNvPr>
          <xdr:cNvSpPr/>
        </xdr:nvSpPr>
        <xdr:spPr>
          <a:xfrm>
            <a:off x="2146300" y="92710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HOOKAH_TES</a:t>
            </a:r>
          </a:p>
        </xdr:txBody>
      </xdr:sp>
      <xdr:sp macro="" textlink="">
        <xdr:nvSpPr>
          <xdr:cNvPr id="11" name="Rectangle: Rounded Corners 1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2F74909F-F8CD-32A1-F2DC-6AB516701856}"/>
              </a:ext>
            </a:extLst>
          </xdr:cNvPr>
          <xdr:cNvSpPr/>
        </xdr:nvSpPr>
        <xdr:spPr>
          <a:xfrm>
            <a:off x="2139950" y="14414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HOOKAH_REGRESSION</a:t>
            </a:r>
          </a:p>
        </xdr:txBody>
      </xdr:sp>
      <xdr:sp macro="" textlink="">
        <xdr:nvSpPr>
          <xdr:cNvPr id="12" name="Rectangle: Rounded Corners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CD8727F3-B16B-DB93-450F-61B38D0C7E2D}"/>
              </a:ext>
            </a:extLst>
          </xdr:cNvPr>
          <xdr:cNvSpPr/>
        </xdr:nvSpPr>
        <xdr:spPr>
          <a:xfrm>
            <a:off x="4102100" y="14414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WHISKEY</a:t>
            </a:r>
            <a:r>
              <a:rPr lang="en-US" sz="1100" baseline="0"/>
              <a:t>_REGRESSION</a:t>
            </a:r>
            <a:endParaRPr lang="en-US" sz="1100"/>
          </a:p>
        </xdr:txBody>
      </xdr:sp>
      <xdr:sp macro="" textlink="">
        <xdr:nvSpPr>
          <xdr:cNvPr id="13" name="Rectangle: Rounded Corners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5F6BC66E-ACB5-F7D5-7BF1-A0BE3F6F9012}"/>
              </a:ext>
            </a:extLst>
          </xdr:cNvPr>
          <xdr:cNvSpPr/>
        </xdr:nvSpPr>
        <xdr:spPr>
          <a:xfrm>
            <a:off x="6064250" y="14414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CHICKEN_REGRESSION</a:t>
            </a:r>
          </a:p>
          <a:p>
            <a:pPr algn="l"/>
            <a:endParaRPr lang="en-US" sz="1100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368102</xdr:colOff>
      <xdr:row>2</xdr:row>
      <xdr:rowOff>166291</xdr:rowOff>
    </xdr:from>
    <xdr:to>
      <xdr:col>25</xdr:col>
      <xdr:colOff>98227</xdr:colOff>
      <xdr:row>17</xdr:row>
      <xdr:rowOff>81756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D5DAF-4297-FE98-2246-28FC85271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248477</xdr:colOff>
      <xdr:row>29</xdr:row>
      <xdr:rowOff>64420</xdr:rowOff>
    </xdr:from>
    <xdr:to>
      <xdr:col>9</xdr:col>
      <xdr:colOff>128840</xdr:colOff>
      <xdr:row>34</xdr:row>
      <xdr:rowOff>12884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9E641A99-9186-4A3F-BB37-CDC99F80A834}"/>
            </a:ext>
          </a:extLst>
        </xdr:cNvPr>
        <xdr:cNvGrpSpPr/>
      </xdr:nvGrpSpPr>
      <xdr:grpSpPr>
        <a:xfrm>
          <a:off x="248477" y="5576956"/>
          <a:ext cx="5935870" cy="877957"/>
          <a:chOff x="2139950" y="908050"/>
          <a:chExt cx="5854700" cy="1016000"/>
        </a:xfrm>
      </xdr:grpSpPr>
      <xdr:sp macro="" textlink="">
        <xdr:nvSpPr>
          <xdr:cNvPr id="8" name="Rectangle: Rounded Corners 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49F4753-F969-B50F-61AC-5FE78470F4B4}"/>
              </a:ext>
            </a:extLst>
          </xdr:cNvPr>
          <xdr:cNvSpPr/>
        </xdr:nvSpPr>
        <xdr:spPr>
          <a:xfrm>
            <a:off x="6057900" y="92710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WHISKEY_TES</a:t>
            </a:r>
          </a:p>
        </xdr:txBody>
      </xdr:sp>
      <xdr:sp macro="" textlink="">
        <xdr:nvSpPr>
          <xdr:cNvPr id="9" name="Rectangle: Rounded Corners 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0A2ADE1-6581-00A9-B5DB-682A1CDB97D0}"/>
              </a:ext>
            </a:extLst>
          </xdr:cNvPr>
          <xdr:cNvSpPr/>
        </xdr:nvSpPr>
        <xdr:spPr>
          <a:xfrm>
            <a:off x="4089400" y="9080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CHICKEN_TES</a:t>
            </a:r>
          </a:p>
        </xdr:txBody>
      </xdr:sp>
      <xdr:sp macro="" textlink="">
        <xdr:nvSpPr>
          <xdr:cNvPr id="10" name="Rectangle: Rounded Corners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24157E85-60C7-512C-0568-A5A447276F1B}"/>
              </a:ext>
            </a:extLst>
          </xdr:cNvPr>
          <xdr:cNvSpPr/>
        </xdr:nvSpPr>
        <xdr:spPr>
          <a:xfrm>
            <a:off x="2146300" y="92710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HOOKAH_TES</a:t>
            </a:r>
          </a:p>
        </xdr:txBody>
      </xdr:sp>
      <xdr:sp macro="" textlink="">
        <xdr:nvSpPr>
          <xdr:cNvPr id="11" name="Rectangle: Rounded Corners 1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697B261-BEDB-31C9-13C8-A5F5F9968168}"/>
              </a:ext>
            </a:extLst>
          </xdr:cNvPr>
          <xdr:cNvSpPr/>
        </xdr:nvSpPr>
        <xdr:spPr>
          <a:xfrm>
            <a:off x="2139950" y="14414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HOOKAH_REGRESSION</a:t>
            </a:r>
          </a:p>
        </xdr:txBody>
      </xdr:sp>
      <xdr:sp macro="" textlink="">
        <xdr:nvSpPr>
          <xdr:cNvPr id="12" name="Rectangle: Rounded Corners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C2485E2F-6506-34D9-0C6C-4245816A44C1}"/>
              </a:ext>
            </a:extLst>
          </xdr:cNvPr>
          <xdr:cNvSpPr/>
        </xdr:nvSpPr>
        <xdr:spPr>
          <a:xfrm>
            <a:off x="4102100" y="14414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WHISKEY</a:t>
            </a:r>
            <a:r>
              <a:rPr lang="en-US" sz="1100" baseline="0"/>
              <a:t>_REGRESSION</a:t>
            </a:r>
            <a:endParaRPr lang="en-US" sz="1100"/>
          </a:p>
        </xdr:txBody>
      </xdr:sp>
      <xdr:sp macro="" textlink="">
        <xdr:nvSpPr>
          <xdr:cNvPr id="13" name="Rectangle: Rounded Corners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51799B5-03B5-52F2-0864-6B1CCE02D21C}"/>
              </a:ext>
            </a:extLst>
          </xdr:cNvPr>
          <xdr:cNvSpPr/>
        </xdr:nvSpPr>
        <xdr:spPr>
          <a:xfrm>
            <a:off x="6064250" y="14414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CHICKEN_REGRESSION</a:t>
            </a:r>
          </a:p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28</xdr:row>
      <xdr:rowOff>146050</xdr:rowOff>
    </xdr:from>
    <xdr:to>
      <xdr:col>20</xdr:col>
      <xdr:colOff>161925</xdr:colOff>
      <xdr:row>43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BAE154-4B2A-CC4B-B2FA-C618A4950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587375</xdr:colOff>
      <xdr:row>2</xdr:row>
      <xdr:rowOff>107950</xdr:rowOff>
    </xdr:from>
    <xdr:to>
      <xdr:col>18</xdr:col>
      <xdr:colOff>282575</xdr:colOff>
      <xdr:row>17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A2EF7B-1351-848D-853D-83A0B8A7A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523875</xdr:colOff>
      <xdr:row>53</xdr:row>
      <xdr:rowOff>127000</xdr:rowOff>
    </xdr:from>
    <xdr:to>
      <xdr:col>18</xdr:col>
      <xdr:colOff>219075</xdr:colOff>
      <xdr:row>68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36DCDB2-FD6F-8838-498F-F305206D2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117475</xdr:colOff>
      <xdr:row>3</xdr:row>
      <xdr:rowOff>63500</xdr:rowOff>
    </xdr:from>
    <xdr:to>
      <xdr:col>17</xdr:col>
      <xdr:colOff>422275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28B74-C997-0D6D-76ED-4A97B5AA9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79375</xdr:colOff>
      <xdr:row>27</xdr:row>
      <xdr:rowOff>171450</xdr:rowOff>
    </xdr:from>
    <xdr:to>
      <xdr:col>20</xdr:col>
      <xdr:colOff>384175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A8AD71-E780-7DED-14DA-A5A75D786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163161</xdr:colOff>
      <xdr:row>55</xdr:row>
      <xdr:rowOff>54016</xdr:rowOff>
    </xdr:from>
    <xdr:to>
      <xdr:col>19</xdr:col>
      <xdr:colOff>325086</xdr:colOff>
      <xdr:row>71</xdr:row>
      <xdr:rowOff>60367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85507B-984D-C677-E7B5-B60F13BBF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223761</xdr:colOff>
      <xdr:row>7</xdr:row>
      <xdr:rowOff>42032</xdr:rowOff>
    </xdr:from>
    <xdr:to>
      <xdr:col>19</xdr:col>
      <xdr:colOff>509511</xdr:colOff>
      <xdr:row>22</xdr:row>
      <xdr:rowOff>63803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018D1-405D-AC05-3FEE-1D8E084F7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32586</xdr:colOff>
      <xdr:row>60</xdr:row>
      <xdr:rowOff>140704</xdr:rowOff>
    </xdr:from>
    <xdr:to>
      <xdr:col>22</xdr:col>
      <xdr:colOff>335047</xdr:colOff>
      <xdr:row>75</xdr:row>
      <xdr:rowOff>126667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8928C3-2AC1-49A1-47BF-1250608E2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375151</xdr:colOff>
      <xdr:row>37</xdr:row>
      <xdr:rowOff>23728</xdr:rowOff>
    </xdr:from>
    <xdr:to>
      <xdr:col>21</xdr:col>
      <xdr:colOff>67677</xdr:colOff>
      <xdr:row>52</xdr:row>
      <xdr:rowOff>9691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85C99B-FC73-396F-521B-40D40ACD7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307662</xdr:colOff>
      <xdr:row>6</xdr:row>
      <xdr:rowOff>50442</xdr:rowOff>
    </xdr:from>
    <xdr:to>
      <xdr:col>20</xdr:col>
      <xdr:colOff>14310</xdr:colOff>
      <xdr:row>20</xdr:row>
      <xdr:rowOff>164205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F4434-AFC9-386F-9C28-5B024E2DB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289775</xdr:colOff>
      <xdr:row>35</xdr:row>
      <xdr:rowOff>32556</xdr:rowOff>
    </xdr:from>
    <xdr:to>
      <xdr:col>21</xdr:col>
      <xdr:colOff>604592</xdr:colOff>
      <xdr:row>49</xdr:row>
      <xdr:rowOff>146319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5F9898-08B0-950A-0DBE-8CE490CD1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432874</xdr:colOff>
      <xdr:row>62</xdr:row>
      <xdr:rowOff>62605</xdr:rowOff>
    </xdr:from>
    <xdr:to>
      <xdr:col>20</xdr:col>
      <xdr:colOff>313029</xdr:colOff>
      <xdr:row>77</xdr:row>
      <xdr:rowOff>3220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FE7C96-D673-85FF-01FC-A1FC2AE50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19325</xdr:colOff>
      <xdr:row>4</xdr:row>
      <xdr:rowOff>171621</xdr:rowOff>
    </xdr:from>
    <xdr:to>
      <xdr:col>23</xdr:col>
      <xdr:colOff>377568</xdr:colOff>
      <xdr:row>22</xdr:row>
      <xdr:rowOff>32580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6705A-5180-C956-C6B8-6E746BC8D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304615</xdr:colOff>
      <xdr:row>35</xdr:row>
      <xdr:rowOff>4233</xdr:rowOff>
    </xdr:from>
    <xdr:to>
      <xdr:col>22</xdr:col>
      <xdr:colOff>17485</xdr:colOff>
      <xdr:row>49</xdr:row>
      <xdr:rowOff>170622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DD1F68-1B99-5AA3-C5BF-8FED06679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461065</xdr:colOff>
      <xdr:row>63</xdr:row>
      <xdr:rowOff>96263</xdr:rowOff>
    </xdr:from>
    <xdr:to>
      <xdr:col>20</xdr:col>
      <xdr:colOff>127920</xdr:colOff>
      <xdr:row>78</xdr:row>
      <xdr:rowOff>78593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D95707-2CB6-7D50-2AB5-4C6F3FA48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343055</xdr:colOff>
      <xdr:row>3</xdr:row>
      <xdr:rowOff>72638</xdr:rowOff>
    </xdr:from>
    <xdr:to>
      <xdr:col>21</xdr:col>
      <xdr:colOff>20909</xdr:colOff>
      <xdr:row>18</xdr:row>
      <xdr:rowOff>28033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96BB0-AB97-CDC8-88EA-4490C1403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51468</xdr:colOff>
      <xdr:row>10</xdr:row>
      <xdr:rowOff>2046</xdr:rowOff>
    </xdr:from>
    <xdr:to>
      <xdr:col>36</xdr:col>
      <xdr:colOff>398744</xdr:colOff>
      <xdr:row>15</xdr:row>
      <xdr:rowOff>120252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939EB7FC-5416-4987-A1BD-16EFF79FC6E4}"/>
            </a:ext>
          </a:extLst>
        </xdr:cNvPr>
        <xdr:cNvGrpSpPr/>
      </xdr:nvGrpSpPr>
      <xdr:grpSpPr>
        <a:xfrm>
          <a:off x="17104439" y="2891756"/>
          <a:ext cx="5813798" cy="1038496"/>
          <a:chOff x="2139950" y="908050"/>
          <a:chExt cx="5854700" cy="1016000"/>
        </a:xfrm>
      </xdr:grpSpPr>
      <xdr:sp macro="" textlink="">
        <xdr:nvSpPr>
          <xdr:cNvPr id="8" name="Rectangle: Rounded Corners 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C293B71A-E623-0CA7-48A0-664BC88D12F6}"/>
              </a:ext>
            </a:extLst>
          </xdr:cNvPr>
          <xdr:cNvSpPr/>
        </xdr:nvSpPr>
        <xdr:spPr>
          <a:xfrm>
            <a:off x="6057900" y="92710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WHISKEY_TES</a:t>
            </a:r>
          </a:p>
        </xdr:txBody>
      </xdr:sp>
      <xdr:sp macro="" textlink="">
        <xdr:nvSpPr>
          <xdr:cNvPr id="9" name="Rectangle: Rounded Corners 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EBCA1D3F-8823-7BB0-91AB-0EB64C64D8A2}"/>
              </a:ext>
            </a:extLst>
          </xdr:cNvPr>
          <xdr:cNvSpPr/>
        </xdr:nvSpPr>
        <xdr:spPr>
          <a:xfrm>
            <a:off x="4089400" y="9080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CHICKEN_TES</a:t>
            </a:r>
          </a:p>
        </xdr:txBody>
      </xdr:sp>
      <xdr:sp macro="" textlink="">
        <xdr:nvSpPr>
          <xdr:cNvPr id="10" name="Rectangle: Rounded Corners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AE45E096-8755-34A0-10F9-123A4744DECD}"/>
              </a:ext>
            </a:extLst>
          </xdr:cNvPr>
          <xdr:cNvSpPr/>
        </xdr:nvSpPr>
        <xdr:spPr>
          <a:xfrm>
            <a:off x="2146300" y="92710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HOOKAH_TES</a:t>
            </a:r>
          </a:p>
        </xdr:txBody>
      </xdr:sp>
      <xdr:sp macro="" textlink="">
        <xdr:nvSpPr>
          <xdr:cNvPr id="11" name="Rectangle: Rounded Corners 1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2CDABCDF-3C25-CEC4-0255-25CF0C760504}"/>
              </a:ext>
            </a:extLst>
          </xdr:cNvPr>
          <xdr:cNvSpPr/>
        </xdr:nvSpPr>
        <xdr:spPr>
          <a:xfrm>
            <a:off x="2139950" y="14414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HOOKAH_REGRESSION</a:t>
            </a:r>
          </a:p>
        </xdr:txBody>
      </xdr:sp>
      <xdr:sp macro="" textlink="">
        <xdr:nvSpPr>
          <xdr:cNvPr id="12" name="Rectangle: Rounded Corners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5D0E69C2-30EF-4E7D-F8CB-F93B43557794}"/>
              </a:ext>
            </a:extLst>
          </xdr:cNvPr>
          <xdr:cNvSpPr/>
        </xdr:nvSpPr>
        <xdr:spPr>
          <a:xfrm>
            <a:off x="4102100" y="14414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WHISKEY</a:t>
            </a:r>
            <a:r>
              <a:rPr lang="en-US" sz="1100" baseline="0"/>
              <a:t>_REGRESSION</a:t>
            </a:r>
            <a:endParaRPr lang="en-US" sz="1100"/>
          </a:p>
        </xdr:txBody>
      </xdr:sp>
      <xdr:sp macro="" textlink="">
        <xdr:nvSpPr>
          <xdr:cNvPr id="13" name="Rectangle: Rounded Corners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FC53E979-8441-A5E6-D609-6AE166EADF7D}"/>
              </a:ext>
            </a:extLst>
          </xdr:cNvPr>
          <xdr:cNvSpPr/>
        </xdr:nvSpPr>
        <xdr:spPr>
          <a:xfrm>
            <a:off x="6064250" y="14414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CHICKEN_REGRESSION</a:t>
            </a:r>
          </a:p>
          <a:p>
            <a:pPr algn="l"/>
            <a:endParaRPr lang="en-U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445591</xdr:colOff>
      <xdr:row>6</xdr:row>
      <xdr:rowOff>98535</xdr:rowOff>
    </xdr:from>
    <xdr:to>
      <xdr:col>27</xdr:col>
      <xdr:colOff>273703</xdr:colOff>
      <xdr:row>31</xdr:row>
      <xdr:rowOff>123497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0750D1-A32E-F64D-F1AE-6D3D4244E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844175</xdr:colOff>
      <xdr:row>0</xdr:row>
      <xdr:rowOff>141942</xdr:rowOff>
    </xdr:from>
    <xdr:to>
      <xdr:col>17</xdr:col>
      <xdr:colOff>304051</xdr:colOff>
      <xdr:row>3</xdr:row>
      <xdr:rowOff>67236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5BE38BB5-FDF2-4EBB-AD72-4F6E7E3B1E64}"/>
            </a:ext>
          </a:extLst>
        </xdr:cNvPr>
        <xdr:cNvGrpSpPr/>
      </xdr:nvGrpSpPr>
      <xdr:grpSpPr>
        <a:xfrm>
          <a:off x="7370021" y="141942"/>
          <a:ext cx="5340953" cy="579832"/>
          <a:chOff x="2139950" y="908050"/>
          <a:chExt cx="5854700" cy="1016000"/>
        </a:xfrm>
      </xdr:grpSpPr>
      <xdr:sp macro="" textlink="">
        <xdr:nvSpPr>
          <xdr:cNvPr id="8" name="Rectangle: Rounded Corners 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C3533009-EF5F-244F-420F-CFF461E2F7CB}"/>
              </a:ext>
            </a:extLst>
          </xdr:cNvPr>
          <xdr:cNvSpPr/>
        </xdr:nvSpPr>
        <xdr:spPr>
          <a:xfrm>
            <a:off x="6057900" y="92710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WHISKEY_TES</a:t>
            </a:r>
          </a:p>
        </xdr:txBody>
      </xdr:sp>
      <xdr:sp macro="" textlink="">
        <xdr:nvSpPr>
          <xdr:cNvPr id="9" name="Rectangle: Rounded Corners 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5BD7686-C388-ABE2-AB31-AF1555C936DE}"/>
              </a:ext>
            </a:extLst>
          </xdr:cNvPr>
          <xdr:cNvSpPr/>
        </xdr:nvSpPr>
        <xdr:spPr>
          <a:xfrm>
            <a:off x="4089400" y="9080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CHICKEN_TES</a:t>
            </a:r>
          </a:p>
        </xdr:txBody>
      </xdr:sp>
      <xdr:sp macro="" textlink="">
        <xdr:nvSpPr>
          <xdr:cNvPr id="10" name="Rectangle: Rounded Corners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01EE1FA-83C5-CDBC-28F5-6083558D7F94}"/>
              </a:ext>
            </a:extLst>
          </xdr:cNvPr>
          <xdr:cNvSpPr/>
        </xdr:nvSpPr>
        <xdr:spPr>
          <a:xfrm>
            <a:off x="2146300" y="92710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HOOKAH_TES</a:t>
            </a:r>
          </a:p>
        </xdr:txBody>
      </xdr:sp>
      <xdr:sp macro="" textlink="">
        <xdr:nvSpPr>
          <xdr:cNvPr id="11" name="Rectangle: Rounded Corners 1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F2E5A478-0607-BE62-C521-80B3745DF5B7}"/>
              </a:ext>
            </a:extLst>
          </xdr:cNvPr>
          <xdr:cNvSpPr/>
        </xdr:nvSpPr>
        <xdr:spPr>
          <a:xfrm>
            <a:off x="2139950" y="14414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HOOKAH_REGRESSION</a:t>
            </a:r>
          </a:p>
        </xdr:txBody>
      </xdr:sp>
      <xdr:sp macro="" textlink="">
        <xdr:nvSpPr>
          <xdr:cNvPr id="12" name="Rectangle: Rounded Corners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46440B3-8BAE-813F-AA92-2201CACE095A}"/>
              </a:ext>
            </a:extLst>
          </xdr:cNvPr>
          <xdr:cNvSpPr/>
        </xdr:nvSpPr>
        <xdr:spPr>
          <a:xfrm>
            <a:off x="4102100" y="14414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WHISKEY</a:t>
            </a:r>
            <a:r>
              <a:rPr lang="en-US" sz="1100" baseline="0"/>
              <a:t>_REGRESSION</a:t>
            </a:r>
            <a:endParaRPr lang="en-US" sz="1100"/>
          </a:p>
        </xdr:txBody>
      </xdr:sp>
      <xdr:sp macro="" textlink="">
        <xdr:nvSpPr>
          <xdr:cNvPr id="13" name="Rectangle: Rounded Corners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F3FE7D6-D767-E109-2230-3F10BFA002C7}"/>
              </a:ext>
            </a:extLst>
          </xdr:cNvPr>
          <xdr:cNvSpPr/>
        </xdr:nvSpPr>
        <xdr:spPr>
          <a:xfrm>
            <a:off x="6064250" y="14414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CHICKEN_REGRESSION</a:t>
            </a:r>
          </a:p>
          <a:p>
            <a:pPr algn="l"/>
            <a:endParaRPr lang="en-US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388056</xdr:colOff>
      <xdr:row>3</xdr:row>
      <xdr:rowOff>105834</xdr:rowOff>
    </xdr:from>
    <xdr:to>
      <xdr:col>23</xdr:col>
      <xdr:colOff>105833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F48B3-DB2E-C017-4895-DEE6DA04D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466215</xdr:colOff>
      <xdr:row>23</xdr:row>
      <xdr:rowOff>168912</xdr:rowOff>
    </xdr:from>
    <xdr:to>
      <xdr:col>23</xdr:col>
      <xdr:colOff>37264</xdr:colOff>
      <xdr:row>27</xdr:row>
      <xdr:rowOff>15827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BFC4A670-FFD0-47D0-8121-4D13BAD8F2F9}"/>
            </a:ext>
          </a:extLst>
        </xdr:cNvPr>
        <xdr:cNvGrpSpPr/>
      </xdr:nvGrpSpPr>
      <xdr:grpSpPr>
        <a:xfrm>
          <a:off x="8527486" y="4570861"/>
          <a:ext cx="5705795" cy="578780"/>
          <a:chOff x="2139950" y="908050"/>
          <a:chExt cx="5854700" cy="1016000"/>
        </a:xfrm>
      </xdr:grpSpPr>
      <xdr:sp macro="" textlink="">
        <xdr:nvSpPr>
          <xdr:cNvPr id="8" name="Rectangle: Rounded Corners 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CEB4034-14B3-028A-AC13-33E95E2B7D5A}"/>
              </a:ext>
            </a:extLst>
          </xdr:cNvPr>
          <xdr:cNvSpPr/>
        </xdr:nvSpPr>
        <xdr:spPr>
          <a:xfrm>
            <a:off x="6057900" y="92710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WHISKEY_TES</a:t>
            </a:r>
          </a:p>
        </xdr:txBody>
      </xdr:sp>
      <xdr:sp macro="" textlink="">
        <xdr:nvSpPr>
          <xdr:cNvPr id="9" name="Rectangle: Rounded Corners 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D11022AB-CF49-A93E-D93C-D2C7ECD71C5A}"/>
              </a:ext>
            </a:extLst>
          </xdr:cNvPr>
          <xdr:cNvSpPr/>
        </xdr:nvSpPr>
        <xdr:spPr>
          <a:xfrm>
            <a:off x="4089400" y="9080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CHICKEN_TES</a:t>
            </a:r>
          </a:p>
        </xdr:txBody>
      </xdr:sp>
      <xdr:sp macro="" textlink="">
        <xdr:nvSpPr>
          <xdr:cNvPr id="10" name="Rectangle: Rounded Corners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57CCBE7-2D28-9CB5-8AE3-979835D1B0F6}"/>
              </a:ext>
            </a:extLst>
          </xdr:cNvPr>
          <xdr:cNvSpPr/>
        </xdr:nvSpPr>
        <xdr:spPr>
          <a:xfrm>
            <a:off x="2146300" y="92710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HOOKAH_TES</a:t>
            </a:r>
          </a:p>
        </xdr:txBody>
      </xdr:sp>
      <xdr:sp macro="" textlink="">
        <xdr:nvSpPr>
          <xdr:cNvPr id="11" name="Rectangle: Rounded Corners 1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F5A67E6-1734-0262-198B-6D52E19B15A5}"/>
              </a:ext>
            </a:extLst>
          </xdr:cNvPr>
          <xdr:cNvSpPr/>
        </xdr:nvSpPr>
        <xdr:spPr>
          <a:xfrm>
            <a:off x="2139950" y="14414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HOOKAH_REGRESSION</a:t>
            </a:r>
          </a:p>
        </xdr:txBody>
      </xdr:sp>
      <xdr:sp macro="" textlink="">
        <xdr:nvSpPr>
          <xdr:cNvPr id="12" name="Rectangle: Rounded Corners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437B3198-D001-4FAC-9018-C623C7ACB543}"/>
              </a:ext>
            </a:extLst>
          </xdr:cNvPr>
          <xdr:cNvSpPr/>
        </xdr:nvSpPr>
        <xdr:spPr>
          <a:xfrm>
            <a:off x="4102100" y="14414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WHISKEY</a:t>
            </a:r>
            <a:r>
              <a:rPr lang="en-US" sz="1100" baseline="0"/>
              <a:t>_REGRESSION</a:t>
            </a:r>
            <a:endParaRPr lang="en-US" sz="1100"/>
          </a:p>
        </xdr:txBody>
      </xdr:sp>
      <xdr:sp macro="" textlink="">
        <xdr:nvSpPr>
          <xdr:cNvPr id="13" name="Rectangle: Rounded Corners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65C39E0-9C4A-CD7C-B893-BDA626695F69}"/>
              </a:ext>
            </a:extLst>
          </xdr:cNvPr>
          <xdr:cNvSpPr/>
        </xdr:nvSpPr>
        <xdr:spPr>
          <a:xfrm>
            <a:off x="6064250" y="1441450"/>
            <a:ext cx="1930400" cy="482600"/>
          </a:xfrm>
          <a:prstGeom prst="round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CHICKEN_REGRESSION</a:t>
            </a:r>
          </a:p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1CFD-2DC4-404B-88D6-1DC50F2610C6}">
  <sheetPr codeName="Sheet1"/>
  <dimension ref="D2:M18"/>
  <sheetViews>
    <sheetView workbookViewId="0">
      <selection activeCell="J13" sqref="J13"/>
    </sheetView>
  </sheetViews>
  <sheetFormatPr defaultRowHeight="14.5" x14ac:dyDescent="0.35"/>
  <sheetData>
    <row r="2" spans="4:13" ht="27" x14ac:dyDescent="0.5">
      <c r="I2" s="18" t="s">
        <v>52</v>
      </c>
      <c r="J2" s="18"/>
      <c r="K2" s="18"/>
    </row>
    <row r="3" spans="4:13" ht="18.5" x14ac:dyDescent="0.45">
      <c r="E3" s="19" t="s">
        <v>53</v>
      </c>
      <c r="F3" s="19"/>
      <c r="G3" s="19"/>
      <c r="H3" s="19"/>
      <c r="I3" s="19"/>
      <c r="J3" s="19"/>
      <c r="K3" s="19"/>
      <c r="L3" s="19"/>
      <c r="M3" s="19"/>
    </row>
    <row r="11" spans="4:13" x14ac:dyDescent="0.35">
      <c r="E11" t="s">
        <v>88</v>
      </c>
    </row>
    <row r="12" spans="4:13" x14ac:dyDescent="0.35">
      <c r="D12">
        <v>1</v>
      </c>
      <c r="E12" t="s">
        <v>81</v>
      </c>
    </row>
    <row r="13" spans="4:13" x14ac:dyDescent="0.35">
      <c r="D13">
        <v>2</v>
      </c>
      <c r="E13" t="s">
        <v>82</v>
      </c>
    </row>
    <row r="14" spans="4:13" x14ac:dyDescent="0.35">
      <c r="D14">
        <v>3</v>
      </c>
      <c r="E14" t="s">
        <v>83</v>
      </c>
    </row>
    <row r="15" spans="4:13" x14ac:dyDescent="0.35">
      <c r="D15">
        <v>4</v>
      </c>
      <c r="E15" t="s">
        <v>84</v>
      </c>
    </row>
    <row r="16" spans="4:13" x14ac:dyDescent="0.35">
      <c r="D16">
        <v>5</v>
      </c>
      <c r="E16" t="s">
        <v>85</v>
      </c>
    </row>
    <row r="17" spans="4:5" x14ac:dyDescent="0.35">
      <c r="D17">
        <v>6</v>
      </c>
      <c r="E17" t="s">
        <v>50</v>
      </c>
    </row>
    <row r="18" spans="4:5" x14ac:dyDescent="0.35">
      <c r="D18">
        <v>7</v>
      </c>
      <c r="E18" t="s">
        <v>86</v>
      </c>
    </row>
  </sheetData>
  <mergeCells count="2">
    <mergeCell ref="I2:K2"/>
    <mergeCell ref="E3:M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5B4E4-CB8D-4A9D-9267-E484B7BD1524}">
  <dimension ref="B2:W32"/>
  <sheetViews>
    <sheetView zoomScale="67" workbookViewId="0">
      <selection activeCell="M30" sqref="M30"/>
    </sheetView>
  </sheetViews>
  <sheetFormatPr defaultRowHeight="14.5" x14ac:dyDescent="0.35"/>
  <cols>
    <col min="2" max="3" width="8.81640625" bestFit="1" customWidth="1"/>
    <col min="4" max="5" width="8.81640625" customWidth="1"/>
    <col min="6" max="7" width="8.81640625" bestFit="1" customWidth="1"/>
    <col min="8" max="8" width="11.6328125" customWidth="1"/>
    <col min="9" max="9" width="9.81640625" customWidth="1"/>
    <col min="10" max="11" width="8.81640625" bestFit="1" customWidth="1"/>
    <col min="18" max="20" width="8.81640625" bestFit="1" customWidth="1"/>
    <col min="21" max="21" width="12.1796875" bestFit="1" customWidth="1"/>
    <col min="22" max="22" width="13.1796875" customWidth="1"/>
    <col min="23" max="25" width="8.81640625" bestFit="1" customWidth="1"/>
  </cols>
  <sheetData>
    <row r="2" spans="2:16" ht="24.5" x14ac:dyDescent="0.7">
      <c r="F2" s="27" t="s">
        <v>51</v>
      </c>
      <c r="G2" s="27"/>
      <c r="H2" s="27"/>
      <c r="I2" s="27"/>
      <c r="J2" s="27"/>
      <c r="K2" s="27"/>
      <c r="L2" s="27"/>
      <c r="M2" s="27"/>
      <c r="N2" s="27"/>
    </row>
    <row r="3" spans="2:16" x14ac:dyDescent="0.35">
      <c r="C3" s="8" t="s">
        <v>108</v>
      </c>
      <c r="D3" s="8"/>
      <c r="E3" s="8"/>
      <c r="F3" s="8"/>
      <c r="G3" s="8"/>
    </row>
    <row r="6" spans="2:16" ht="29" x14ac:dyDescent="0.35">
      <c r="B6" s="2" t="s">
        <v>1</v>
      </c>
      <c r="C6" s="1" t="s">
        <v>104</v>
      </c>
      <c r="D6" s="2" t="s">
        <v>109</v>
      </c>
      <c r="E6" s="1" t="s">
        <v>0</v>
      </c>
      <c r="F6" s="1" t="s">
        <v>105</v>
      </c>
      <c r="G6" s="1" t="s">
        <v>106</v>
      </c>
      <c r="H6" s="1" t="s">
        <v>107</v>
      </c>
      <c r="I6" s="1" t="s">
        <v>47</v>
      </c>
      <c r="J6" s="1" t="s">
        <v>64</v>
      </c>
      <c r="K6" s="1" t="s">
        <v>62</v>
      </c>
      <c r="L6" s="1" t="s">
        <v>63</v>
      </c>
      <c r="M6" s="1" t="s">
        <v>65</v>
      </c>
    </row>
    <row r="7" spans="2:16" x14ac:dyDescent="0.35">
      <c r="B7">
        <v>2022</v>
      </c>
      <c r="C7">
        <v>1</v>
      </c>
      <c r="D7">
        <v>809</v>
      </c>
      <c r="E7">
        <v>1</v>
      </c>
      <c r="F7">
        <f t="shared" ref="F7:F27" si="0">IF(C7=1,1,0)</f>
        <v>1</v>
      </c>
      <c r="G7">
        <f t="shared" ref="G7:G27" si="1">IF(C7=2,1,0)</f>
        <v>0</v>
      </c>
      <c r="H7">
        <f t="shared" ref="H7:H27" si="2">IF(C7=3,1,0)</f>
        <v>0</v>
      </c>
      <c r="I7">
        <f t="shared" ref="I7:I27" si="3">$P$25+$P$26*E7+$P$27*F7+$P$28*G7+$P$29*H7</f>
        <v>745.33333333333326</v>
      </c>
    </row>
    <row r="8" spans="2:16" x14ac:dyDescent="0.35">
      <c r="B8">
        <v>2022</v>
      </c>
      <c r="C8">
        <v>2</v>
      </c>
      <c r="D8">
        <v>715</v>
      </c>
      <c r="E8">
        <v>2</v>
      </c>
      <c r="F8">
        <f t="shared" si="0"/>
        <v>0</v>
      </c>
      <c r="G8">
        <f t="shared" si="1"/>
        <v>1</v>
      </c>
      <c r="H8">
        <f t="shared" si="2"/>
        <v>0</v>
      </c>
      <c r="I8">
        <f t="shared" si="3"/>
        <v>675.13333333333321</v>
      </c>
      <c r="J8">
        <f>I8-D8</f>
        <v>-39.866666666666788</v>
      </c>
      <c r="K8">
        <f>ABS(J8)</f>
        <v>39.866666666666788</v>
      </c>
      <c r="L8">
        <f>K8*K8</f>
        <v>1589.3511111111209</v>
      </c>
      <c r="M8" s="11">
        <f>K8/D8</f>
        <v>5.5757575757575929E-2</v>
      </c>
    </row>
    <row r="9" spans="2:16" x14ac:dyDescent="0.35">
      <c r="B9">
        <v>2022</v>
      </c>
      <c r="C9">
        <v>3</v>
      </c>
      <c r="D9">
        <v>541</v>
      </c>
      <c r="E9">
        <v>3</v>
      </c>
      <c r="F9">
        <f t="shared" si="0"/>
        <v>0</v>
      </c>
      <c r="G9">
        <f t="shared" si="1"/>
        <v>0</v>
      </c>
      <c r="H9">
        <f t="shared" si="2"/>
        <v>1</v>
      </c>
      <c r="I9">
        <f t="shared" si="3"/>
        <v>564.89999999999986</v>
      </c>
      <c r="J9">
        <f t="shared" ref="J9:J24" si="4">I9-D9</f>
        <v>23.899999999999864</v>
      </c>
      <c r="K9">
        <f t="shared" ref="K9:K24" si="5">ABS(J9)</f>
        <v>23.899999999999864</v>
      </c>
      <c r="L9">
        <f t="shared" ref="L9:L24" si="6">K9*K9</f>
        <v>571.20999999999344</v>
      </c>
      <c r="M9" s="11">
        <f t="shared" ref="M9:M24" si="7">K9/D9</f>
        <v>4.4177449168206769E-2</v>
      </c>
      <c r="O9" t="s">
        <v>21</v>
      </c>
    </row>
    <row r="10" spans="2:16" ht="15" thickBot="1" x14ac:dyDescent="0.4">
      <c r="B10">
        <v>2022</v>
      </c>
      <c r="C10">
        <v>4</v>
      </c>
      <c r="D10">
        <v>994</v>
      </c>
      <c r="E10">
        <v>4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941.9</v>
      </c>
      <c r="J10">
        <f t="shared" si="4"/>
        <v>-52.100000000000023</v>
      </c>
      <c r="K10">
        <f t="shared" si="5"/>
        <v>52.100000000000023</v>
      </c>
      <c r="L10">
        <f t="shared" si="6"/>
        <v>2714.4100000000026</v>
      </c>
      <c r="M10" s="11">
        <f t="shared" si="7"/>
        <v>5.2414486921529196E-2</v>
      </c>
    </row>
    <row r="11" spans="2:16" x14ac:dyDescent="0.35">
      <c r="B11">
        <v>2022</v>
      </c>
      <c r="C11">
        <v>1</v>
      </c>
      <c r="D11">
        <v>745</v>
      </c>
      <c r="E11">
        <v>5</v>
      </c>
      <c r="F11">
        <f t="shared" si="0"/>
        <v>1</v>
      </c>
      <c r="G11">
        <f t="shared" si="1"/>
        <v>0</v>
      </c>
      <c r="H11">
        <f t="shared" si="2"/>
        <v>0</v>
      </c>
      <c r="I11">
        <f t="shared" si="3"/>
        <v>738.06666666666661</v>
      </c>
      <c r="J11">
        <f t="shared" si="4"/>
        <v>-6.933333333333394</v>
      </c>
      <c r="K11">
        <f t="shared" si="5"/>
        <v>6.933333333333394</v>
      </c>
      <c r="L11">
        <f t="shared" si="6"/>
        <v>48.071111111111954</v>
      </c>
      <c r="M11" s="11">
        <f t="shared" si="7"/>
        <v>9.3064876957495227E-3</v>
      </c>
      <c r="O11" s="5" t="s">
        <v>22</v>
      </c>
      <c r="P11" s="5"/>
    </row>
    <row r="12" spans="2:16" x14ac:dyDescent="0.35">
      <c r="B12">
        <v>2022</v>
      </c>
      <c r="C12">
        <v>2</v>
      </c>
      <c r="D12">
        <v>663</v>
      </c>
      <c r="E12">
        <v>6</v>
      </c>
      <c r="F12">
        <f t="shared" si="0"/>
        <v>0</v>
      </c>
      <c r="G12">
        <f t="shared" si="1"/>
        <v>1</v>
      </c>
      <c r="H12">
        <f t="shared" si="2"/>
        <v>0</v>
      </c>
      <c r="I12">
        <f t="shared" si="3"/>
        <v>667.86666666666656</v>
      </c>
      <c r="J12">
        <f t="shared" si="4"/>
        <v>4.8666666666665606</v>
      </c>
      <c r="K12">
        <f t="shared" si="5"/>
        <v>4.8666666666665606</v>
      </c>
      <c r="L12">
        <f t="shared" si="6"/>
        <v>23.684444444443411</v>
      </c>
      <c r="M12" s="11">
        <f t="shared" si="7"/>
        <v>7.3403720462542395E-3</v>
      </c>
      <c r="O12" t="s">
        <v>23</v>
      </c>
      <c r="P12">
        <v>0.97713850600583807</v>
      </c>
    </row>
    <row r="13" spans="2:16" x14ac:dyDescent="0.35">
      <c r="B13">
        <v>2022</v>
      </c>
      <c r="C13">
        <v>3</v>
      </c>
      <c r="D13">
        <v>607</v>
      </c>
      <c r="E13">
        <v>7</v>
      </c>
      <c r="F13">
        <f t="shared" si="0"/>
        <v>0</v>
      </c>
      <c r="G13">
        <f t="shared" si="1"/>
        <v>0</v>
      </c>
      <c r="H13">
        <f t="shared" si="2"/>
        <v>1</v>
      </c>
      <c r="I13">
        <f t="shared" si="3"/>
        <v>557.63333333333321</v>
      </c>
      <c r="J13">
        <f t="shared" si="4"/>
        <v>-49.366666666666788</v>
      </c>
      <c r="K13">
        <f t="shared" si="5"/>
        <v>49.366666666666788</v>
      </c>
      <c r="L13">
        <f t="shared" si="6"/>
        <v>2437.0677777777896</v>
      </c>
      <c r="M13" s="11">
        <f t="shared" si="7"/>
        <v>8.1328940142778888E-2</v>
      </c>
      <c r="O13" t="s">
        <v>24</v>
      </c>
      <c r="P13">
        <v>0.95479965991932114</v>
      </c>
    </row>
    <row r="14" spans="2:16" x14ac:dyDescent="0.35">
      <c r="B14">
        <v>2022</v>
      </c>
      <c r="C14">
        <v>4</v>
      </c>
      <c r="D14">
        <v>976</v>
      </c>
      <c r="E14">
        <v>8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934.63333333333333</v>
      </c>
      <c r="J14">
        <f t="shared" si="4"/>
        <v>-41.366666666666674</v>
      </c>
      <c r="K14">
        <f t="shared" si="5"/>
        <v>41.366666666666674</v>
      </c>
      <c r="L14">
        <f t="shared" si="6"/>
        <v>1711.2011111111117</v>
      </c>
      <c r="M14" s="11">
        <f t="shared" si="7"/>
        <v>4.2383879781420775E-2</v>
      </c>
      <c r="O14" t="s">
        <v>25</v>
      </c>
      <c r="P14">
        <v>0.94089186297141991</v>
      </c>
    </row>
    <row r="15" spans="2:16" x14ac:dyDescent="0.35">
      <c r="B15">
        <v>2022</v>
      </c>
      <c r="C15">
        <v>1</v>
      </c>
      <c r="D15">
        <v>752</v>
      </c>
      <c r="E15">
        <v>9</v>
      </c>
      <c r="F15">
        <f t="shared" si="0"/>
        <v>1</v>
      </c>
      <c r="G15">
        <f t="shared" si="1"/>
        <v>0</v>
      </c>
      <c r="H15">
        <f t="shared" si="2"/>
        <v>0</v>
      </c>
      <c r="I15">
        <f t="shared" si="3"/>
        <v>730.8</v>
      </c>
      <c r="J15">
        <f t="shared" si="4"/>
        <v>-21.200000000000045</v>
      </c>
      <c r="K15">
        <f t="shared" si="5"/>
        <v>21.200000000000045</v>
      </c>
      <c r="L15">
        <f t="shared" si="6"/>
        <v>449.44000000000193</v>
      </c>
      <c r="M15" s="11">
        <f t="shared" si="7"/>
        <v>2.8191489361702189E-2</v>
      </c>
      <c r="O15" t="s">
        <v>26</v>
      </c>
      <c r="P15">
        <v>33.484630994241428</v>
      </c>
    </row>
    <row r="16" spans="2:16" ht="15" thickBot="1" x14ac:dyDescent="0.4">
      <c r="B16">
        <v>2022</v>
      </c>
      <c r="C16">
        <v>2</v>
      </c>
      <c r="D16">
        <v>645</v>
      </c>
      <c r="E16">
        <v>10</v>
      </c>
      <c r="F16">
        <f t="shared" si="0"/>
        <v>0</v>
      </c>
      <c r="G16">
        <f t="shared" si="1"/>
        <v>1</v>
      </c>
      <c r="H16">
        <f t="shared" si="2"/>
        <v>0</v>
      </c>
      <c r="I16">
        <f t="shared" si="3"/>
        <v>660.59999999999991</v>
      </c>
      <c r="J16">
        <f t="shared" si="4"/>
        <v>15.599999999999909</v>
      </c>
      <c r="K16">
        <f t="shared" si="5"/>
        <v>15.599999999999909</v>
      </c>
      <c r="L16">
        <f t="shared" si="6"/>
        <v>243.35999999999717</v>
      </c>
      <c r="M16" s="11">
        <f t="shared" si="7"/>
        <v>2.4186046511627767E-2</v>
      </c>
      <c r="O16" s="3" t="s">
        <v>27</v>
      </c>
      <c r="P16" s="3">
        <v>18</v>
      </c>
    </row>
    <row r="17" spans="2:23" x14ac:dyDescent="0.35">
      <c r="B17">
        <v>2022</v>
      </c>
      <c r="C17">
        <v>3</v>
      </c>
      <c r="D17">
        <v>618</v>
      </c>
      <c r="E17">
        <v>11</v>
      </c>
      <c r="F17">
        <f t="shared" si="0"/>
        <v>0</v>
      </c>
      <c r="G17">
        <f t="shared" si="1"/>
        <v>0</v>
      </c>
      <c r="H17">
        <f t="shared" si="2"/>
        <v>1</v>
      </c>
      <c r="I17">
        <f t="shared" si="3"/>
        <v>550.36666666666656</v>
      </c>
      <c r="J17">
        <f t="shared" si="4"/>
        <v>-67.633333333333439</v>
      </c>
      <c r="K17">
        <f t="shared" si="5"/>
        <v>67.633333333333439</v>
      </c>
      <c r="L17">
        <f t="shared" si="6"/>
        <v>4574.2677777777917</v>
      </c>
      <c r="M17" s="11">
        <f t="shared" si="7"/>
        <v>0.1094390507011868</v>
      </c>
    </row>
    <row r="18" spans="2:23" ht="15" thickBot="1" x14ac:dyDescent="0.4">
      <c r="B18">
        <v>2022</v>
      </c>
      <c r="C18">
        <v>4</v>
      </c>
      <c r="D18">
        <v>943</v>
      </c>
      <c r="E18">
        <v>12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3"/>
        <v>927.36666666666656</v>
      </c>
      <c r="J18">
        <f t="shared" si="4"/>
        <v>-15.633333333333439</v>
      </c>
      <c r="K18">
        <f t="shared" si="5"/>
        <v>15.633333333333439</v>
      </c>
      <c r="L18">
        <f t="shared" si="6"/>
        <v>244.40111111111443</v>
      </c>
      <c r="M18" s="11">
        <f t="shared" si="7"/>
        <v>1.6578296217744898E-2</v>
      </c>
      <c r="O18" t="s">
        <v>28</v>
      </c>
    </row>
    <row r="19" spans="2:23" x14ac:dyDescent="0.35">
      <c r="B19">
        <v>2023</v>
      </c>
      <c r="C19">
        <v>1</v>
      </c>
      <c r="D19">
        <v>740</v>
      </c>
      <c r="E19">
        <v>13</v>
      </c>
      <c r="F19">
        <f t="shared" si="0"/>
        <v>1</v>
      </c>
      <c r="G19">
        <f t="shared" si="1"/>
        <v>0</v>
      </c>
      <c r="H19">
        <f t="shared" si="2"/>
        <v>0</v>
      </c>
      <c r="I19">
        <f t="shared" si="3"/>
        <v>723.5333333333333</v>
      </c>
      <c r="J19">
        <f t="shared" si="4"/>
        <v>-16.466666666666697</v>
      </c>
      <c r="K19">
        <f t="shared" si="5"/>
        <v>16.466666666666697</v>
      </c>
      <c r="L19">
        <f t="shared" si="6"/>
        <v>271.15111111111213</v>
      </c>
      <c r="M19" s="11">
        <f t="shared" si="7"/>
        <v>2.2252252252252292E-2</v>
      </c>
      <c r="O19" s="4"/>
      <c r="P19" s="4" t="s">
        <v>33</v>
      </c>
      <c r="Q19" s="4" t="s">
        <v>34</v>
      </c>
      <c r="R19" s="4" t="s">
        <v>35</v>
      </c>
      <c r="S19" s="4" t="s">
        <v>36</v>
      </c>
      <c r="T19" s="4" t="s">
        <v>37</v>
      </c>
    </row>
    <row r="20" spans="2:23" x14ac:dyDescent="0.35">
      <c r="B20">
        <v>2023</v>
      </c>
      <c r="C20">
        <v>2</v>
      </c>
      <c r="D20">
        <v>686</v>
      </c>
      <c r="E20">
        <v>14</v>
      </c>
      <c r="F20">
        <f t="shared" si="0"/>
        <v>0</v>
      </c>
      <c r="G20">
        <f t="shared" si="1"/>
        <v>1</v>
      </c>
      <c r="H20">
        <f t="shared" si="2"/>
        <v>0</v>
      </c>
      <c r="I20">
        <f t="shared" si="3"/>
        <v>653.33333333333326</v>
      </c>
      <c r="J20">
        <f t="shared" si="4"/>
        <v>-32.666666666666742</v>
      </c>
      <c r="K20">
        <f t="shared" si="5"/>
        <v>32.666666666666742</v>
      </c>
      <c r="L20">
        <f t="shared" si="6"/>
        <v>1067.1111111111161</v>
      </c>
      <c r="M20" s="11">
        <f t="shared" si="7"/>
        <v>4.7619047619047727E-2</v>
      </c>
      <c r="O20" t="s">
        <v>29</v>
      </c>
      <c r="P20">
        <v>4</v>
      </c>
      <c r="Q20">
        <v>307896.6333333333</v>
      </c>
      <c r="R20">
        <v>76974.158333333326</v>
      </c>
      <c r="S20">
        <v>68.652113882307674</v>
      </c>
      <c r="T20">
        <v>1.3065536382800512E-8</v>
      </c>
    </row>
    <row r="21" spans="2:23" x14ac:dyDescent="0.35">
      <c r="B21">
        <v>2023</v>
      </c>
      <c r="C21">
        <v>3</v>
      </c>
      <c r="D21">
        <v>572</v>
      </c>
      <c r="E21">
        <v>15</v>
      </c>
      <c r="F21">
        <f t="shared" si="0"/>
        <v>0</v>
      </c>
      <c r="G21">
        <f t="shared" si="1"/>
        <v>0</v>
      </c>
      <c r="H21">
        <f t="shared" si="2"/>
        <v>1</v>
      </c>
      <c r="I21">
        <f t="shared" si="3"/>
        <v>543.09999999999991</v>
      </c>
      <c r="J21">
        <f t="shared" si="4"/>
        <v>-28.900000000000091</v>
      </c>
      <c r="K21">
        <f t="shared" si="5"/>
        <v>28.900000000000091</v>
      </c>
      <c r="L21">
        <f t="shared" si="6"/>
        <v>835.21000000000527</v>
      </c>
      <c r="M21" s="11">
        <f t="shared" si="7"/>
        <v>5.0524475524475684E-2</v>
      </c>
      <c r="O21" t="s">
        <v>30</v>
      </c>
      <c r="P21">
        <v>13</v>
      </c>
      <c r="Q21">
        <v>14575.86666666668</v>
      </c>
      <c r="R21">
        <v>1121.2205128205137</v>
      </c>
    </row>
    <row r="22" spans="2:23" ht="15" thickBot="1" x14ac:dyDescent="0.4">
      <c r="B22">
        <v>2023</v>
      </c>
      <c r="C22">
        <v>4</v>
      </c>
      <c r="D22">
        <v>965</v>
      </c>
      <c r="E22">
        <v>16</v>
      </c>
      <c r="F22">
        <f t="shared" si="0"/>
        <v>0</v>
      </c>
      <c r="G22">
        <f t="shared" si="1"/>
        <v>0</v>
      </c>
      <c r="H22">
        <f t="shared" si="2"/>
        <v>0</v>
      </c>
      <c r="I22">
        <f t="shared" si="3"/>
        <v>920.09999999999991</v>
      </c>
      <c r="J22">
        <f t="shared" si="4"/>
        <v>-44.900000000000091</v>
      </c>
      <c r="K22">
        <f t="shared" si="5"/>
        <v>44.900000000000091</v>
      </c>
      <c r="L22">
        <f t="shared" si="6"/>
        <v>2016.0100000000082</v>
      </c>
      <c r="M22" s="11">
        <f t="shared" si="7"/>
        <v>4.6528497409326519E-2</v>
      </c>
      <c r="O22" s="3" t="s">
        <v>31</v>
      </c>
      <c r="P22" s="3">
        <v>17</v>
      </c>
      <c r="Q22" s="3">
        <v>322472.5</v>
      </c>
      <c r="R22" s="3"/>
      <c r="S22" s="3"/>
      <c r="T22" s="3"/>
    </row>
    <row r="23" spans="2:23" ht="15" thickBot="1" x14ac:dyDescent="0.4">
      <c r="B23">
        <v>2023</v>
      </c>
      <c r="C23">
        <v>1</v>
      </c>
      <c r="D23">
        <v>760</v>
      </c>
      <c r="E23">
        <v>17</v>
      </c>
      <c r="F23">
        <f t="shared" si="0"/>
        <v>1</v>
      </c>
      <c r="G23">
        <f t="shared" si="1"/>
        <v>0</v>
      </c>
      <c r="H23">
        <f t="shared" si="2"/>
        <v>0</v>
      </c>
      <c r="I23">
        <f t="shared" si="3"/>
        <v>716.26666666666654</v>
      </c>
      <c r="J23">
        <f t="shared" si="4"/>
        <v>-43.733333333333462</v>
      </c>
      <c r="K23">
        <f t="shared" si="5"/>
        <v>43.733333333333462</v>
      </c>
      <c r="L23">
        <f t="shared" si="6"/>
        <v>1912.6044444444558</v>
      </c>
      <c r="M23" s="11">
        <f t="shared" si="7"/>
        <v>5.7543859649122973E-2</v>
      </c>
    </row>
    <row r="24" spans="2:23" x14ac:dyDescent="0.35">
      <c r="B24">
        <v>2023</v>
      </c>
      <c r="C24">
        <v>2</v>
      </c>
      <c r="D24">
        <v>726</v>
      </c>
      <c r="E24">
        <v>18</v>
      </c>
      <c r="F24">
        <f t="shared" si="0"/>
        <v>0</v>
      </c>
      <c r="G24">
        <f t="shared" si="1"/>
        <v>1</v>
      </c>
      <c r="H24">
        <f t="shared" si="2"/>
        <v>0</v>
      </c>
      <c r="I24">
        <f t="shared" si="3"/>
        <v>646.06666666666661</v>
      </c>
      <c r="J24">
        <f t="shared" si="4"/>
        <v>-79.933333333333394</v>
      </c>
      <c r="K24">
        <f t="shared" si="5"/>
        <v>79.933333333333394</v>
      </c>
      <c r="L24">
        <f t="shared" si="6"/>
        <v>6389.3377777777878</v>
      </c>
      <c r="M24" s="11">
        <f t="shared" si="7"/>
        <v>0.11010101010101019</v>
      </c>
      <c r="O24" s="4"/>
      <c r="P24" s="4" t="s">
        <v>38</v>
      </c>
      <c r="Q24" s="4" t="s">
        <v>26</v>
      </c>
      <c r="R24" s="4" t="s">
        <v>39</v>
      </c>
      <c r="S24" s="4" t="s">
        <v>40</v>
      </c>
      <c r="T24" s="4" t="s">
        <v>41</v>
      </c>
      <c r="U24" s="4" t="s">
        <v>42</v>
      </c>
      <c r="V24" s="4" t="s">
        <v>43</v>
      </c>
      <c r="W24" s="4" t="s">
        <v>44</v>
      </c>
    </row>
    <row r="25" spans="2:23" x14ac:dyDescent="0.35">
      <c r="B25">
        <v>2023</v>
      </c>
      <c r="C25">
        <v>3</v>
      </c>
      <c r="E25">
        <v>19</v>
      </c>
      <c r="F25">
        <f t="shared" si="0"/>
        <v>0</v>
      </c>
      <c r="G25">
        <f t="shared" si="1"/>
        <v>0</v>
      </c>
      <c r="H25">
        <f t="shared" si="2"/>
        <v>1</v>
      </c>
      <c r="I25">
        <f t="shared" si="3"/>
        <v>535.83333333333326</v>
      </c>
      <c r="O25" t="s">
        <v>32</v>
      </c>
      <c r="P25">
        <v>949.16666666666663</v>
      </c>
      <c r="Q25">
        <v>22.66920234685675</v>
      </c>
      <c r="R25">
        <v>41.87031604128213</v>
      </c>
      <c r="S25">
        <v>2.9717318079756207E-15</v>
      </c>
      <c r="T25">
        <v>900.19283244950452</v>
      </c>
      <c r="U25">
        <v>998.14050088382874</v>
      </c>
      <c r="V25">
        <v>900.19283244950452</v>
      </c>
      <c r="W25">
        <v>998.14050088382874</v>
      </c>
    </row>
    <row r="26" spans="2:23" x14ac:dyDescent="0.35">
      <c r="B26">
        <v>2023</v>
      </c>
      <c r="C26">
        <v>4</v>
      </c>
      <c r="E26">
        <v>20</v>
      </c>
      <c r="F26">
        <f t="shared" si="0"/>
        <v>0</v>
      </c>
      <c r="G26">
        <f t="shared" si="1"/>
        <v>0</v>
      </c>
      <c r="H26">
        <f t="shared" si="2"/>
        <v>0</v>
      </c>
      <c r="I26">
        <f t="shared" si="3"/>
        <v>912.83333333333326</v>
      </c>
      <c r="O26" t="s">
        <v>0</v>
      </c>
      <c r="P26">
        <v>-1.8166666666666698</v>
      </c>
      <c r="Q26">
        <v>1.5283573104402224</v>
      </c>
      <c r="R26">
        <v>-1.188640021712857</v>
      </c>
      <c r="S26">
        <v>0.25584195510179131</v>
      </c>
      <c r="T26">
        <v>-5.1184818960175003</v>
      </c>
      <c r="U26">
        <v>1.485148562684161</v>
      </c>
      <c r="V26">
        <v>-5.1184818960175003</v>
      </c>
      <c r="W26">
        <v>1.485148562684161</v>
      </c>
    </row>
    <row r="27" spans="2:23" x14ac:dyDescent="0.35">
      <c r="B27">
        <v>2023</v>
      </c>
      <c r="C27">
        <v>1</v>
      </c>
      <c r="E27">
        <v>21</v>
      </c>
      <c r="F27">
        <f t="shared" si="0"/>
        <v>1</v>
      </c>
      <c r="G27">
        <f t="shared" si="1"/>
        <v>0</v>
      </c>
      <c r="H27">
        <f t="shared" si="2"/>
        <v>0</v>
      </c>
      <c r="I27">
        <f t="shared" si="3"/>
        <v>708.99999999999989</v>
      </c>
      <c r="O27" t="s">
        <v>18</v>
      </c>
      <c r="P27">
        <v>-202.01666666666662</v>
      </c>
      <c r="Q27">
        <v>22.514109061599733</v>
      </c>
      <c r="R27">
        <v>-8.9728918925434211</v>
      </c>
      <c r="S27">
        <v>6.230559019626138E-7</v>
      </c>
      <c r="T27">
        <v>-250.65544221153164</v>
      </c>
      <c r="U27">
        <v>-153.37789112180161</v>
      </c>
      <c r="V27">
        <v>-250.65544221153164</v>
      </c>
      <c r="W27">
        <v>-153.37789112180161</v>
      </c>
    </row>
    <row r="28" spans="2:23" x14ac:dyDescent="0.35">
      <c r="F28">
        <f>SUM(D7:D27)</f>
        <v>13457</v>
      </c>
      <c r="O28" t="s">
        <v>19</v>
      </c>
      <c r="P28">
        <v>-270.40000000000003</v>
      </c>
      <c r="Q28">
        <v>22.462173331386065</v>
      </c>
      <c r="R28">
        <v>-12.038015912831288</v>
      </c>
      <c r="S28">
        <v>2.0119443359681819E-8</v>
      </c>
      <c r="T28">
        <v>-318.92657522116093</v>
      </c>
      <c r="U28">
        <v>-221.87342477883914</v>
      </c>
      <c r="V28">
        <v>-318.92657522116093</v>
      </c>
      <c r="W28">
        <v>-221.87342477883914</v>
      </c>
    </row>
    <row r="29" spans="2:23" ht="15" thickBot="1" x14ac:dyDescent="0.4">
      <c r="O29" s="3" t="s">
        <v>20</v>
      </c>
      <c r="P29" s="3">
        <v>-378.81666666666666</v>
      </c>
      <c r="Q29" s="3">
        <v>23.726485885580129</v>
      </c>
      <c r="R29" s="3">
        <v>-15.965982846911775</v>
      </c>
      <c r="S29" s="3">
        <v>6.3772885303780392E-10</v>
      </c>
      <c r="T29" s="3">
        <v>-430.07462310188083</v>
      </c>
      <c r="U29" s="3">
        <v>-327.55871023145249</v>
      </c>
      <c r="V29" s="3">
        <v>-430.07462310188083</v>
      </c>
      <c r="W29" s="3">
        <v>-327.55871023145249</v>
      </c>
    </row>
    <row r="30" spans="2:23" x14ac:dyDescent="0.35">
      <c r="L30" t="s">
        <v>13</v>
      </c>
      <c r="M30">
        <f>AVERAGE(K8:K24)</f>
        <v>34.415686274509845</v>
      </c>
    </row>
    <row r="31" spans="2:23" x14ac:dyDescent="0.35">
      <c r="L31" t="s">
        <v>66</v>
      </c>
      <c r="M31">
        <f>AVERAGE(L8:L24)</f>
        <v>1593.993464052292</v>
      </c>
    </row>
    <row r="32" spans="2:23" x14ac:dyDescent="0.35">
      <c r="L32" t="s">
        <v>14</v>
      </c>
      <c r="M32" s="11">
        <f>AVERAGE(M8:M24)</f>
        <v>4.7392542168294846E-2</v>
      </c>
    </row>
  </sheetData>
  <mergeCells count="1">
    <mergeCell ref="F2:N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7A1A-A22C-4B28-AE03-5DB84C3D13ED}">
  <dimension ref="B3:Y32"/>
  <sheetViews>
    <sheetView topLeftCell="B1" zoomScale="78" workbookViewId="0">
      <selection activeCell="G15" sqref="G15"/>
    </sheetView>
  </sheetViews>
  <sheetFormatPr defaultRowHeight="14.5" x14ac:dyDescent="0.35"/>
  <cols>
    <col min="2" max="3" width="8.81640625" bestFit="1" customWidth="1"/>
    <col min="4" max="5" width="8.81640625" customWidth="1"/>
    <col min="6" max="6" width="13.6328125" customWidth="1"/>
    <col min="7" max="7" width="8.81640625" bestFit="1" customWidth="1"/>
    <col min="8" max="8" width="12.26953125" customWidth="1"/>
    <col min="9" max="11" width="8.81640625" bestFit="1" customWidth="1"/>
    <col min="18" max="18" width="8.81640625" bestFit="1" customWidth="1"/>
    <col min="19" max="19" width="13.90625" customWidth="1"/>
    <col min="20" max="20" width="14.1796875" customWidth="1"/>
    <col min="21" max="21" width="12.36328125" bestFit="1" customWidth="1"/>
    <col min="22" max="22" width="8.90625" bestFit="1" customWidth="1"/>
    <col min="23" max="23" width="13.54296875" bestFit="1" customWidth="1"/>
    <col min="24" max="25" width="8.90625" bestFit="1" customWidth="1"/>
    <col min="26" max="27" width="8.81640625" bestFit="1" customWidth="1"/>
  </cols>
  <sheetData>
    <row r="3" spans="2:18" ht="24.5" x14ac:dyDescent="0.7">
      <c r="C3" s="27" t="s">
        <v>51</v>
      </c>
      <c r="D3" s="27"/>
      <c r="E3" s="27"/>
      <c r="F3" s="27"/>
      <c r="G3" s="27"/>
      <c r="H3" s="27"/>
      <c r="I3" s="27"/>
      <c r="J3" s="27"/>
      <c r="K3" s="27"/>
    </row>
    <row r="4" spans="2:18" x14ac:dyDescent="0.35">
      <c r="B4" s="6" t="s">
        <v>49</v>
      </c>
      <c r="C4" s="6"/>
      <c r="D4" s="6"/>
      <c r="E4" s="6"/>
      <c r="F4" s="6"/>
    </row>
    <row r="6" spans="2:18" x14ac:dyDescent="0.35">
      <c r="B6" s="2" t="s">
        <v>1</v>
      </c>
      <c r="C6" s="1" t="s">
        <v>104</v>
      </c>
      <c r="D6" s="1" t="s">
        <v>54</v>
      </c>
      <c r="E6" s="1" t="s">
        <v>55</v>
      </c>
      <c r="F6" s="1" t="s">
        <v>56</v>
      </c>
      <c r="G6" s="1" t="s">
        <v>0</v>
      </c>
      <c r="H6" s="1" t="s">
        <v>105</v>
      </c>
      <c r="I6" s="1" t="s">
        <v>106</v>
      </c>
      <c r="J6" s="1" t="s">
        <v>107</v>
      </c>
      <c r="K6" s="1" t="s">
        <v>47</v>
      </c>
      <c r="L6" s="1" t="s">
        <v>64</v>
      </c>
      <c r="M6" s="1" t="s">
        <v>62</v>
      </c>
      <c r="N6" s="1" t="s">
        <v>63</v>
      </c>
      <c r="O6" s="1" t="s">
        <v>65</v>
      </c>
      <c r="P6" s="1"/>
    </row>
    <row r="7" spans="2:18" x14ac:dyDescent="0.35">
      <c r="B7">
        <v>2022</v>
      </c>
      <c r="C7">
        <v>1</v>
      </c>
      <c r="D7">
        <v>555</v>
      </c>
      <c r="E7">
        <v>15</v>
      </c>
      <c r="F7">
        <f>D7+E7</f>
        <v>570</v>
      </c>
      <c r="G7">
        <v>1</v>
      </c>
      <c r="H7">
        <f>IF(C7=1,1,0)</f>
        <v>1</v>
      </c>
      <c r="I7">
        <f>IF(C7=2,1,0)</f>
        <v>0</v>
      </c>
      <c r="J7">
        <f>IF(C7=3,1,0)</f>
        <v>0</v>
      </c>
      <c r="K7">
        <f t="shared" ref="K7:K24" si="0">$R$24+$R$25*G7+$R$26*H7+$R$27*I7+$R$28*J7</f>
        <v>549.63333333333333</v>
      </c>
    </row>
    <row r="8" spans="2:18" x14ac:dyDescent="0.35">
      <c r="B8">
        <v>2022</v>
      </c>
      <c r="C8">
        <v>2</v>
      </c>
      <c r="D8">
        <v>670</v>
      </c>
      <c r="E8">
        <v>19</v>
      </c>
      <c r="F8">
        <f t="shared" ref="F8:F24" si="1">D8+E8</f>
        <v>689</v>
      </c>
      <c r="G8">
        <v>2</v>
      </c>
      <c r="H8">
        <f t="shared" ref="H8:H24" si="2">IF(C8=1,1,0)</f>
        <v>0</v>
      </c>
      <c r="I8">
        <f t="shared" ref="I8:I24" si="3">IF(C8=2,1,0)</f>
        <v>1</v>
      </c>
      <c r="J8">
        <f t="shared" ref="J8:J24" si="4">IF(C8=3,1,0)</f>
        <v>0</v>
      </c>
      <c r="K8">
        <f t="shared" si="0"/>
        <v>610.43333333333317</v>
      </c>
      <c r="L8">
        <f>K8-F8</f>
        <v>-78.566666666666833</v>
      </c>
      <c r="M8">
        <f>ABS(L8)</f>
        <v>78.566666666666833</v>
      </c>
      <c r="N8">
        <f>M8*M8</f>
        <v>6172.7211111111374</v>
      </c>
      <c r="O8">
        <f>M8/F8</f>
        <v>0.11402999516207088</v>
      </c>
      <c r="Q8" t="s">
        <v>21</v>
      </c>
    </row>
    <row r="9" spans="2:18" ht="15" thickBot="1" x14ac:dyDescent="0.4">
      <c r="B9">
        <v>2022</v>
      </c>
      <c r="C9">
        <v>3</v>
      </c>
      <c r="D9">
        <v>440</v>
      </c>
      <c r="E9">
        <v>16</v>
      </c>
      <c r="F9">
        <f t="shared" si="1"/>
        <v>456</v>
      </c>
      <c r="G9">
        <v>3</v>
      </c>
      <c r="H9">
        <f t="shared" si="2"/>
        <v>0</v>
      </c>
      <c r="I9">
        <f t="shared" si="3"/>
        <v>0</v>
      </c>
      <c r="J9">
        <f t="shared" si="4"/>
        <v>1</v>
      </c>
      <c r="K9">
        <f t="shared" si="0"/>
        <v>539.07499999999982</v>
      </c>
      <c r="L9">
        <f t="shared" ref="L9:L24" si="5">K9-F9</f>
        <v>83.074999999999818</v>
      </c>
      <c r="M9">
        <f t="shared" ref="M9:M24" si="6">ABS(L9)</f>
        <v>83.074999999999818</v>
      </c>
      <c r="N9">
        <f t="shared" ref="N9:N24" si="7">M9*M9</f>
        <v>6901.4556249999696</v>
      </c>
      <c r="O9">
        <f t="shared" ref="O9:O24" si="8">M9/F9</f>
        <v>0.18218201754385924</v>
      </c>
    </row>
    <row r="10" spans="2:18" x14ac:dyDescent="0.35">
      <c r="B10">
        <v>2022</v>
      </c>
      <c r="C10">
        <v>4</v>
      </c>
      <c r="D10">
        <v>828</v>
      </c>
      <c r="E10">
        <v>17</v>
      </c>
      <c r="F10">
        <f t="shared" si="1"/>
        <v>845</v>
      </c>
      <c r="G10">
        <v>4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0"/>
        <v>898.32499999999993</v>
      </c>
      <c r="L10">
        <f t="shared" si="5"/>
        <v>53.324999999999932</v>
      </c>
      <c r="M10">
        <f t="shared" si="6"/>
        <v>53.324999999999932</v>
      </c>
      <c r="N10">
        <f t="shared" si="7"/>
        <v>2843.5556249999927</v>
      </c>
      <c r="O10">
        <f t="shared" si="8"/>
        <v>6.310650887573957E-2</v>
      </c>
      <c r="Q10" s="5" t="s">
        <v>22</v>
      </c>
      <c r="R10" s="5"/>
    </row>
    <row r="11" spans="2:18" x14ac:dyDescent="0.35">
      <c r="B11">
        <v>2022</v>
      </c>
      <c r="C11">
        <v>1</v>
      </c>
      <c r="D11">
        <v>549</v>
      </c>
      <c r="E11">
        <v>20</v>
      </c>
      <c r="F11">
        <f t="shared" si="1"/>
        <v>569</v>
      </c>
      <c r="G11">
        <v>5</v>
      </c>
      <c r="H11">
        <f t="shared" si="2"/>
        <v>1</v>
      </c>
      <c r="I11">
        <f t="shared" si="3"/>
        <v>0</v>
      </c>
      <c r="J11">
        <f t="shared" si="4"/>
        <v>0</v>
      </c>
      <c r="K11">
        <f t="shared" si="0"/>
        <v>554.41666666666663</v>
      </c>
      <c r="L11">
        <f t="shared" si="5"/>
        <v>-14.583333333333371</v>
      </c>
      <c r="M11">
        <f t="shared" si="6"/>
        <v>14.583333333333371</v>
      </c>
      <c r="N11">
        <f t="shared" si="7"/>
        <v>212.67361111111222</v>
      </c>
      <c r="O11">
        <f t="shared" si="8"/>
        <v>2.5629759812536682E-2</v>
      </c>
      <c r="Q11" t="s">
        <v>23</v>
      </c>
      <c r="R11">
        <v>0.90286041257153926</v>
      </c>
    </row>
    <row r="12" spans="2:18" x14ac:dyDescent="0.35">
      <c r="B12">
        <v>2022</v>
      </c>
      <c r="C12">
        <v>2</v>
      </c>
      <c r="D12">
        <v>600</v>
      </c>
      <c r="E12">
        <v>38</v>
      </c>
      <c r="F12">
        <f t="shared" si="1"/>
        <v>638</v>
      </c>
      <c r="G12">
        <v>6</v>
      </c>
      <c r="H12">
        <f t="shared" si="2"/>
        <v>0</v>
      </c>
      <c r="I12">
        <f t="shared" si="3"/>
        <v>1</v>
      </c>
      <c r="J12">
        <f t="shared" si="4"/>
        <v>0</v>
      </c>
      <c r="K12">
        <f t="shared" si="0"/>
        <v>615.21666666666647</v>
      </c>
      <c r="L12">
        <f t="shared" si="5"/>
        <v>-22.78333333333353</v>
      </c>
      <c r="M12">
        <f t="shared" si="6"/>
        <v>22.78333333333353</v>
      </c>
      <c r="N12">
        <f t="shared" si="7"/>
        <v>519.0802777777867</v>
      </c>
      <c r="O12">
        <f t="shared" si="8"/>
        <v>3.5710553814002399E-2</v>
      </c>
      <c r="Q12" t="s">
        <v>24</v>
      </c>
      <c r="R12">
        <v>0.81515692458885003</v>
      </c>
    </row>
    <row r="13" spans="2:18" x14ac:dyDescent="0.35">
      <c r="B13">
        <v>2022</v>
      </c>
      <c r="C13">
        <v>3</v>
      </c>
      <c r="D13">
        <v>488</v>
      </c>
      <c r="E13">
        <v>14</v>
      </c>
      <c r="F13">
        <f t="shared" si="1"/>
        <v>502</v>
      </c>
      <c r="G13">
        <v>7</v>
      </c>
      <c r="H13">
        <f t="shared" si="2"/>
        <v>0</v>
      </c>
      <c r="I13">
        <f t="shared" si="3"/>
        <v>0</v>
      </c>
      <c r="J13">
        <f t="shared" si="4"/>
        <v>1</v>
      </c>
      <c r="K13">
        <f t="shared" si="0"/>
        <v>543.85833333333312</v>
      </c>
      <c r="L13">
        <f t="shared" si="5"/>
        <v>41.858333333333121</v>
      </c>
      <c r="M13">
        <f t="shared" si="6"/>
        <v>41.858333333333121</v>
      </c>
      <c r="N13">
        <f t="shared" si="7"/>
        <v>1752.1200694444267</v>
      </c>
      <c r="O13">
        <f t="shared" si="8"/>
        <v>8.3383134130145656E-2</v>
      </c>
      <c r="Q13" t="s">
        <v>25</v>
      </c>
      <c r="R13">
        <v>0.75828213215465001</v>
      </c>
    </row>
    <row r="14" spans="2:18" x14ac:dyDescent="0.35">
      <c r="B14">
        <v>2022</v>
      </c>
      <c r="C14">
        <v>4</v>
      </c>
      <c r="D14">
        <v>860</v>
      </c>
      <c r="E14">
        <v>18</v>
      </c>
      <c r="F14">
        <f t="shared" si="1"/>
        <v>878</v>
      </c>
      <c r="G14">
        <v>8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0"/>
        <v>903.10833333333323</v>
      </c>
      <c r="L14">
        <f t="shared" si="5"/>
        <v>25.108333333333235</v>
      </c>
      <c r="M14">
        <f t="shared" si="6"/>
        <v>25.108333333333235</v>
      </c>
      <c r="N14">
        <f t="shared" si="7"/>
        <v>630.42840277777282</v>
      </c>
      <c r="O14">
        <f t="shared" si="8"/>
        <v>2.8597190584661997E-2</v>
      </c>
      <c r="Q14" t="s">
        <v>26</v>
      </c>
      <c r="R14">
        <v>78.200010656435794</v>
      </c>
    </row>
    <row r="15" spans="2:18" ht="15" thickBot="1" x14ac:dyDescent="0.4">
      <c r="B15">
        <v>2022</v>
      </c>
      <c r="C15">
        <v>1</v>
      </c>
      <c r="D15">
        <v>542</v>
      </c>
      <c r="E15">
        <v>25</v>
      </c>
      <c r="F15">
        <f t="shared" si="1"/>
        <v>567</v>
      </c>
      <c r="G15">
        <v>9</v>
      </c>
      <c r="H15">
        <f t="shared" si="2"/>
        <v>1</v>
      </c>
      <c r="I15">
        <f t="shared" si="3"/>
        <v>0</v>
      </c>
      <c r="J15">
        <f t="shared" si="4"/>
        <v>0</v>
      </c>
      <c r="K15">
        <f t="shared" si="0"/>
        <v>559.19999999999993</v>
      </c>
      <c r="L15">
        <f t="shared" si="5"/>
        <v>-7.8000000000000682</v>
      </c>
      <c r="M15">
        <f t="shared" si="6"/>
        <v>7.8000000000000682</v>
      </c>
      <c r="N15">
        <f t="shared" si="7"/>
        <v>60.840000000001062</v>
      </c>
      <c r="O15">
        <f t="shared" si="8"/>
        <v>1.3756613756613877E-2</v>
      </c>
      <c r="Q15" s="3" t="s">
        <v>27</v>
      </c>
      <c r="R15" s="3">
        <v>18</v>
      </c>
    </row>
    <row r="16" spans="2:18" x14ac:dyDescent="0.35">
      <c r="B16">
        <v>2022</v>
      </c>
      <c r="C16">
        <v>2</v>
      </c>
      <c r="D16">
        <v>645</v>
      </c>
      <c r="E16">
        <v>28</v>
      </c>
      <c r="F16">
        <f t="shared" si="1"/>
        <v>673</v>
      </c>
      <c r="G16">
        <v>10</v>
      </c>
      <c r="H16">
        <f t="shared" si="2"/>
        <v>0</v>
      </c>
      <c r="I16">
        <f t="shared" si="3"/>
        <v>1</v>
      </c>
      <c r="J16">
        <f t="shared" si="4"/>
        <v>0</v>
      </c>
      <c r="K16">
        <f t="shared" si="0"/>
        <v>619.99999999999977</v>
      </c>
      <c r="L16">
        <f t="shared" si="5"/>
        <v>-53.000000000000227</v>
      </c>
      <c r="M16">
        <f t="shared" si="6"/>
        <v>53.000000000000227</v>
      </c>
      <c r="N16">
        <f t="shared" si="7"/>
        <v>2809.0000000000241</v>
      </c>
      <c r="O16">
        <f t="shared" si="8"/>
        <v>7.8751857355126645E-2</v>
      </c>
    </row>
    <row r="17" spans="2:25" ht="15" thickBot="1" x14ac:dyDescent="0.4">
      <c r="B17">
        <v>2022</v>
      </c>
      <c r="C17">
        <v>3</v>
      </c>
      <c r="D17">
        <v>508</v>
      </c>
      <c r="E17">
        <v>30</v>
      </c>
      <c r="F17">
        <f t="shared" si="1"/>
        <v>538</v>
      </c>
      <c r="G17">
        <v>11</v>
      </c>
      <c r="H17">
        <f t="shared" si="2"/>
        <v>0</v>
      </c>
      <c r="I17">
        <f t="shared" si="3"/>
        <v>0</v>
      </c>
      <c r="J17">
        <f t="shared" si="4"/>
        <v>1</v>
      </c>
      <c r="K17">
        <f t="shared" si="0"/>
        <v>548.64166666666642</v>
      </c>
      <c r="L17">
        <f t="shared" si="5"/>
        <v>10.641666666666424</v>
      </c>
      <c r="M17">
        <f t="shared" si="6"/>
        <v>10.641666666666424</v>
      </c>
      <c r="N17">
        <f t="shared" si="7"/>
        <v>113.24506944443928</v>
      </c>
      <c r="O17">
        <f t="shared" si="8"/>
        <v>1.9780049566294467E-2</v>
      </c>
      <c r="Q17" t="s">
        <v>28</v>
      </c>
    </row>
    <row r="18" spans="2:25" x14ac:dyDescent="0.35">
      <c r="B18">
        <v>2022</v>
      </c>
      <c r="C18">
        <v>4</v>
      </c>
      <c r="D18">
        <v>897</v>
      </c>
      <c r="E18">
        <v>13</v>
      </c>
      <c r="F18">
        <f t="shared" si="1"/>
        <v>910</v>
      </c>
      <c r="G18">
        <v>12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0"/>
        <v>907.89166666666654</v>
      </c>
      <c r="L18">
        <f t="shared" si="5"/>
        <v>-2.1083333333334622</v>
      </c>
      <c r="M18">
        <f t="shared" si="6"/>
        <v>2.1083333333334622</v>
      </c>
      <c r="N18">
        <f t="shared" si="7"/>
        <v>4.4450694444449876</v>
      </c>
      <c r="O18">
        <f t="shared" si="8"/>
        <v>2.3168498168499585E-3</v>
      </c>
      <c r="Q18" s="4"/>
      <c r="R18" s="4" t="s">
        <v>33</v>
      </c>
      <c r="S18" s="4" t="s">
        <v>34</v>
      </c>
      <c r="T18" s="4" t="s">
        <v>35</v>
      </c>
      <c r="U18" s="4" t="s">
        <v>36</v>
      </c>
      <c r="V18" s="4" t="s">
        <v>37</v>
      </c>
    </row>
    <row r="19" spans="2:25" x14ac:dyDescent="0.35">
      <c r="B19">
        <v>2023</v>
      </c>
      <c r="C19">
        <v>1</v>
      </c>
      <c r="D19">
        <v>604</v>
      </c>
      <c r="E19">
        <v>19</v>
      </c>
      <c r="F19">
        <f t="shared" si="1"/>
        <v>623</v>
      </c>
      <c r="G19">
        <v>13</v>
      </c>
      <c r="H19">
        <f t="shared" si="2"/>
        <v>1</v>
      </c>
      <c r="I19">
        <f t="shared" si="3"/>
        <v>0</v>
      </c>
      <c r="J19">
        <f t="shared" si="4"/>
        <v>0</v>
      </c>
      <c r="K19">
        <f t="shared" si="0"/>
        <v>563.98333333333323</v>
      </c>
      <c r="L19">
        <f t="shared" si="5"/>
        <v>-59.016666666666765</v>
      </c>
      <c r="M19">
        <f t="shared" si="6"/>
        <v>59.016666666666765</v>
      </c>
      <c r="N19">
        <f t="shared" si="7"/>
        <v>3482.9669444444562</v>
      </c>
      <c r="O19">
        <f t="shared" si="8"/>
        <v>9.472980203317298E-2</v>
      </c>
      <c r="Q19" t="s">
        <v>29</v>
      </c>
      <c r="R19">
        <v>4</v>
      </c>
      <c r="S19">
        <v>350586.35833333322</v>
      </c>
      <c r="T19">
        <v>87646.589583333305</v>
      </c>
      <c r="U19">
        <v>14.332481749835434</v>
      </c>
      <c r="V19">
        <v>1.0800881972810541E-4</v>
      </c>
    </row>
    <row r="20" spans="2:25" x14ac:dyDescent="0.35">
      <c r="B20">
        <v>2023</v>
      </c>
      <c r="C20">
        <v>2</v>
      </c>
      <c r="D20">
        <v>457</v>
      </c>
      <c r="E20">
        <v>31</v>
      </c>
      <c r="F20">
        <f t="shared" si="1"/>
        <v>488</v>
      </c>
      <c r="G20">
        <v>14</v>
      </c>
      <c r="H20">
        <f t="shared" si="2"/>
        <v>0</v>
      </c>
      <c r="I20">
        <f t="shared" si="3"/>
        <v>1</v>
      </c>
      <c r="J20">
        <f t="shared" si="4"/>
        <v>0</v>
      </c>
      <c r="K20">
        <f t="shared" si="0"/>
        <v>624.78333333333308</v>
      </c>
      <c r="L20">
        <f t="shared" si="5"/>
        <v>136.78333333333308</v>
      </c>
      <c r="M20">
        <f t="shared" si="6"/>
        <v>136.78333333333308</v>
      </c>
      <c r="N20">
        <f t="shared" si="7"/>
        <v>18709.680277777708</v>
      </c>
      <c r="O20">
        <f t="shared" si="8"/>
        <v>0.28029371584699403</v>
      </c>
      <c r="Q20" t="s">
        <v>30</v>
      </c>
      <c r="R20">
        <v>13</v>
      </c>
      <c r="S20">
        <v>79498.141666666736</v>
      </c>
      <c r="T20">
        <v>6115.2416666666722</v>
      </c>
    </row>
    <row r="21" spans="2:25" ht="15" thickBot="1" x14ac:dyDescent="0.4">
      <c r="B21">
        <v>2023</v>
      </c>
      <c r="C21">
        <v>3</v>
      </c>
      <c r="D21">
        <v>677</v>
      </c>
      <c r="E21">
        <v>12</v>
      </c>
      <c r="F21">
        <f t="shared" si="1"/>
        <v>689</v>
      </c>
      <c r="G21">
        <v>15</v>
      </c>
      <c r="H21">
        <f t="shared" si="2"/>
        <v>0</v>
      </c>
      <c r="I21">
        <f t="shared" si="3"/>
        <v>0</v>
      </c>
      <c r="J21">
        <f t="shared" si="4"/>
        <v>1</v>
      </c>
      <c r="K21">
        <f t="shared" si="0"/>
        <v>553.42499999999973</v>
      </c>
      <c r="L21">
        <f t="shared" si="5"/>
        <v>-135.57500000000027</v>
      </c>
      <c r="M21">
        <f t="shared" si="6"/>
        <v>135.57500000000027</v>
      </c>
      <c r="N21">
        <f t="shared" si="7"/>
        <v>18380.580625000075</v>
      </c>
      <c r="O21">
        <f t="shared" si="8"/>
        <v>0.19677068214804103</v>
      </c>
      <c r="Q21" s="3" t="s">
        <v>31</v>
      </c>
      <c r="R21" s="3">
        <v>17</v>
      </c>
      <c r="S21" s="3">
        <v>430084.49999999994</v>
      </c>
      <c r="T21" s="3"/>
      <c r="U21" s="3"/>
      <c r="V21" s="3"/>
    </row>
    <row r="22" spans="2:25" ht="15" thickBot="1" x14ac:dyDescent="0.4">
      <c r="B22">
        <v>2023</v>
      </c>
      <c r="C22">
        <v>4</v>
      </c>
      <c r="D22">
        <v>976</v>
      </c>
      <c r="E22">
        <v>13</v>
      </c>
      <c r="F22">
        <f t="shared" si="1"/>
        <v>989</v>
      </c>
      <c r="G22">
        <v>16</v>
      </c>
      <c r="H22">
        <f t="shared" si="2"/>
        <v>0</v>
      </c>
      <c r="I22">
        <f t="shared" si="3"/>
        <v>0</v>
      </c>
      <c r="J22">
        <f t="shared" si="4"/>
        <v>0</v>
      </c>
      <c r="K22">
        <f t="shared" si="0"/>
        <v>912.67499999999984</v>
      </c>
      <c r="L22">
        <f t="shared" si="5"/>
        <v>-76.325000000000159</v>
      </c>
      <c r="M22">
        <f t="shared" si="6"/>
        <v>76.325000000000159</v>
      </c>
      <c r="N22">
        <f t="shared" si="7"/>
        <v>5825.5056250000243</v>
      </c>
      <c r="O22">
        <f t="shared" si="8"/>
        <v>7.7173913043478426E-2</v>
      </c>
    </row>
    <row r="23" spans="2:25" x14ac:dyDescent="0.35">
      <c r="B23">
        <v>2023</v>
      </c>
      <c r="C23">
        <v>1</v>
      </c>
      <c r="D23">
        <v>456</v>
      </c>
      <c r="E23">
        <v>11</v>
      </c>
      <c r="F23">
        <f t="shared" si="1"/>
        <v>467</v>
      </c>
      <c r="G23">
        <v>17</v>
      </c>
      <c r="H23">
        <f t="shared" si="2"/>
        <v>1</v>
      </c>
      <c r="I23">
        <f t="shared" si="3"/>
        <v>0</v>
      </c>
      <c r="J23">
        <f t="shared" si="4"/>
        <v>0</v>
      </c>
      <c r="K23">
        <f t="shared" si="0"/>
        <v>568.76666666666654</v>
      </c>
      <c r="L23">
        <f t="shared" si="5"/>
        <v>101.76666666666654</v>
      </c>
      <c r="M23">
        <f t="shared" si="6"/>
        <v>101.76666666666654</v>
      </c>
      <c r="N23">
        <f t="shared" si="7"/>
        <v>10356.454444444418</v>
      </c>
      <c r="O23">
        <f t="shared" si="8"/>
        <v>0.21791577444682342</v>
      </c>
      <c r="Q23" s="4"/>
      <c r="R23" s="4" t="s">
        <v>38</v>
      </c>
      <c r="S23" s="4" t="s">
        <v>26</v>
      </c>
      <c r="T23" s="4" t="s">
        <v>39</v>
      </c>
      <c r="U23" s="4" t="s">
        <v>40</v>
      </c>
      <c r="V23" s="4" t="s">
        <v>41</v>
      </c>
      <c r="W23" s="4" t="s">
        <v>42</v>
      </c>
      <c r="X23" s="4" t="s">
        <v>43</v>
      </c>
      <c r="Y23" s="4" t="s">
        <v>44</v>
      </c>
    </row>
    <row r="24" spans="2:25" x14ac:dyDescent="0.35">
      <c r="B24">
        <v>2023</v>
      </c>
      <c r="C24">
        <v>2</v>
      </c>
      <c r="D24">
        <v>602</v>
      </c>
      <c r="E24">
        <v>10</v>
      </c>
      <c r="F24">
        <f t="shared" si="1"/>
        <v>612</v>
      </c>
      <c r="G24">
        <v>18</v>
      </c>
      <c r="H24">
        <f t="shared" si="2"/>
        <v>0</v>
      </c>
      <c r="I24">
        <f t="shared" si="3"/>
        <v>1</v>
      </c>
      <c r="J24">
        <f t="shared" si="4"/>
        <v>0</v>
      </c>
      <c r="K24">
        <f t="shared" si="0"/>
        <v>629.56666666666638</v>
      </c>
      <c r="L24">
        <f t="shared" si="5"/>
        <v>17.566666666666379</v>
      </c>
      <c r="M24">
        <f t="shared" si="6"/>
        <v>17.566666666666379</v>
      </c>
      <c r="N24">
        <f t="shared" si="7"/>
        <v>308.58777777776766</v>
      </c>
      <c r="O24">
        <f t="shared" si="8"/>
        <v>2.8703703703703232E-2</v>
      </c>
      <c r="Q24" t="s">
        <v>32</v>
      </c>
      <c r="R24">
        <v>893.54166666666663</v>
      </c>
      <c r="S24">
        <v>52.941657484652154</v>
      </c>
      <c r="T24">
        <v>16.877855910078097</v>
      </c>
      <c r="U24">
        <v>3.1954771081924778E-10</v>
      </c>
      <c r="V24">
        <v>779.16816921563532</v>
      </c>
      <c r="W24">
        <v>1007.9151641176979</v>
      </c>
      <c r="X24">
        <v>779.16816921563532</v>
      </c>
      <c r="Y24">
        <v>1007.9151641176979</v>
      </c>
    </row>
    <row r="25" spans="2:25" x14ac:dyDescent="0.35">
      <c r="B25">
        <v>2023</v>
      </c>
      <c r="C25">
        <v>3</v>
      </c>
      <c r="G25">
        <v>19</v>
      </c>
      <c r="H25">
        <f t="shared" ref="H25:H27" si="9">IF(C25=1,1,0)</f>
        <v>0</v>
      </c>
      <c r="I25">
        <f t="shared" ref="I25:I27" si="10">IF(C25=2,1,0)</f>
        <v>0</v>
      </c>
      <c r="J25">
        <f t="shared" ref="J25:J27" si="11">IF(C25=3,1,0)</f>
        <v>1</v>
      </c>
      <c r="K25">
        <f>$R$24+$R$25*G25+$R$26*H25+$R$27*I25+$R$28*J25</f>
        <v>558.20833333333303</v>
      </c>
      <c r="Q25" t="s">
        <v>0</v>
      </c>
      <c r="R25">
        <v>1.1958333333333269</v>
      </c>
      <c r="S25">
        <v>3.5693258194728545</v>
      </c>
      <c r="T25">
        <v>0.33503058947696085</v>
      </c>
      <c r="U25">
        <v>0.74294644738043325</v>
      </c>
      <c r="V25">
        <v>-6.5152262917592001</v>
      </c>
      <c r="W25">
        <v>8.9068929584258534</v>
      </c>
      <c r="X25">
        <v>-6.5152262917592001</v>
      </c>
      <c r="Y25">
        <v>8.9068929584258534</v>
      </c>
    </row>
    <row r="26" spans="2:25" x14ac:dyDescent="0.35">
      <c r="B26">
        <v>2023</v>
      </c>
      <c r="C26">
        <v>4</v>
      </c>
      <c r="G26">
        <v>20</v>
      </c>
      <c r="H26">
        <f t="shared" si="9"/>
        <v>0</v>
      </c>
      <c r="I26">
        <f t="shared" si="10"/>
        <v>0</v>
      </c>
      <c r="J26">
        <f t="shared" si="11"/>
        <v>0</v>
      </c>
      <c r="K26">
        <f t="shared" ref="K26:K27" si="12">$R$24+$R$25*G26+$R$26*H26+$R$27*I26+$R$28*J26</f>
        <v>917.45833333333314</v>
      </c>
      <c r="Q26" t="s">
        <v>18</v>
      </c>
      <c r="R26">
        <v>-345.10416666666663</v>
      </c>
      <c r="S26">
        <v>52.57945261036442</v>
      </c>
      <c r="T26">
        <v>-6.5634796395472552</v>
      </c>
      <c r="U26">
        <v>1.8151922078613685E-5</v>
      </c>
      <c r="V26">
        <v>-458.69516806006868</v>
      </c>
      <c r="W26">
        <v>-231.51316527326458</v>
      </c>
      <c r="X26">
        <v>-458.69516806006868</v>
      </c>
      <c r="Y26">
        <v>-231.51316527326458</v>
      </c>
    </row>
    <row r="27" spans="2:25" x14ac:dyDescent="0.35">
      <c r="B27">
        <v>2023</v>
      </c>
      <c r="C27">
        <v>1</v>
      </c>
      <c r="G27">
        <v>21</v>
      </c>
      <c r="H27">
        <f t="shared" si="9"/>
        <v>1</v>
      </c>
      <c r="I27">
        <f t="shared" si="10"/>
        <v>0</v>
      </c>
      <c r="J27">
        <f t="shared" si="11"/>
        <v>0</v>
      </c>
      <c r="K27">
        <f t="shared" si="12"/>
        <v>573.54999999999984</v>
      </c>
      <c r="Q27" t="s">
        <v>19</v>
      </c>
      <c r="R27">
        <v>-285.50000000000006</v>
      </c>
      <c r="S27">
        <v>52.45816190069953</v>
      </c>
      <c r="T27">
        <v>-5.4424324005182676</v>
      </c>
      <c r="U27">
        <v>1.1266581285237759E-4</v>
      </c>
      <c r="V27">
        <v>-398.82896874592194</v>
      </c>
      <c r="W27">
        <v>-172.17103125407817</v>
      </c>
      <c r="X27">
        <v>-398.82896874592194</v>
      </c>
      <c r="Y27">
        <v>-172.17103125407817</v>
      </c>
    </row>
    <row r="28" spans="2:25" ht="15" thickBot="1" x14ac:dyDescent="0.4">
      <c r="F28">
        <f>SUM(F7:F27)</f>
        <v>11703</v>
      </c>
      <c r="Q28" s="3" t="s">
        <v>20</v>
      </c>
      <c r="R28" s="3">
        <v>-358.05416666666673</v>
      </c>
      <c r="S28" s="3">
        <v>55.41083756936807</v>
      </c>
      <c r="T28" s="3">
        <v>-6.4618075158749155</v>
      </c>
      <c r="U28" s="3">
        <v>2.1267709389358794E-5</v>
      </c>
      <c r="V28" s="3">
        <v>-477.76200337988047</v>
      </c>
      <c r="W28" s="3">
        <v>-238.34632995345299</v>
      </c>
      <c r="X28" s="3">
        <v>-477.76200337988047</v>
      </c>
      <c r="Y28" s="3">
        <v>-238.34632995345299</v>
      </c>
    </row>
    <row r="30" spans="2:25" x14ac:dyDescent="0.35">
      <c r="M30" t="s">
        <v>13</v>
      </c>
      <c r="N30">
        <f>AVERAGE(M8:M24)</f>
        <v>54.110784313725482</v>
      </c>
    </row>
    <row r="31" spans="2:25" x14ac:dyDescent="0.35">
      <c r="M31" t="s">
        <v>66</v>
      </c>
      <c r="N31">
        <f>AVERAGE(N8:N24)</f>
        <v>4651.9612091503268</v>
      </c>
    </row>
    <row r="32" spans="2:25" x14ac:dyDescent="0.35">
      <c r="M32" t="s">
        <v>14</v>
      </c>
      <c r="N32" s="11">
        <f>AVERAGE(O8:O24)</f>
        <v>9.0754830684712628E-2</v>
      </c>
    </row>
  </sheetData>
  <mergeCells count="1">
    <mergeCell ref="C3:K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21BA3-F47B-40D1-8FF1-C3625C471849}">
  <dimension ref="B3:X34"/>
  <sheetViews>
    <sheetView zoomScale="69" zoomScaleNormal="145" workbookViewId="0">
      <selection activeCell="C7" sqref="C7"/>
    </sheetView>
  </sheetViews>
  <sheetFormatPr defaultRowHeight="14.5" x14ac:dyDescent="0.35"/>
  <cols>
    <col min="4" max="4" width="15.08984375" customWidth="1"/>
    <col min="6" max="6" width="10.7265625" customWidth="1"/>
    <col min="13" max="13" width="9.36328125" bestFit="1" customWidth="1"/>
    <col min="16" max="16" width="12.453125" customWidth="1"/>
    <col min="17" max="17" width="10.453125" customWidth="1"/>
    <col min="18" max="18" width="12.54296875" customWidth="1"/>
    <col min="20" max="20" width="7.54296875" customWidth="1"/>
    <col min="21" max="21" width="12.26953125" customWidth="1"/>
  </cols>
  <sheetData>
    <row r="3" spans="2:17" ht="24.5" x14ac:dyDescent="0.7">
      <c r="C3" s="27" t="s">
        <v>51</v>
      </c>
      <c r="D3" s="27"/>
      <c r="E3" s="27"/>
      <c r="F3" s="27"/>
      <c r="G3" s="27"/>
      <c r="H3" s="27"/>
      <c r="I3" s="27"/>
      <c r="J3" s="27"/>
      <c r="K3" s="27"/>
    </row>
    <row r="4" spans="2:17" x14ac:dyDescent="0.35">
      <c r="B4" s="21" t="s">
        <v>48</v>
      </c>
      <c r="C4" s="21"/>
      <c r="D4" s="21"/>
    </row>
    <row r="6" spans="2:17" x14ac:dyDescent="0.35">
      <c r="B6" s="2" t="s">
        <v>1</v>
      </c>
      <c r="C6" s="1" t="s">
        <v>104</v>
      </c>
      <c r="D6" s="1" t="s">
        <v>56</v>
      </c>
      <c r="E6" s="1" t="s">
        <v>0</v>
      </c>
      <c r="F6" s="1" t="s">
        <v>105</v>
      </c>
      <c r="G6" s="1" t="s">
        <v>106</v>
      </c>
      <c r="H6" s="1" t="s">
        <v>107</v>
      </c>
      <c r="I6" s="1" t="s">
        <v>47</v>
      </c>
      <c r="J6" s="1" t="s">
        <v>64</v>
      </c>
      <c r="K6" s="1" t="s">
        <v>62</v>
      </c>
      <c r="L6" s="1" t="s">
        <v>63</v>
      </c>
      <c r="M6" s="1" t="s">
        <v>65</v>
      </c>
    </row>
    <row r="7" spans="2:17" x14ac:dyDescent="0.35">
      <c r="B7">
        <v>2022</v>
      </c>
      <c r="C7">
        <v>1</v>
      </c>
      <c r="D7">
        <v>417</v>
      </c>
      <c r="E7">
        <v>1</v>
      </c>
      <c r="F7">
        <f t="shared" ref="F7:F27" si="0">IF(C7=1,1,0)</f>
        <v>1</v>
      </c>
      <c r="G7">
        <f t="shared" ref="G7:G27" si="1">IF(C7=2,1,0)</f>
        <v>0</v>
      </c>
      <c r="H7">
        <f t="shared" ref="H7:H27" si="2">IF(C7=3,1,0)</f>
        <v>0</v>
      </c>
      <c r="I7">
        <f>$Q$26+$Q$27*E7+$Q$28*F7+$Q$29*G7+$Q$30*H7</f>
        <v>460.09999999999991</v>
      </c>
    </row>
    <row r="8" spans="2:17" x14ac:dyDescent="0.35">
      <c r="B8">
        <v>2022</v>
      </c>
      <c r="C8">
        <v>2</v>
      </c>
      <c r="D8">
        <v>546</v>
      </c>
      <c r="E8">
        <v>2</v>
      </c>
      <c r="F8">
        <f t="shared" si="0"/>
        <v>0</v>
      </c>
      <c r="G8">
        <f t="shared" si="1"/>
        <v>1</v>
      </c>
      <c r="H8">
        <f t="shared" si="2"/>
        <v>0</v>
      </c>
      <c r="I8">
        <f t="shared" ref="I8:I27" si="3">$Q$26+$Q$27*E8+$Q$28*F8+$Q$29*G8+$Q$30*H8</f>
        <v>576.09999999999991</v>
      </c>
      <c r="J8">
        <f>I8-D8</f>
        <v>30.099999999999909</v>
      </c>
      <c r="K8">
        <f>ABS(J8)</f>
        <v>30.099999999999909</v>
      </c>
      <c r="L8">
        <f>K8*K8</f>
        <v>906.00999999999453</v>
      </c>
      <c r="M8" s="11">
        <f>K8/D8</f>
        <v>5.512820512820496E-2</v>
      </c>
    </row>
    <row r="9" spans="2:17" x14ac:dyDescent="0.35">
      <c r="B9">
        <v>2022</v>
      </c>
      <c r="C9">
        <v>3</v>
      </c>
      <c r="D9">
        <v>625</v>
      </c>
      <c r="E9">
        <v>3</v>
      </c>
      <c r="F9">
        <f t="shared" si="0"/>
        <v>0</v>
      </c>
      <c r="G9">
        <f t="shared" si="1"/>
        <v>0</v>
      </c>
      <c r="H9">
        <f t="shared" si="2"/>
        <v>1</v>
      </c>
      <c r="I9">
        <f t="shared" si="3"/>
        <v>666.82499999999982</v>
      </c>
      <c r="J9">
        <f t="shared" ref="J9:J24" si="4">I9-D9</f>
        <v>41.824999999999818</v>
      </c>
      <c r="K9">
        <f t="shared" ref="K9:K24" si="5">ABS(J9)</f>
        <v>41.824999999999818</v>
      </c>
      <c r="L9">
        <f t="shared" ref="L9:L24" si="6">K9*K9</f>
        <v>1749.3306249999848</v>
      </c>
      <c r="M9" s="11">
        <f t="shared" ref="M9:M24" si="7">K9/D9</f>
        <v>6.6919999999999716E-2</v>
      </c>
    </row>
    <row r="10" spans="2:17" x14ac:dyDescent="0.35">
      <c r="B10">
        <v>2022</v>
      </c>
      <c r="C10">
        <v>4</v>
      </c>
      <c r="D10">
        <v>780</v>
      </c>
      <c r="E10">
        <v>4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676.57499999999993</v>
      </c>
      <c r="J10">
        <f t="shared" si="4"/>
        <v>-103.42500000000007</v>
      </c>
      <c r="K10">
        <f t="shared" si="5"/>
        <v>103.42500000000007</v>
      </c>
      <c r="L10">
        <f t="shared" si="6"/>
        <v>10696.730625000015</v>
      </c>
      <c r="M10" s="11">
        <f t="shared" si="7"/>
        <v>0.13259615384615395</v>
      </c>
      <c r="P10" t="s">
        <v>21</v>
      </c>
    </row>
    <row r="11" spans="2:17" ht="15" thickBot="1" x14ac:dyDescent="0.4">
      <c r="B11">
        <v>2022</v>
      </c>
      <c r="C11">
        <v>1</v>
      </c>
      <c r="D11">
        <v>424</v>
      </c>
      <c r="E11">
        <v>5</v>
      </c>
      <c r="F11">
        <f t="shared" si="0"/>
        <v>1</v>
      </c>
      <c r="G11">
        <f t="shared" si="1"/>
        <v>0</v>
      </c>
      <c r="H11">
        <f t="shared" si="2"/>
        <v>0</v>
      </c>
      <c r="I11">
        <f t="shared" si="3"/>
        <v>462.54999999999995</v>
      </c>
      <c r="J11">
        <f t="shared" si="4"/>
        <v>38.549999999999955</v>
      </c>
      <c r="K11">
        <f t="shared" si="5"/>
        <v>38.549999999999955</v>
      </c>
      <c r="L11">
        <f t="shared" si="6"/>
        <v>1486.1024999999966</v>
      </c>
      <c r="M11" s="11">
        <f t="shared" si="7"/>
        <v>9.0919811320754607E-2</v>
      </c>
    </row>
    <row r="12" spans="2:17" x14ac:dyDescent="0.35">
      <c r="B12">
        <v>2022</v>
      </c>
      <c r="C12">
        <v>2</v>
      </c>
      <c r="D12">
        <v>579</v>
      </c>
      <c r="E12">
        <v>6</v>
      </c>
      <c r="F12">
        <f t="shared" si="0"/>
        <v>0</v>
      </c>
      <c r="G12">
        <f t="shared" si="1"/>
        <v>1</v>
      </c>
      <c r="H12">
        <f t="shared" si="2"/>
        <v>0</v>
      </c>
      <c r="I12">
        <f t="shared" si="3"/>
        <v>578.54999999999984</v>
      </c>
      <c r="J12">
        <f t="shared" si="4"/>
        <v>-0.45000000000015916</v>
      </c>
      <c r="K12">
        <f t="shared" si="5"/>
        <v>0.45000000000015916</v>
      </c>
      <c r="L12">
        <f t="shared" si="6"/>
        <v>0.20250000000014323</v>
      </c>
      <c r="M12" s="11">
        <f t="shared" si="7"/>
        <v>7.7720207253913502E-4</v>
      </c>
      <c r="P12" s="5" t="s">
        <v>22</v>
      </c>
      <c r="Q12" s="5"/>
    </row>
    <row r="13" spans="2:17" x14ac:dyDescent="0.35">
      <c r="B13">
        <v>2022</v>
      </c>
      <c r="C13">
        <v>3</v>
      </c>
      <c r="D13">
        <v>683</v>
      </c>
      <c r="E13">
        <v>7</v>
      </c>
      <c r="F13">
        <f t="shared" si="0"/>
        <v>0</v>
      </c>
      <c r="G13">
        <f t="shared" si="1"/>
        <v>0</v>
      </c>
      <c r="H13">
        <f t="shared" si="2"/>
        <v>1</v>
      </c>
      <c r="I13">
        <f t="shared" si="3"/>
        <v>669.27499999999986</v>
      </c>
      <c r="J13">
        <f t="shared" si="4"/>
        <v>-13.725000000000136</v>
      </c>
      <c r="K13">
        <f t="shared" si="5"/>
        <v>13.725000000000136</v>
      </c>
      <c r="L13">
        <f t="shared" si="6"/>
        <v>188.37562500000374</v>
      </c>
      <c r="M13" s="11">
        <f t="shared" si="7"/>
        <v>2.0095168374817184E-2</v>
      </c>
      <c r="P13" t="s">
        <v>23</v>
      </c>
      <c r="Q13">
        <v>0.7337158616634406</v>
      </c>
    </row>
    <row r="14" spans="2:17" x14ac:dyDescent="0.35">
      <c r="B14">
        <v>2022</v>
      </c>
      <c r="C14">
        <v>4</v>
      </c>
      <c r="D14">
        <v>793</v>
      </c>
      <c r="E14">
        <v>8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679.02499999999986</v>
      </c>
      <c r="J14">
        <f t="shared" si="4"/>
        <v>-113.97500000000014</v>
      </c>
      <c r="K14">
        <f t="shared" si="5"/>
        <v>113.97500000000014</v>
      </c>
      <c r="L14">
        <f t="shared" si="6"/>
        <v>12990.300625000031</v>
      </c>
      <c r="M14" s="11">
        <f t="shared" si="7"/>
        <v>0.14372635561160169</v>
      </c>
      <c r="P14" t="s">
        <v>24</v>
      </c>
      <c r="Q14">
        <v>0.53833896565652506</v>
      </c>
    </row>
    <row r="15" spans="2:17" x14ac:dyDescent="0.35">
      <c r="B15">
        <v>2022</v>
      </c>
      <c r="C15">
        <v>1</v>
      </c>
      <c r="D15">
        <v>401</v>
      </c>
      <c r="E15">
        <v>9</v>
      </c>
      <c r="F15">
        <f t="shared" si="0"/>
        <v>1</v>
      </c>
      <c r="G15">
        <f t="shared" si="1"/>
        <v>0</v>
      </c>
      <c r="H15">
        <f t="shared" si="2"/>
        <v>0</v>
      </c>
      <c r="I15">
        <f t="shared" si="3"/>
        <v>464.99999999999989</v>
      </c>
      <c r="J15">
        <f t="shared" si="4"/>
        <v>63.999999999999886</v>
      </c>
      <c r="K15">
        <f t="shared" si="5"/>
        <v>63.999999999999886</v>
      </c>
      <c r="L15">
        <f t="shared" si="6"/>
        <v>4095.9999999999854</v>
      </c>
      <c r="M15" s="11">
        <f t="shared" si="7"/>
        <v>0.15960099750623413</v>
      </c>
      <c r="P15" t="s">
        <v>25</v>
      </c>
      <c r="Q15">
        <v>0.39628941662776351</v>
      </c>
    </row>
    <row r="16" spans="2:17" x14ac:dyDescent="0.35">
      <c r="B16">
        <v>2022</v>
      </c>
      <c r="C16">
        <v>2</v>
      </c>
      <c r="D16">
        <v>592</v>
      </c>
      <c r="E16">
        <v>10</v>
      </c>
      <c r="F16">
        <f t="shared" si="0"/>
        <v>0</v>
      </c>
      <c r="G16">
        <f t="shared" si="1"/>
        <v>1</v>
      </c>
      <c r="H16">
        <f t="shared" si="2"/>
        <v>0</v>
      </c>
      <c r="I16">
        <f t="shared" si="3"/>
        <v>580.99999999999989</v>
      </c>
      <c r="J16">
        <f t="shared" si="4"/>
        <v>-11.000000000000114</v>
      </c>
      <c r="K16">
        <f t="shared" si="5"/>
        <v>11.000000000000114</v>
      </c>
      <c r="L16">
        <f t="shared" si="6"/>
        <v>121.0000000000025</v>
      </c>
      <c r="M16" s="11">
        <f t="shared" si="7"/>
        <v>1.8581081081081273E-2</v>
      </c>
      <c r="P16" t="s">
        <v>26</v>
      </c>
      <c r="Q16">
        <v>95.13539946186819</v>
      </c>
    </row>
    <row r="17" spans="2:24" ht="15" thickBot="1" x14ac:dyDescent="0.4">
      <c r="B17">
        <v>2022</v>
      </c>
      <c r="C17">
        <v>3</v>
      </c>
      <c r="D17">
        <v>692</v>
      </c>
      <c r="E17">
        <v>11</v>
      </c>
      <c r="F17">
        <f t="shared" si="0"/>
        <v>0</v>
      </c>
      <c r="G17">
        <f t="shared" si="1"/>
        <v>0</v>
      </c>
      <c r="H17">
        <f t="shared" si="2"/>
        <v>1</v>
      </c>
      <c r="I17">
        <f t="shared" si="3"/>
        <v>671.7249999999998</v>
      </c>
      <c r="J17">
        <f t="shared" si="4"/>
        <v>-20.275000000000205</v>
      </c>
      <c r="K17">
        <f t="shared" si="5"/>
        <v>20.275000000000205</v>
      </c>
      <c r="L17">
        <f t="shared" si="6"/>
        <v>411.0756250000083</v>
      </c>
      <c r="M17" s="11">
        <f t="shared" si="7"/>
        <v>2.9299132947977174E-2</v>
      </c>
      <c r="P17" s="3" t="s">
        <v>27</v>
      </c>
      <c r="Q17" s="3">
        <v>18</v>
      </c>
    </row>
    <row r="18" spans="2:24" x14ac:dyDescent="0.35">
      <c r="B18">
        <v>2022</v>
      </c>
      <c r="C18">
        <v>4</v>
      </c>
      <c r="D18">
        <v>720</v>
      </c>
      <c r="E18">
        <v>12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3"/>
        <v>681.47499999999991</v>
      </c>
      <c r="J18">
        <f t="shared" si="4"/>
        <v>-38.525000000000091</v>
      </c>
      <c r="K18">
        <f t="shared" si="5"/>
        <v>38.525000000000091</v>
      </c>
      <c r="L18">
        <f t="shared" si="6"/>
        <v>1484.1756250000069</v>
      </c>
      <c r="M18" s="11">
        <f t="shared" si="7"/>
        <v>5.3506944444444572E-2</v>
      </c>
    </row>
    <row r="19" spans="2:24" ht="15" thickBot="1" x14ac:dyDescent="0.4">
      <c r="B19">
        <v>2023</v>
      </c>
      <c r="C19">
        <v>1</v>
      </c>
      <c r="D19">
        <v>493</v>
      </c>
      <c r="E19">
        <v>13</v>
      </c>
      <c r="F19">
        <f t="shared" si="0"/>
        <v>1</v>
      </c>
      <c r="G19">
        <f t="shared" si="1"/>
        <v>0</v>
      </c>
      <c r="H19">
        <f t="shared" si="2"/>
        <v>0</v>
      </c>
      <c r="I19">
        <f t="shared" si="3"/>
        <v>467.44999999999993</v>
      </c>
      <c r="J19">
        <f t="shared" si="4"/>
        <v>-25.550000000000068</v>
      </c>
      <c r="K19">
        <f t="shared" si="5"/>
        <v>25.550000000000068</v>
      </c>
      <c r="L19">
        <f t="shared" si="6"/>
        <v>652.80250000000353</v>
      </c>
      <c r="M19" s="11">
        <f t="shared" si="7"/>
        <v>5.182555780933077E-2</v>
      </c>
      <c r="P19" t="s">
        <v>28</v>
      </c>
    </row>
    <row r="20" spans="2:24" x14ac:dyDescent="0.35">
      <c r="B20">
        <v>2023</v>
      </c>
      <c r="C20">
        <v>2</v>
      </c>
      <c r="D20">
        <v>572</v>
      </c>
      <c r="E20">
        <v>14</v>
      </c>
      <c r="F20">
        <f t="shared" si="0"/>
        <v>0</v>
      </c>
      <c r="G20">
        <f t="shared" si="1"/>
        <v>1</v>
      </c>
      <c r="H20">
        <f t="shared" si="2"/>
        <v>0</v>
      </c>
      <c r="I20">
        <f t="shared" si="3"/>
        <v>583.44999999999982</v>
      </c>
      <c r="J20">
        <f t="shared" si="4"/>
        <v>11.449999999999818</v>
      </c>
      <c r="K20">
        <f t="shared" si="5"/>
        <v>11.449999999999818</v>
      </c>
      <c r="L20">
        <f t="shared" si="6"/>
        <v>131.10249999999584</v>
      </c>
      <c r="M20" s="11">
        <f t="shared" si="7"/>
        <v>2.0017482517482199E-2</v>
      </c>
      <c r="P20" s="4"/>
      <c r="Q20" s="4" t="s">
        <v>33</v>
      </c>
      <c r="R20" s="4" t="s">
        <v>34</v>
      </c>
      <c r="S20" s="4" t="s">
        <v>35</v>
      </c>
      <c r="T20" s="4" t="s">
        <v>36</v>
      </c>
      <c r="U20" s="4" t="s">
        <v>37</v>
      </c>
    </row>
    <row r="21" spans="2:24" x14ac:dyDescent="0.35">
      <c r="B21">
        <v>2023</v>
      </c>
      <c r="C21">
        <v>3</v>
      </c>
      <c r="D21">
        <v>682</v>
      </c>
      <c r="E21">
        <v>15</v>
      </c>
      <c r="F21">
        <f t="shared" si="0"/>
        <v>0</v>
      </c>
      <c r="G21">
        <f t="shared" si="1"/>
        <v>0</v>
      </c>
      <c r="H21">
        <f t="shared" si="2"/>
        <v>1</v>
      </c>
      <c r="I21">
        <f t="shared" si="3"/>
        <v>674.17499999999984</v>
      </c>
      <c r="J21">
        <f t="shared" si="4"/>
        <v>-7.8250000000001592</v>
      </c>
      <c r="K21">
        <f t="shared" si="5"/>
        <v>7.8250000000001592</v>
      </c>
      <c r="L21">
        <f t="shared" si="6"/>
        <v>61.23062500000249</v>
      </c>
      <c r="M21" s="11">
        <f t="shared" si="7"/>
        <v>1.1473607038123401E-2</v>
      </c>
      <c r="P21" t="s">
        <v>29</v>
      </c>
      <c r="Q21">
        <v>4</v>
      </c>
      <c r="R21">
        <v>137201.93611111108</v>
      </c>
      <c r="S21">
        <v>34300.484027777769</v>
      </c>
      <c r="T21">
        <v>3.7897970767054301</v>
      </c>
      <c r="U21">
        <v>2.9596240450261518E-2</v>
      </c>
    </row>
    <row r="22" spans="2:24" x14ac:dyDescent="0.35">
      <c r="B22">
        <v>2023</v>
      </c>
      <c r="C22">
        <v>4</v>
      </c>
      <c r="D22">
        <v>428</v>
      </c>
      <c r="E22">
        <v>16</v>
      </c>
      <c r="F22">
        <f t="shared" si="0"/>
        <v>0</v>
      </c>
      <c r="G22">
        <f t="shared" si="1"/>
        <v>0</v>
      </c>
      <c r="H22">
        <f t="shared" si="2"/>
        <v>0</v>
      </c>
      <c r="I22">
        <f t="shared" si="3"/>
        <v>683.92499999999984</v>
      </c>
      <c r="J22">
        <f t="shared" si="4"/>
        <v>255.92499999999984</v>
      </c>
      <c r="K22">
        <f t="shared" si="5"/>
        <v>255.92499999999984</v>
      </c>
      <c r="L22">
        <f t="shared" si="6"/>
        <v>65497.605624999916</v>
      </c>
      <c r="M22" s="11">
        <f t="shared" si="7"/>
        <v>0.59795560747663512</v>
      </c>
      <c r="P22" t="s">
        <v>30</v>
      </c>
      <c r="Q22">
        <v>13</v>
      </c>
      <c r="R22">
        <v>117659.675</v>
      </c>
      <c r="S22">
        <v>9050.7442307692309</v>
      </c>
    </row>
    <row r="23" spans="2:24" ht="15" thickBot="1" x14ac:dyDescent="0.4">
      <c r="B23">
        <v>2023</v>
      </c>
      <c r="C23">
        <v>1</v>
      </c>
      <c r="D23">
        <v>590</v>
      </c>
      <c r="E23">
        <v>17</v>
      </c>
      <c r="F23">
        <f t="shared" si="0"/>
        <v>1</v>
      </c>
      <c r="G23">
        <f t="shared" si="1"/>
        <v>0</v>
      </c>
      <c r="H23">
        <f t="shared" si="2"/>
        <v>0</v>
      </c>
      <c r="I23">
        <f t="shared" si="3"/>
        <v>469.89999999999986</v>
      </c>
      <c r="J23">
        <f t="shared" si="4"/>
        <v>-120.10000000000014</v>
      </c>
      <c r="K23">
        <f t="shared" si="5"/>
        <v>120.10000000000014</v>
      </c>
      <c r="L23">
        <f t="shared" si="6"/>
        <v>14424.010000000033</v>
      </c>
      <c r="M23" s="11">
        <f t="shared" si="7"/>
        <v>0.20355932203389854</v>
      </c>
      <c r="P23" s="3" t="s">
        <v>31</v>
      </c>
      <c r="Q23" s="3">
        <v>17</v>
      </c>
      <c r="R23" s="3">
        <v>254861.61111111107</v>
      </c>
      <c r="S23" s="3"/>
      <c r="T23" s="3"/>
      <c r="U23" s="3"/>
    </row>
    <row r="24" spans="2:24" ht="15" thickBot="1" x14ac:dyDescent="0.4">
      <c r="B24">
        <v>2023</v>
      </c>
      <c r="C24">
        <v>2</v>
      </c>
      <c r="D24">
        <v>616</v>
      </c>
      <c r="E24">
        <v>18</v>
      </c>
      <c r="F24">
        <f t="shared" si="0"/>
        <v>0</v>
      </c>
      <c r="G24">
        <f t="shared" si="1"/>
        <v>1</v>
      </c>
      <c r="H24">
        <f t="shared" si="2"/>
        <v>0</v>
      </c>
      <c r="I24">
        <f t="shared" si="3"/>
        <v>585.89999999999986</v>
      </c>
      <c r="J24">
        <f t="shared" si="4"/>
        <v>-30.100000000000136</v>
      </c>
      <c r="K24">
        <f t="shared" si="5"/>
        <v>30.100000000000136</v>
      </c>
      <c r="L24">
        <f t="shared" si="6"/>
        <v>906.01000000000818</v>
      </c>
      <c r="M24" s="11">
        <f t="shared" si="7"/>
        <v>4.8863636363636588E-2</v>
      </c>
    </row>
    <row r="25" spans="2:24" x14ac:dyDescent="0.35">
      <c r="B25">
        <v>2023</v>
      </c>
      <c r="C25">
        <v>3</v>
      </c>
      <c r="E25">
        <v>19</v>
      </c>
      <c r="F25">
        <f t="shared" si="0"/>
        <v>0</v>
      </c>
      <c r="G25">
        <f t="shared" si="1"/>
        <v>0</v>
      </c>
      <c r="H25">
        <f t="shared" si="2"/>
        <v>1</v>
      </c>
      <c r="I25">
        <f t="shared" si="3"/>
        <v>676.62499999999977</v>
      </c>
      <c r="P25" s="4"/>
      <c r="Q25" s="4" t="s">
        <v>38</v>
      </c>
      <c r="R25" s="4" t="s">
        <v>26</v>
      </c>
      <c r="S25" s="4" t="s">
        <v>39</v>
      </c>
      <c r="T25" s="4" t="s">
        <v>40</v>
      </c>
      <c r="U25" s="4" t="s">
        <v>41</v>
      </c>
      <c r="V25" s="4" t="s">
        <v>42</v>
      </c>
      <c r="W25" s="4" t="s">
        <v>43</v>
      </c>
      <c r="X25" s="4" t="s">
        <v>44</v>
      </c>
    </row>
    <row r="26" spans="2:24" x14ac:dyDescent="0.35">
      <c r="B26">
        <v>2023</v>
      </c>
      <c r="C26">
        <v>4</v>
      </c>
      <c r="E26">
        <v>20</v>
      </c>
      <c r="F26">
        <f t="shared" si="0"/>
        <v>0</v>
      </c>
      <c r="G26">
        <f t="shared" si="1"/>
        <v>0</v>
      </c>
      <c r="H26">
        <f t="shared" si="2"/>
        <v>0</v>
      </c>
      <c r="I26">
        <f t="shared" si="3"/>
        <v>686.37499999999989</v>
      </c>
      <c r="P26" t="s">
        <v>32</v>
      </c>
      <c r="Q26">
        <v>674.12499999999989</v>
      </c>
      <c r="R26">
        <v>64.406969905716707</v>
      </c>
      <c r="S26">
        <v>10.466646715205355</v>
      </c>
      <c r="T26">
        <v>1.0572440768870218E-7</v>
      </c>
      <c r="U26">
        <v>534.98220095794716</v>
      </c>
      <c r="V26">
        <v>813.26779904205262</v>
      </c>
      <c r="W26">
        <v>534.98220095794716</v>
      </c>
      <c r="X26">
        <v>813.26779904205262</v>
      </c>
    </row>
    <row r="27" spans="2:24" x14ac:dyDescent="0.35">
      <c r="B27">
        <v>2023</v>
      </c>
      <c r="C27">
        <v>1</v>
      </c>
      <c r="E27">
        <v>21</v>
      </c>
      <c r="F27">
        <f t="shared" si="0"/>
        <v>1</v>
      </c>
      <c r="G27">
        <f t="shared" si="1"/>
        <v>0</v>
      </c>
      <c r="H27">
        <f t="shared" si="2"/>
        <v>0</v>
      </c>
      <c r="I27">
        <f t="shared" si="3"/>
        <v>472.34999999999991</v>
      </c>
      <c r="P27" t="s">
        <v>0</v>
      </c>
      <c r="Q27">
        <v>0.61249999999999749</v>
      </c>
      <c r="R27">
        <v>4.3423170252108374</v>
      </c>
      <c r="S27">
        <v>0.14105372694898022</v>
      </c>
      <c r="T27">
        <v>0.8899897882116965</v>
      </c>
      <c r="U27">
        <v>-8.7685055976902504</v>
      </c>
      <c r="V27">
        <v>9.9935055976902447</v>
      </c>
      <c r="W27">
        <v>-8.7685055976902504</v>
      </c>
      <c r="X27">
        <v>9.9935055976902447</v>
      </c>
    </row>
    <row r="28" spans="2:24" x14ac:dyDescent="0.35">
      <c r="D28">
        <f>SUM(D7:D27)</f>
        <v>10633</v>
      </c>
      <c r="P28" t="s">
        <v>18</v>
      </c>
      <c r="Q28">
        <v>-214.63749999999996</v>
      </c>
      <c r="R28">
        <v>63.966324116628655</v>
      </c>
      <c r="S28">
        <v>-3.3554765411977598</v>
      </c>
      <c r="T28">
        <v>5.1660216909608552E-3</v>
      </c>
      <c r="U28">
        <v>-352.82834169070452</v>
      </c>
      <c r="V28">
        <v>-76.446658309295373</v>
      </c>
      <c r="W28">
        <v>-352.82834169070452</v>
      </c>
      <c r="X28">
        <v>-76.446658309295373</v>
      </c>
    </row>
    <row r="29" spans="2:24" x14ac:dyDescent="0.35">
      <c r="P29" t="s">
        <v>19</v>
      </c>
      <c r="Q29">
        <v>-99.250000000000043</v>
      </c>
      <c r="R29">
        <v>63.81876607900027</v>
      </c>
      <c r="S29">
        <v>-1.555185192348282</v>
      </c>
      <c r="T29">
        <v>0.14390244662584384</v>
      </c>
      <c r="U29">
        <v>-237.12206193120312</v>
      </c>
      <c r="V29">
        <v>38.622061931203021</v>
      </c>
      <c r="W29">
        <v>-237.12206193120312</v>
      </c>
      <c r="X29">
        <v>38.622061931203021</v>
      </c>
    </row>
    <row r="30" spans="2:24" ht="15" thickBot="1" x14ac:dyDescent="0.4">
      <c r="P30" s="3" t="s">
        <v>20</v>
      </c>
      <c r="Q30" s="3">
        <v>-9.1375000000000668</v>
      </c>
      <c r="R30" s="3">
        <v>67.410888085917193</v>
      </c>
      <c r="S30" s="3">
        <v>-0.13554931939709872</v>
      </c>
      <c r="T30" s="3">
        <v>0.89425398048360616</v>
      </c>
      <c r="U30" s="3">
        <v>-154.76986972513669</v>
      </c>
      <c r="V30" s="3">
        <v>136.49486972513654</v>
      </c>
      <c r="W30" s="3">
        <v>-154.76986972513669</v>
      </c>
      <c r="X30" s="3">
        <v>136.49486972513654</v>
      </c>
    </row>
    <row r="32" spans="2:24" x14ac:dyDescent="0.35">
      <c r="P32" t="s">
        <v>12</v>
      </c>
      <c r="Q32">
        <v>0.5</v>
      </c>
      <c r="S32" t="s">
        <v>13</v>
      </c>
      <c r="T32">
        <f>AVERAGE(K8:K24)</f>
        <v>54.51764705882357</v>
      </c>
    </row>
    <row r="33" spans="16:20" x14ac:dyDescent="0.35">
      <c r="P33" t="s">
        <v>10</v>
      </c>
      <c r="Q33">
        <v>0.4</v>
      </c>
      <c r="S33" t="s">
        <v>66</v>
      </c>
      <c r="T33">
        <f>AVERAGE(L8:L24)</f>
        <v>6811.886176470588</v>
      </c>
    </row>
    <row r="34" spans="16:20" x14ac:dyDescent="0.35">
      <c r="P34" t="s">
        <v>11</v>
      </c>
      <c r="Q34">
        <v>0.2</v>
      </c>
      <c r="S34" t="s">
        <v>14</v>
      </c>
      <c r="T34" s="12">
        <f>AVERAGE(M8:M24)</f>
        <v>0.10028507444546558</v>
      </c>
    </row>
  </sheetData>
  <mergeCells count="2">
    <mergeCell ref="B4:D4"/>
    <mergeCell ref="C3:K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0DEE-6984-40CA-857D-04609FAFEF32}">
  <dimension ref="B1:O75"/>
  <sheetViews>
    <sheetView zoomScale="84" workbookViewId="0">
      <selection activeCell="F5" sqref="F5"/>
    </sheetView>
  </sheetViews>
  <sheetFormatPr defaultRowHeight="14.5" x14ac:dyDescent="0.35"/>
  <cols>
    <col min="5" max="5" width="11.36328125" customWidth="1"/>
  </cols>
  <sheetData>
    <row r="1" spans="2:10" ht="17" x14ac:dyDescent="0.5">
      <c r="D1" s="20" t="s">
        <v>57</v>
      </c>
      <c r="E1" s="20"/>
      <c r="F1" s="20"/>
      <c r="G1" s="20"/>
    </row>
    <row r="2" spans="2:10" x14ac:dyDescent="0.35">
      <c r="B2" t="s">
        <v>59</v>
      </c>
    </row>
    <row r="3" spans="2:10" ht="29" x14ac:dyDescent="0.35">
      <c r="B3" s="1" t="s">
        <v>0</v>
      </c>
      <c r="C3" s="1" t="s">
        <v>1</v>
      </c>
      <c r="D3" s="1" t="s">
        <v>91</v>
      </c>
      <c r="E3" s="2" t="s">
        <v>109</v>
      </c>
      <c r="F3" s="1" t="s">
        <v>58</v>
      </c>
      <c r="G3" s="1" t="s">
        <v>64</v>
      </c>
      <c r="H3" s="1" t="s">
        <v>62</v>
      </c>
      <c r="I3" s="1" t="s">
        <v>63</v>
      </c>
      <c r="J3" s="1" t="s">
        <v>65</v>
      </c>
    </row>
    <row r="4" spans="2:10" x14ac:dyDescent="0.35">
      <c r="B4">
        <v>1</v>
      </c>
      <c r="C4">
        <v>2022</v>
      </c>
      <c r="D4" t="s">
        <v>92</v>
      </c>
      <c r="E4">
        <v>809</v>
      </c>
    </row>
    <row r="5" spans="2:10" x14ac:dyDescent="0.35">
      <c r="B5">
        <v>2</v>
      </c>
      <c r="C5">
        <v>2022</v>
      </c>
      <c r="D5" t="s">
        <v>93</v>
      </c>
      <c r="E5">
        <v>715</v>
      </c>
      <c r="F5">
        <f>E4</f>
        <v>809</v>
      </c>
      <c r="G5">
        <f>E5-F5</f>
        <v>-94</v>
      </c>
      <c r="H5">
        <f>ABS(G5)</f>
        <v>94</v>
      </c>
      <c r="I5">
        <f>H5*H5</f>
        <v>8836</v>
      </c>
      <c r="J5" s="11">
        <f>H5/E5</f>
        <v>0.13146853146853146</v>
      </c>
    </row>
    <row r="6" spans="2:10" x14ac:dyDescent="0.35">
      <c r="B6">
        <v>3</v>
      </c>
      <c r="C6">
        <v>2022</v>
      </c>
      <c r="D6" t="s">
        <v>94</v>
      </c>
      <c r="E6">
        <v>541</v>
      </c>
      <c r="F6">
        <f t="shared" ref="F6:F22" si="0">E5</f>
        <v>715</v>
      </c>
      <c r="G6">
        <f t="shared" ref="G6:G21" si="1">E6-F6</f>
        <v>-174</v>
      </c>
      <c r="H6">
        <f t="shared" ref="H6:H21" si="2">ABS(G6)</f>
        <v>174</v>
      </c>
      <c r="I6">
        <f t="shared" ref="I6:I21" si="3">H6*H6</f>
        <v>30276</v>
      </c>
      <c r="J6" s="11">
        <f t="shared" ref="J6:J21" si="4">H6/E6</f>
        <v>0.32162661737523107</v>
      </c>
    </row>
    <row r="7" spans="2:10" x14ac:dyDescent="0.35">
      <c r="B7">
        <v>4</v>
      </c>
      <c r="C7">
        <v>2022</v>
      </c>
      <c r="D7" t="s">
        <v>95</v>
      </c>
      <c r="E7">
        <v>994</v>
      </c>
      <c r="F7">
        <f t="shared" si="0"/>
        <v>541</v>
      </c>
      <c r="G7">
        <f t="shared" si="1"/>
        <v>453</v>
      </c>
      <c r="H7">
        <f t="shared" si="2"/>
        <v>453</v>
      </c>
      <c r="I7">
        <f t="shared" si="3"/>
        <v>205209</v>
      </c>
      <c r="J7" s="11">
        <f t="shared" si="4"/>
        <v>0.45573440643863178</v>
      </c>
    </row>
    <row r="8" spans="2:10" x14ac:dyDescent="0.35">
      <c r="B8">
        <v>5</v>
      </c>
      <c r="C8">
        <v>2022</v>
      </c>
      <c r="D8" t="s">
        <v>96</v>
      </c>
      <c r="E8">
        <v>745</v>
      </c>
      <c r="F8">
        <f t="shared" si="0"/>
        <v>994</v>
      </c>
      <c r="G8">
        <f t="shared" si="1"/>
        <v>-249</v>
      </c>
      <c r="H8">
        <f t="shared" si="2"/>
        <v>249</v>
      </c>
      <c r="I8">
        <f t="shared" si="3"/>
        <v>62001</v>
      </c>
      <c r="J8" s="11">
        <f t="shared" si="4"/>
        <v>0.33422818791946307</v>
      </c>
    </row>
    <row r="9" spans="2:10" x14ac:dyDescent="0.35">
      <c r="B9">
        <v>6</v>
      </c>
      <c r="C9">
        <v>2022</v>
      </c>
      <c r="D9" t="s">
        <v>97</v>
      </c>
      <c r="E9">
        <v>663</v>
      </c>
      <c r="F9">
        <f t="shared" si="0"/>
        <v>745</v>
      </c>
      <c r="G9">
        <f t="shared" si="1"/>
        <v>-82</v>
      </c>
      <c r="H9">
        <f t="shared" si="2"/>
        <v>82</v>
      </c>
      <c r="I9">
        <f t="shared" si="3"/>
        <v>6724</v>
      </c>
      <c r="J9" s="11">
        <f t="shared" si="4"/>
        <v>0.12368024132730016</v>
      </c>
    </row>
    <row r="10" spans="2:10" x14ac:dyDescent="0.35">
      <c r="B10">
        <v>7</v>
      </c>
      <c r="C10">
        <v>2022</v>
      </c>
      <c r="D10" t="s">
        <v>98</v>
      </c>
      <c r="E10">
        <v>607</v>
      </c>
      <c r="F10">
        <f t="shared" si="0"/>
        <v>663</v>
      </c>
      <c r="G10">
        <f t="shared" si="1"/>
        <v>-56</v>
      </c>
      <c r="H10">
        <f t="shared" si="2"/>
        <v>56</v>
      </c>
      <c r="I10">
        <f t="shared" si="3"/>
        <v>3136</v>
      </c>
      <c r="J10" s="11">
        <f t="shared" si="4"/>
        <v>9.2257001647446463E-2</v>
      </c>
    </row>
    <row r="11" spans="2:10" x14ac:dyDescent="0.35">
      <c r="B11">
        <v>8</v>
      </c>
      <c r="C11">
        <v>2022</v>
      </c>
      <c r="D11" t="s">
        <v>99</v>
      </c>
      <c r="E11">
        <v>976</v>
      </c>
      <c r="F11">
        <f t="shared" si="0"/>
        <v>607</v>
      </c>
      <c r="G11">
        <f t="shared" si="1"/>
        <v>369</v>
      </c>
      <c r="H11">
        <f t="shared" si="2"/>
        <v>369</v>
      </c>
      <c r="I11">
        <f t="shared" si="3"/>
        <v>136161</v>
      </c>
      <c r="J11" s="11">
        <f t="shared" si="4"/>
        <v>0.3780737704918033</v>
      </c>
    </row>
    <row r="12" spans="2:10" x14ac:dyDescent="0.35">
      <c r="B12">
        <v>9</v>
      </c>
      <c r="C12">
        <v>2022</v>
      </c>
      <c r="D12" t="s">
        <v>100</v>
      </c>
      <c r="E12">
        <v>752</v>
      </c>
      <c r="F12">
        <f t="shared" si="0"/>
        <v>976</v>
      </c>
      <c r="G12">
        <f t="shared" si="1"/>
        <v>-224</v>
      </c>
      <c r="H12">
        <f t="shared" si="2"/>
        <v>224</v>
      </c>
      <c r="I12">
        <f t="shared" si="3"/>
        <v>50176</v>
      </c>
      <c r="J12" s="11">
        <f t="shared" si="4"/>
        <v>0.2978723404255319</v>
      </c>
    </row>
    <row r="13" spans="2:10" x14ac:dyDescent="0.35">
      <c r="B13">
        <v>10</v>
      </c>
      <c r="C13">
        <v>2022</v>
      </c>
      <c r="D13" t="s">
        <v>101</v>
      </c>
      <c r="E13">
        <v>645</v>
      </c>
      <c r="F13">
        <f t="shared" si="0"/>
        <v>752</v>
      </c>
      <c r="G13">
        <f t="shared" si="1"/>
        <v>-107</v>
      </c>
      <c r="H13">
        <f t="shared" si="2"/>
        <v>107</v>
      </c>
      <c r="I13">
        <f t="shared" si="3"/>
        <v>11449</v>
      </c>
      <c r="J13" s="11">
        <f t="shared" si="4"/>
        <v>0.16589147286821707</v>
      </c>
    </row>
    <row r="14" spans="2:10" x14ac:dyDescent="0.35">
      <c r="B14">
        <v>11</v>
      </c>
      <c r="C14">
        <v>2022</v>
      </c>
      <c r="D14" t="s">
        <v>102</v>
      </c>
      <c r="E14">
        <v>618</v>
      </c>
      <c r="F14">
        <f t="shared" si="0"/>
        <v>645</v>
      </c>
      <c r="G14">
        <f t="shared" si="1"/>
        <v>-27</v>
      </c>
      <c r="H14">
        <f t="shared" si="2"/>
        <v>27</v>
      </c>
      <c r="I14">
        <f t="shared" si="3"/>
        <v>729</v>
      </c>
      <c r="J14" s="11">
        <f t="shared" si="4"/>
        <v>4.3689320388349516E-2</v>
      </c>
    </row>
    <row r="15" spans="2:10" x14ac:dyDescent="0.35">
      <c r="B15">
        <v>12</v>
      </c>
      <c r="C15">
        <v>2022</v>
      </c>
      <c r="D15" t="s">
        <v>103</v>
      </c>
      <c r="E15">
        <v>943</v>
      </c>
      <c r="F15">
        <f t="shared" si="0"/>
        <v>618</v>
      </c>
      <c r="G15">
        <f t="shared" si="1"/>
        <v>325</v>
      </c>
      <c r="H15">
        <f t="shared" si="2"/>
        <v>325</v>
      </c>
      <c r="I15">
        <f t="shared" si="3"/>
        <v>105625</v>
      </c>
      <c r="J15" s="11">
        <f t="shared" si="4"/>
        <v>0.34464475079533402</v>
      </c>
    </row>
    <row r="16" spans="2:10" x14ac:dyDescent="0.35">
      <c r="B16">
        <v>13</v>
      </c>
      <c r="C16">
        <v>2023</v>
      </c>
      <c r="D16" t="s">
        <v>92</v>
      </c>
      <c r="E16">
        <v>740</v>
      </c>
      <c r="F16">
        <f t="shared" si="0"/>
        <v>943</v>
      </c>
      <c r="G16">
        <f t="shared" si="1"/>
        <v>-203</v>
      </c>
      <c r="H16">
        <f t="shared" si="2"/>
        <v>203</v>
      </c>
      <c r="I16">
        <f t="shared" si="3"/>
        <v>41209</v>
      </c>
      <c r="J16" s="11">
        <f t="shared" si="4"/>
        <v>0.2743243243243243</v>
      </c>
    </row>
    <row r="17" spans="2:15" x14ac:dyDescent="0.35">
      <c r="B17">
        <v>14</v>
      </c>
      <c r="C17">
        <v>2023</v>
      </c>
      <c r="D17" t="s">
        <v>93</v>
      </c>
      <c r="E17">
        <v>686</v>
      </c>
      <c r="F17">
        <f t="shared" si="0"/>
        <v>740</v>
      </c>
      <c r="G17">
        <f t="shared" si="1"/>
        <v>-54</v>
      </c>
      <c r="H17">
        <f t="shared" si="2"/>
        <v>54</v>
      </c>
      <c r="I17">
        <f t="shared" si="3"/>
        <v>2916</v>
      </c>
      <c r="J17" s="11">
        <f t="shared" si="4"/>
        <v>7.8717201166180764E-2</v>
      </c>
    </row>
    <row r="18" spans="2:15" x14ac:dyDescent="0.35">
      <c r="B18">
        <v>15</v>
      </c>
      <c r="C18">
        <v>2023</v>
      </c>
      <c r="D18" t="s">
        <v>94</v>
      </c>
      <c r="E18">
        <v>572</v>
      </c>
      <c r="F18">
        <f t="shared" si="0"/>
        <v>686</v>
      </c>
      <c r="G18">
        <f t="shared" si="1"/>
        <v>-114</v>
      </c>
      <c r="H18">
        <f t="shared" si="2"/>
        <v>114</v>
      </c>
      <c r="I18">
        <f t="shared" si="3"/>
        <v>12996</v>
      </c>
      <c r="J18" s="11">
        <f t="shared" si="4"/>
        <v>0.1993006993006993</v>
      </c>
    </row>
    <row r="19" spans="2:15" x14ac:dyDescent="0.35">
      <c r="B19">
        <v>16</v>
      </c>
      <c r="C19">
        <v>2023</v>
      </c>
      <c r="D19" t="s">
        <v>95</v>
      </c>
      <c r="E19">
        <v>965</v>
      </c>
      <c r="F19">
        <f t="shared" si="0"/>
        <v>572</v>
      </c>
      <c r="G19">
        <f t="shared" si="1"/>
        <v>393</v>
      </c>
      <c r="H19">
        <f t="shared" si="2"/>
        <v>393</v>
      </c>
      <c r="I19">
        <f t="shared" si="3"/>
        <v>154449</v>
      </c>
      <c r="J19" s="11">
        <f t="shared" si="4"/>
        <v>0.40725388601036272</v>
      </c>
    </row>
    <row r="20" spans="2:15" x14ac:dyDescent="0.35">
      <c r="B20">
        <v>17</v>
      </c>
      <c r="C20">
        <v>2023</v>
      </c>
      <c r="D20" t="s">
        <v>96</v>
      </c>
      <c r="E20">
        <v>760</v>
      </c>
      <c r="F20">
        <f t="shared" si="0"/>
        <v>965</v>
      </c>
      <c r="G20">
        <f t="shared" si="1"/>
        <v>-205</v>
      </c>
      <c r="H20">
        <f t="shared" si="2"/>
        <v>205</v>
      </c>
      <c r="I20">
        <f t="shared" si="3"/>
        <v>42025</v>
      </c>
      <c r="J20" s="11">
        <f t="shared" si="4"/>
        <v>0.26973684210526316</v>
      </c>
    </row>
    <row r="21" spans="2:15" x14ac:dyDescent="0.35">
      <c r="B21">
        <v>18</v>
      </c>
      <c r="C21">
        <v>2023</v>
      </c>
      <c r="D21" t="s">
        <v>97</v>
      </c>
      <c r="E21">
        <v>726</v>
      </c>
      <c r="F21">
        <f t="shared" si="0"/>
        <v>760</v>
      </c>
      <c r="G21">
        <f t="shared" si="1"/>
        <v>-34</v>
      </c>
      <c r="H21">
        <f t="shared" si="2"/>
        <v>34</v>
      </c>
      <c r="I21">
        <f t="shared" si="3"/>
        <v>1156</v>
      </c>
      <c r="J21" s="11">
        <f t="shared" si="4"/>
        <v>4.6831955922865015E-2</v>
      </c>
    </row>
    <row r="22" spans="2:15" x14ac:dyDescent="0.35">
      <c r="B22">
        <v>19</v>
      </c>
      <c r="C22">
        <v>2023</v>
      </c>
      <c r="D22" t="s">
        <v>98</v>
      </c>
      <c r="F22">
        <f t="shared" si="0"/>
        <v>726</v>
      </c>
      <c r="J22" s="11"/>
    </row>
    <row r="23" spans="2:15" x14ac:dyDescent="0.35">
      <c r="L23" s="11"/>
      <c r="N23" t="s">
        <v>13</v>
      </c>
      <c r="O23">
        <f>AVERAGE(H5:H21)</f>
        <v>186.05882352941177</v>
      </c>
    </row>
    <row r="24" spans="2:15" x14ac:dyDescent="0.35">
      <c r="N24" t="s">
        <v>66</v>
      </c>
      <c r="O24">
        <f>AVERAGE(I5:I21)</f>
        <v>51474.882352941175</v>
      </c>
    </row>
    <row r="25" spans="2:15" x14ac:dyDescent="0.35">
      <c r="N25" t="s">
        <v>14</v>
      </c>
      <c r="O25" s="12">
        <f>AVERAGE(J5:J21)</f>
        <v>0.23325479705738444</v>
      </c>
    </row>
    <row r="27" spans="2:15" s="13" customFormat="1" x14ac:dyDescent="0.35">
      <c r="B27" s="13" t="s">
        <v>60</v>
      </c>
    </row>
    <row r="29" spans="2:15" x14ac:dyDescent="0.35">
      <c r="B29" s="1" t="s">
        <v>0</v>
      </c>
      <c r="C29" s="1" t="s">
        <v>1</v>
      </c>
      <c r="D29" s="1" t="s">
        <v>91</v>
      </c>
      <c r="E29" s="1" t="s">
        <v>54</v>
      </c>
      <c r="F29" s="1" t="s">
        <v>55</v>
      </c>
      <c r="G29" s="1" t="s">
        <v>56</v>
      </c>
      <c r="H29" s="1" t="s">
        <v>58</v>
      </c>
      <c r="I29" t="s">
        <v>64</v>
      </c>
      <c r="J29" t="s">
        <v>62</v>
      </c>
      <c r="K29" t="s">
        <v>63</v>
      </c>
      <c r="L29" t="s">
        <v>65</v>
      </c>
    </row>
    <row r="30" spans="2:15" x14ac:dyDescent="0.35">
      <c r="B30">
        <v>1</v>
      </c>
      <c r="C30">
        <v>2022</v>
      </c>
      <c r="D30" t="s">
        <v>92</v>
      </c>
      <c r="E30">
        <v>555</v>
      </c>
      <c r="F30">
        <v>15</v>
      </c>
      <c r="G30">
        <f>E30+F30</f>
        <v>570</v>
      </c>
    </row>
    <row r="31" spans="2:15" x14ac:dyDescent="0.35">
      <c r="B31">
        <v>2</v>
      </c>
      <c r="C31">
        <v>2022</v>
      </c>
      <c r="D31" t="s">
        <v>93</v>
      </c>
      <c r="E31">
        <v>670</v>
      </c>
      <c r="F31">
        <v>19</v>
      </c>
      <c r="G31">
        <f t="shared" ref="G31:G47" si="5">E31+F31</f>
        <v>689</v>
      </c>
      <c r="H31">
        <f>G30</f>
        <v>570</v>
      </c>
      <c r="I31">
        <f>G31-H31</f>
        <v>119</v>
      </c>
      <c r="J31">
        <f>ABS(I31)</f>
        <v>119</v>
      </c>
      <c r="K31">
        <f>J31*J31</f>
        <v>14161</v>
      </c>
      <c r="L31" s="11">
        <f>J31/G31</f>
        <v>0.17271407837445574</v>
      </c>
    </row>
    <row r="32" spans="2:15" x14ac:dyDescent="0.35">
      <c r="B32">
        <v>3</v>
      </c>
      <c r="C32">
        <v>2022</v>
      </c>
      <c r="D32" t="s">
        <v>94</v>
      </c>
      <c r="E32">
        <v>440</v>
      </c>
      <c r="F32">
        <v>16</v>
      </c>
      <c r="G32">
        <f t="shared" si="5"/>
        <v>456</v>
      </c>
      <c r="H32">
        <f t="shared" ref="H32:H48" si="6">G31</f>
        <v>689</v>
      </c>
      <c r="I32">
        <f t="shared" ref="I32:I47" si="7">G32-H32</f>
        <v>-233</v>
      </c>
      <c r="J32">
        <f t="shared" ref="J32:J47" si="8">ABS(I32)</f>
        <v>233</v>
      </c>
      <c r="K32">
        <f t="shared" ref="K32:K47" si="9">J32*J32</f>
        <v>54289</v>
      </c>
      <c r="L32" s="11">
        <f t="shared" ref="L32:L47" si="10">J32/G32</f>
        <v>0.51096491228070173</v>
      </c>
    </row>
    <row r="33" spans="2:15" x14ac:dyDescent="0.35">
      <c r="B33">
        <v>4</v>
      </c>
      <c r="C33">
        <v>2022</v>
      </c>
      <c r="D33" t="s">
        <v>95</v>
      </c>
      <c r="E33">
        <v>828</v>
      </c>
      <c r="F33">
        <v>17</v>
      </c>
      <c r="G33">
        <f t="shared" si="5"/>
        <v>845</v>
      </c>
      <c r="H33">
        <f t="shared" si="6"/>
        <v>456</v>
      </c>
      <c r="I33">
        <f t="shared" si="7"/>
        <v>389</v>
      </c>
      <c r="J33">
        <f t="shared" si="8"/>
        <v>389</v>
      </c>
      <c r="K33">
        <f t="shared" si="9"/>
        <v>151321</v>
      </c>
      <c r="L33" s="11">
        <f t="shared" si="10"/>
        <v>0.46035502958579883</v>
      </c>
    </row>
    <row r="34" spans="2:15" x14ac:dyDescent="0.35">
      <c r="B34">
        <v>5</v>
      </c>
      <c r="C34">
        <v>2022</v>
      </c>
      <c r="D34" t="s">
        <v>96</v>
      </c>
      <c r="E34">
        <v>549</v>
      </c>
      <c r="F34">
        <v>20</v>
      </c>
      <c r="G34">
        <f t="shared" si="5"/>
        <v>569</v>
      </c>
      <c r="H34">
        <f t="shared" si="6"/>
        <v>845</v>
      </c>
      <c r="I34">
        <f t="shared" si="7"/>
        <v>-276</v>
      </c>
      <c r="J34">
        <f t="shared" si="8"/>
        <v>276</v>
      </c>
      <c r="K34">
        <f t="shared" si="9"/>
        <v>76176</v>
      </c>
      <c r="L34" s="11">
        <f t="shared" si="10"/>
        <v>0.48506151142355008</v>
      </c>
    </row>
    <row r="35" spans="2:15" x14ac:dyDescent="0.35">
      <c r="B35">
        <v>6</v>
      </c>
      <c r="C35">
        <v>2022</v>
      </c>
      <c r="D35" t="s">
        <v>97</v>
      </c>
      <c r="E35">
        <v>600</v>
      </c>
      <c r="F35">
        <v>38</v>
      </c>
      <c r="G35">
        <f t="shared" si="5"/>
        <v>638</v>
      </c>
      <c r="H35">
        <f t="shared" si="6"/>
        <v>569</v>
      </c>
      <c r="I35">
        <f t="shared" si="7"/>
        <v>69</v>
      </c>
      <c r="J35">
        <f t="shared" si="8"/>
        <v>69</v>
      </c>
      <c r="K35">
        <f t="shared" si="9"/>
        <v>4761</v>
      </c>
      <c r="L35" s="11">
        <f t="shared" si="10"/>
        <v>0.10815047021943573</v>
      </c>
    </row>
    <row r="36" spans="2:15" x14ac:dyDescent="0.35">
      <c r="B36">
        <v>7</v>
      </c>
      <c r="C36">
        <v>2022</v>
      </c>
      <c r="D36" t="s">
        <v>98</v>
      </c>
      <c r="E36">
        <v>488</v>
      </c>
      <c r="F36">
        <v>14</v>
      </c>
      <c r="G36">
        <f t="shared" si="5"/>
        <v>502</v>
      </c>
      <c r="H36">
        <f t="shared" si="6"/>
        <v>638</v>
      </c>
      <c r="I36">
        <f t="shared" si="7"/>
        <v>-136</v>
      </c>
      <c r="J36">
        <f t="shared" si="8"/>
        <v>136</v>
      </c>
      <c r="K36">
        <f t="shared" si="9"/>
        <v>18496</v>
      </c>
      <c r="L36" s="11">
        <f t="shared" si="10"/>
        <v>0.27091633466135456</v>
      </c>
    </row>
    <row r="37" spans="2:15" x14ac:dyDescent="0.35">
      <c r="B37">
        <v>8</v>
      </c>
      <c r="C37">
        <v>2022</v>
      </c>
      <c r="D37" t="s">
        <v>99</v>
      </c>
      <c r="E37">
        <v>860</v>
      </c>
      <c r="F37">
        <v>18</v>
      </c>
      <c r="G37">
        <f t="shared" si="5"/>
        <v>878</v>
      </c>
      <c r="H37">
        <f t="shared" si="6"/>
        <v>502</v>
      </c>
      <c r="I37">
        <f t="shared" si="7"/>
        <v>376</v>
      </c>
      <c r="J37">
        <f t="shared" si="8"/>
        <v>376</v>
      </c>
      <c r="K37">
        <f t="shared" si="9"/>
        <v>141376</v>
      </c>
      <c r="L37" s="11">
        <f t="shared" si="10"/>
        <v>0.42824601366742598</v>
      </c>
    </row>
    <row r="38" spans="2:15" x14ac:dyDescent="0.35">
      <c r="B38">
        <v>9</v>
      </c>
      <c r="C38">
        <v>2022</v>
      </c>
      <c r="D38" t="s">
        <v>100</v>
      </c>
      <c r="E38">
        <v>542</v>
      </c>
      <c r="F38">
        <v>25</v>
      </c>
      <c r="G38">
        <f t="shared" si="5"/>
        <v>567</v>
      </c>
      <c r="H38">
        <f t="shared" si="6"/>
        <v>878</v>
      </c>
      <c r="I38">
        <f t="shared" si="7"/>
        <v>-311</v>
      </c>
      <c r="J38">
        <f t="shared" si="8"/>
        <v>311</v>
      </c>
      <c r="K38">
        <f t="shared" si="9"/>
        <v>96721</v>
      </c>
      <c r="L38" s="11">
        <f t="shared" si="10"/>
        <v>0.54850088183421519</v>
      </c>
    </row>
    <row r="39" spans="2:15" x14ac:dyDescent="0.35">
      <c r="B39">
        <v>10</v>
      </c>
      <c r="C39">
        <v>2022</v>
      </c>
      <c r="D39" t="s">
        <v>101</v>
      </c>
      <c r="E39">
        <v>645</v>
      </c>
      <c r="F39">
        <v>28</v>
      </c>
      <c r="G39">
        <f t="shared" si="5"/>
        <v>673</v>
      </c>
      <c r="H39">
        <f t="shared" si="6"/>
        <v>567</v>
      </c>
      <c r="I39">
        <f t="shared" si="7"/>
        <v>106</v>
      </c>
      <c r="J39">
        <f t="shared" si="8"/>
        <v>106</v>
      </c>
      <c r="K39">
        <f t="shared" si="9"/>
        <v>11236</v>
      </c>
      <c r="L39" s="11">
        <f t="shared" si="10"/>
        <v>0.1575037147102526</v>
      </c>
    </row>
    <row r="40" spans="2:15" x14ac:dyDescent="0.35">
      <c r="B40">
        <v>11</v>
      </c>
      <c r="C40">
        <v>2022</v>
      </c>
      <c r="D40" t="s">
        <v>102</v>
      </c>
      <c r="E40">
        <v>508</v>
      </c>
      <c r="F40">
        <v>30</v>
      </c>
      <c r="G40">
        <f t="shared" si="5"/>
        <v>538</v>
      </c>
      <c r="H40">
        <f t="shared" si="6"/>
        <v>673</v>
      </c>
      <c r="I40">
        <f t="shared" si="7"/>
        <v>-135</v>
      </c>
      <c r="J40">
        <f t="shared" si="8"/>
        <v>135</v>
      </c>
      <c r="K40">
        <f t="shared" si="9"/>
        <v>18225</v>
      </c>
      <c r="L40" s="11">
        <f t="shared" si="10"/>
        <v>0.25092936802973975</v>
      </c>
    </row>
    <row r="41" spans="2:15" x14ac:dyDescent="0.35">
      <c r="B41">
        <v>12</v>
      </c>
      <c r="C41">
        <v>2022</v>
      </c>
      <c r="D41" t="s">
        <v>103</v>
      </c>
      <c r="E41">
        <v>897</v>
      </c>
      <c r="F41">
        <v>13</v>
      </c>
      <c r="G41">
        <f t="shared" si="5"/>
        <v>910</v>
      </c>
      <c r="H41">
        <f t="shared" si="6"/>
        <v>538</v>
      </c>
      <c r="I41">
        <f t="shared" si="7"/>
        <v>372</v>
      </c>
      <c r="J41">
        <f t="shared" si="8"/>
        <v>372</v>
      </c>
      <c r="K41">
        <f t="shared" si="9"/>
        <v>138384</v>
      </c>
      <c r="L41" s="11">
        <f t="shared" si="10"/>
        <v>0.40879120879120878</v>
      </c>
    </row>
    <row r="42" spans="2:15" x14ac:dyDescent="0.35">
      <c r="B42">
        <v>13</v>
      </c>
      <c r="C42">
        <v>2023</v>
      </c>
      <c r="D42" t="s">
        <v>92</v>
      </c>
      <c r="E42">
        <v>604</v>
      </c>
      <c r="F42">
        <v>19</v>
      </c>
      <c r="G42">
        <f t="shared" si="5"/>
        <v>623</v>
      </c>
      <c r="H42">
        <f t="shared" si="6"/>
        <v>910</v>
      </c>
      <c r="I42">
        <f t="shared" si="7"/>
        <v>-287</v>
      </c>
      <c r="J42">
        <f t="shared" si="8"/>
        <v>287</v>
      </c>
      <c r="K42">
        <f t="shared" si="9"/>
        <v>82369</v>
      </c>
      <c r="L42" s="11">
        <f t="shared" si="10"/>
        <v>0.4606741573033708</v>
      </c>
    </row>
    <row r="43" spans="2:15" x14ac:dyDescent="0.35">
      <c r="B43">
        <v>14</v>
      </c>
      <c r="C43">
        <v>2023</v>
      </c>
      <c r="D43" t="s">
        <v>93</v>
      </c>
      <c r="E43">
        <v>457</v>
      </c>
      <c r="F43">
        <v>31</v>
      </c>
      <c r="G43">
        <f t="shared" si="5"/>
        <v>488</v>
      </c>
      <c r="H43">
        <f t="shared" si="6"/>
        <v>623</v>
      </c>
      <c r="I43">
        <f t="shared" si="7"/>
        <v>-135</v>
      </c>
      <c r="J43">
        <f t="shared" si="8"/>
        <v>135</v>
      </c>
      <c r="K43">
        <f t="shared" si="9"/>
        <v>18225</v>
      </c>
      <c r="L43" s="11">
        <f t="shared" si="10"/>
        <v>0.27663934426229508</v>
      </c>
    </row>
    <row r="44" spans="2:15" x14ac:dyDescent="0.35">
      <c r="B44">
        <v>15</v>
      </c>
      <c r="C44">
        <v>2023</v>
      </c>
      <c r="D44" t="s">
        <v>94</v>
      </c>
      <c r="E44">
        <v>677</v>
      </c>
      <c r="F44">
        <v>12</v>
      </c>
      <c r="G44">
        <f t="shared" si="5"/>
        <v>689</v>
      </c>
      <c r="H44">
        <f t="shared" si="6"/>
        <v>488</v>
      </c>
      <c r="I44">
        <f t="shared" si="7"/>
        <v>201</v>
      </c>
      <c r="J44">
        <f t="shared" si="8"/>
        <v>201</v>
      </c>
      <c r="K44">
        <f t="shared" si="9"/>
        <v>40401</v>
      </c>
      <c r="L44" s="11">
        <f t="shared" si="10"/>
        <v>0.29172714078374457</v>
      </c>
    </row>
    <row r="45" spans="2:15" x14ac:dyDescent="0.35">
      <c r="B45">
        <v>16</v>
      </c>
      <c r="C45">
        <v>2023</v>
      </c>
      <c r="D45" t="s">
        <v>95</v>
      </c>
      <c r="E45">
        <v>976</v>
      </c>
      <c r="F45">
        <v>13</v>
      </c>
      <c r="G45">
        <f t="shared" si="5"/>
        <v>989</v>
      </c>
      <c r="H45">
        <f t="shared" si="6"/>
        <v>689</v>
      </c>
      <c r="I45">
        <f t="shared" si="7"/>
        <v>300</v>
      </c>
      <c r="J45">
        <f t="shared" si="8"/>
        <v>300</v>
      </c>
      <c r="K45">
        <f t="shared" si="9"/>
        <v>90000</v>
      </c>
      <c r="L45" s="11">
        <f t="shared" si="10"/>
        <v>0.30333670374115268</v>
      </c>
    </row>
    <row r="46" spans="2:15" x14ac:dyDescent="0.35">
      <c r="B46">
        <v>17</v>
      </c>
      <c r="C46">
        <v>2023</v>
      </c>
      <c r="D46" t="s">
        <v>96</v>
      </c>
      <c r="E46">
        <v>456</v>
      </c>
      <c r="F46">
        <v>11</v>
      </c>
      <c r="G46">
        <f t="shared" si="5"/>
        <v>467</v>
      </c>
      <c r="H46">
        <f t="shared" si="6"/>
        <v>989</v>
      </c>
      <c r="I46">
        <f t="shared" si="7"/>
        <v>-522</v>
      </c>
      <c r="J46">
        <f t="shared" si="8"/>
        <v>522</v>
      </c>
      <c r="K46">
        <f t="shared" si="9"/>
        <v>272484</v>
      </c>
      <c r="L46" s="11">
        <f t="shared" si="10"/>
        <v>1.1177730192719486</v>
      </c>
    </row>
    <row r="47" spans="2:15" x14ac:dyDescent="0.35">
      <c r="B47">
        <v>18</v>
      </c>
      <c r="C47">
        <v>2023</v>
      </c>
      <c r="D47" t="s">
        <v>97</v>
      </c>
      <c r="E47">
        <v>602</v>
      </c>
      <c r="F47">
        <v>10</v>
      </c>
      <c r="G47">
        <f t="shared" si="5"/>
        <v>612</v>
      </c>
      <c r="H47">
        <f t="shared" si="6"/>
        <v>467</v>
      </c>
      <c r="I47">
        <f t="shared" si="7"/>
        <v>145</v>
      </c>
      <c r="J47">
        <f t="shared" si="8"/>
        <v>145</v>
      </c>
      <c r="K47">
        <f t="shared" si="9"/>
        <v>21025</v>
      </c>
      <c r="L47" s="11">
        <f t="shared" si="10"/>
        <v>0.23692810457516339</v>
      </c>
      <c r="N47" t="s">
        <v>13</v>
      </c>
      <c r="O47">
        <f>AVERAGE(J31:J47)</f>
        <v>241.88235294117646</v>
      </c>
    </row>
    <row r="48" spans="2:15" x14ac:dyDescent="0.35">
      <c r="B48">
        <v>19</v>
      </c>
      <c r="C48">
        <v>2023</v>
      </c>
      <c r="D48" t="s">
        <v>98</v>
      </c>
      <c r="H48">
        <f t="shared" si="6"/>
        <v>612</v>
      </c>
      <c r="N48" t="s">
        <v>66</v>
      </c>
      <c r="O48">
        <f>AVERAGE(K31:K47)</f>
        <v>73508.823529411762</v>
      </c>
    </row>
    <row r="49" spans="2:15" x14ac:dyDescent="0.35">
      <c r="B49">
        <v>20</v>
      </c>
      <c r="N49" t="s">
        <v>14</v>
      </c>
      <c r="O49">
        <f>AVERAGE(L31:L47)</f>
        <v>0.38171835255975378</v>
      </c>
    </row>
    <row r="52" spans="2:15" s="13" customFormat="1" x14ac:dyDescent="0.35">
      <c r="B52" s="13" t="s">
        <v>61</v>
      </c>
    </row>
    <row r="54" spans="2:15" x14ac:dyDescent="0.35">
      <c r="B54" s="1" t="s">
        <v>0</v>
      </c>
      <c r="C54" s="1" t="s">
        <v>1</v>
      </c>
      <c r="D54" s="1" t="s">
        <v>91</v>
      </c>
      <c r="E54" s="1" t="s">
        <v>56</v>
      </c>
      <c r="F54" s="1" t="s">
        <v>58</v>
      </c>
      <c r="G54" t="s">
        <v>64</v>
      </c>
      <c r="H54" t="s">
        <v>62</v>
      </c>
      <c r="I54" t="s">
        <v>63</v>
      </c>
      <c r="J54" t="s">
        <v>65</v>
      </c>
    </row>
    <row r="55" spans="2:15" x14ac:dyDescent="0.35">
      <c r="B55">
        <v>1</v>
      </c>
      <c r="C55">
        <v>2022</v>
      </c>
      <c r="D55" t="s">
        <v>92</v>
      </c>
      <c r="E55">
        <v>417</v>
      </c>
    </row>
    <row r="56" spans="2:15" x14ac:dyDescent="0.35">
      <c r="B56">
        <v>2</v>
      </c>
      <c r="C56">
        <v>2022</v>
      </c>
      <c r="D56" t="s">
        <v>93</v>
      </c>
      <c r="E56">
        <v>546</v>
      </c>
      <c r="F56">
        <f>E55</f>
        <v>417</v>
      </c>
      <c r="G56">
        <f>E56-F56</f>
        <v>129</v>
      </c>
      <c r="H56">
        <f>ABS(G56)</f>
        <v>129</v>
      </c>
      <c r="I56">
        <f>H56*H56</f>
        <v>16641</v>
      </c>
      <c r="J56" s="11">
        <f>H56/E56</f>
        <v>0.23626373626373626</v>
      </c>
    </row>
    <row r="57" spans="2:15" x14ac:dyDescent="0.35">
      <c r="B57">
        <v>3</v>
      </c>
      <c r="C57">
        <v>2022</v>
      </c>
      <c r="D57" t="s">
        <v>94</v>
      </c>
      <c r="E57">
        <v>625</v>
      </c>
      <c r="F57">
        <f t="shared" ref="F57:F73" si="11">E56</f>
        <v>546</v>
      </c>
      <c r="G57">
        <f t="shared" ref="G57:G72" si="12">E57-F57</f>
        <v>79</v>
      </c>
      <c r="H57">
        <f t="shared" ref="H57:H72" si="13">ABS(G57)</f>
        <v>79</v>
      </c>
      <c r="I57">
        <f t="shared" ref="I57:I72" si="14">H57*H57</f>
        <v>6241</v>
      </c>
      <c r="J57" s="11">
        <f t="shared" ref="J57:J72" si="15">H57/E57</f>
        <v>0.12640000000000001</v>
      </c>
    </row>
    <row r="58" spans="2:15" x14ac:dyDescent="0.35">
      <c r="B58">
        <v>4</v>
      </c>
      <c r="C58">
        <v>2022</v>
      </c>
      <c r="D58" t="s">
        <v>95</v>
      </c>
      <c r="E58">
        <v>780</v>
      </c>
      <c r="F58">
        <f t="shared" si="11"/>
        <v>625</v>
      </c>
      <c r="G58">
        <f t="shared" si="12"/>
        <v>155</v>
      </c>
      <c r="H58">
        <f t="shared" si="13"/>
        <v>155</v>
      </c>
      <c r="I58">
        <f t="shared" si="14"/>
        <v>24025</v>
      </c>
      <c r="J58" s="11">
        <f t="shared" si="15"/>
        <v>0.19871794871794871</v>
      </c>
    </row>
    <row r="59" spans="2:15" x14ac:dyDescent="0.35">
      <c r="B59">
        <v>5</v>
      </c>
      <c r="C59">
        <v>2022</v>
      </c>
      <c r="D59" t="s">
        <v>96</v>
      </c>
      <c r="E59">
        <v>424</v>
      </c>
      <c r="F59">
        <f t="shared" si="11"/>
        <v>780</v>
      </c>
      <c r="G59">
        <f t="shared" si="12"/>
        <v>-356</v>
      </c>
      <c r="H59">
        <f t="shared" si="13"/>
        <v>356</v>
      </c>
      <c r="I59">
        <f t="shared" si="14"/>
        <v>126736</v>
      </c>
      <c r="J59" s="11">
        <f t="shared" si="15"/>
        <v>0.839622641509434</v>
      </c>
    </row>
    <row r="60" spans="2:15" x14ac:dyDescent="0.35">
      <c r="B60">
        <v>6</v>
      </c>
      <c r="C60">
        <v>2022</v>
      </c>
      <c r="D60" t="s">
        <v>97</v>
      </c>
      <c r="E60">
        <v>579</v>
      </c>
      <c r="F60">
        <f t="shared" si="11"/>
        <v>424</v>
      </c>
      <c r="G60">
        <f t="shared" si="12"/>
        <v>155</v>
      </c>
      <c r="H60">
        <f t="shared" si="13"/>
        <v>155</v>
      </c>
      <c r="I60">
        <f t="shared" si="14"/>
        <v>24025</v>
      </c>
      <c r="J60" s="11">
        <f t="shared" si="15"/>
        <v>0.26770293609671847</v>
      </c>
    </row>
    <row r="61" spans="2:15" x14ac:dyDescent="0.35">
      <c r="B61">
        <v>7</v>
      </c>
      <c r="C61">
        <v>2022</v>
      </c>
      <c r="D61" t="s">
        <v>98</v>
      </c>
      <c r="E61">
        <v>683</v>
      </c>
      <c r="F61">
        <f t="shared" si="11"/>
        <v>579</v>
      </c>
      <c r="G61">
        <f t="shared" si="12"/>
        <v>104</v>
      </c>
      <c r="H61">
        <f t="shared" si="13"/>
        <v>104</v>
      </c>
      <c r="I61">
        <f t="shared" si="14"/>
        <v>10816</v>
      </c>
      <c r="J61" s="11">
        <f t="shared" si="15"/>
        <v>0.15226939970717424</v>
      </c>
    </row>
    <row r="62" spans="2:15" x14ac:dyDescent="0.35">
      <c r="B62">
        <v>8</v>
      </c>
      <c r="C62">
        <v>2022</v>
      </c>
      <c r="D62" t="s">
        <v>99</v>
      </c>
      <c r="E62">
        <v>793</v>
      </c>
      <c r="F62">
        <f t="shared" si="11"/>
        <v>683</v>
      </c>
      <c r="G62">
        <f t="shared" si="12"/>
        <v>110</v>
      </c>
      <c r="H62">
        <f t="shared" si="13"/>
        <v>110</v>
      </c>
      <c r="I62">
        <f t="shared" si="14"/>
        <v>12100</v>
      </c>
      <c r="J62" s="11">
        <f t="shared" si="15"/>
        <v>0.13871374527112232</v>
      </c>
    </row>
    <row r="63" spans="2:15" x14ac:dyDescent="0.35">
      <c r="B63">
        <v>9</v>
      </c>
      <c r="C63">
        <v>2022</v>
      </c>
      <c r="D63" t="s">
        <v>100</v>
      </c>
      <c r="E63">
        <v>401</v>
      </c>
      <c r="F63">
        <f t="shared" si="11"/>
        <v>793</v>
      </c>
      <c r="G63">
        <f t="shared" si="12"/>
        <v>-392</v>
      </c>
      <c r="H63">
        <f t="shared" si="13"/>
        <v>392</v>
      </c>
      <c r="I63">
        <f t="shared" si="14"/>
        <v>153664</v>
      </c>
      <c r="J63" s="11">
        <f t="shared" si="15"/>
        <v>0.97755610972568574</v>
      </c>
    </row>
    <row r="64" spans="2:15" x14ac:dyDescent="0.35">
      <c r="B64">
        <v>10</v>
      </c>
      <c r="C64">
        <v>2022</v>
      </c>
      <c r="D64" t="s">
        <v>101</v>
      </c>
      <c r="E64">
        <v>592</v>
      </c>
      <c r="F64">
        <f t="shared" si="11"/>
        <v>401</v>
      </c>
      <c r="G64">
        <f t="shared" si="12"/>
        <v>191</v>
      </c>
      <c r="H64">
        <f t="shared" si="13"/>
        <v>191</v>
      </c>
      <c r="I64">
        <f t="shared" si="14"/>
        <v>36481</v>
      </c>
      <c r="J64" s="11">
        <f t="shared" si="15"/>
        <v>0.32263513513513514</v>
      </c>
    </row>
    <row r="65" spans="2:13" x14ac:dyDescent="0.35">
      <c r="B65">
        <v>11</v>
      </c>
      <c r="C65">
        <v>2022</v>
      </c>
      <c r="D65" t="s">
        <v>102</v>
      </c>
      <c r="E65">
        <v>692</v>
      </c>
      <c r="F65">
        <f t="shared" si="11"/>
        <v>592</v>
      </c>
      <c r="G65">
        <f t="shared" si="12"/>
        <v>100</v>
      </c>
      <c r="H65">
        <f t="shared" si="13"/>
        <v>100</v>
      </c>
      <c r="I65">
        <f t="shared" si="14"/>
        <v>10000</v>
      </c>
      <c r="J65" s="11">
        <f t="shared" si="15"/>
        <v>0.14450867052023122</v>
      </c>
    </row>
    <row r="66" spans="2:13" x14ac:dyDescent="0.35">
      <c r="B66">
        <v>12</v>
      </c>
      <c r="C66">
        <v>2022</v>
      </c>
      <c r="D66" t="s">
        <v>103</v>
      </c>
      <c r="E66">
        <v>720</v>
      </c>
      <c r="F66">
        <f t="shared" si="11"/>
        <v>692</v>
      </c>
      <c r="G66">
        <f t="shared" si="12"/>
        <v>28</v>
      </c>
      <c r="H66">
        <f t="shared" si="13"/>
        <v>28</v>
      </c>
      <c r="I66">
        <f t="shared" si="14"/>
        <v>784</v>
      </c>
      <c r="J66" s="11">
        <f t="shared" si="15"/>
        <v>3.888888888888889E-2</v>
      </c>
    </row>
    <row r="67" spans="2:13" x14ac:dyDescent="0.35">
      <c r="B67">
        <v>13</v>
      </c>
      <c r="C67">
        <v>2023</v>
      </c>
      <c r="D67" t="s">
        <v>92</v>
      </c>
      <c r="E67">
        <v>493</v>
      </c>
      <c r="F67">
        <f t="shared" si="11"/>
        <v>720</v>
      </c>
      <c r="G67">
        <f t="shared" si="12"/>
        <v>-227</v>
      </c>
      <c r="H67">
        <f t="shared" si="13"/>
        <v>227</v>
      </c>
      <c r="I67">
        <f t="shared" si="14"/>
        <v>51529</v>
      </c>
      <c r="J67" s="11">
        <f t="shared" si="15"/>
        <v>0.46044624746450302</v>
      </c>
    </row>
    <row r="68" spans="2:13" x14ac:dyDescent="0.35">
      <c r="B68">
        <v>14</v>
      </c>
      <c r="C68">
        <v>2023</v>
      </c>
      <c r="D68" t="s">
        <v>93</v>
      </c>
      <c r="E68">
        <v>572</v>
      </c>
      <c r="F68">
        <f t="shared" si="11"/>
        <v>493</v>
      </c>
      <c r="G68">
        <f t="shared" si="12"/>
        <v>79</v>
      </c>
      <c r="H68">
        <f t="shared" si="13"/>
        <v>79</v>
      </c>
      <c r="I68">
        <f t="shared" si="14"/>
        <v>6241</v>
      </c>
      <c r="J68" s="11">
        <f t="shared" si="15"/>
        <v>0.1381118881118881</v>
      </c>
    </row>
    <row r="69" spans="2:13" x14ac:dyDescent="0.35">
      <c r="B69">
        <v>15</v>
      </c>
      <c r="C69">
        <v>2023</v>
      </c>
      <c r="D69" t="s">
        <v>94</v>
      </c>
      <c r="E69">
        <v>682</v>
      </c>
      <c r="F69">
        <f t="shared" si="11"/>
        <v>572</v>
      </c>
      <c r="G69">
        <f t="shared" si="12"/>
        <v>110</v>
      </c>
      <c r="H69">
        <f t="shared" si="13"/>
        <v>110</v>
      </c>
      <c r="I69">
        <f t="shared" si="14"/>
        <v>12100</v>
      </c>
      <c r="J69" s="11">
        <f t="shared" si="15"/>
        <v>0.16129032258064516</v>
      </c>
    </row>
    <row r="70" spans="2:13" x14ac:dyDescent="0.35">
      <c r="B70">
        <v>16</v>
      </c>
      <c r="C70">
        <v>2023</v>
      </c>
      <c r="D70" t="s">
        <v>95</v>
      </c>
      <c r="E70">
        <v>428</v>
      </c>
      <c r="F70">
        <f t="shared" si="11"/>
        <v>682</v>
      </c>
      <c r="G70">
        <f t="shared" si="12"/>
        <v>-254</v>
      </c>
      <c r="H70">
        <f t="shared" si="13"/>
        <v>254</v>
      </c>
      <c r="I70">
        <f t="shared" si="14"/>
        <v>64516</v>
      </c>
      <c r="J70" s="11">
        <f t="shared" si="15"/>
        <v>0.59345794392523366</v>
      </c>
    </row>
    <row r="71" spans="2:13" x14ac:dyDescent="0.35">
      <c r="B71">
        <v>17</v>
      </c>
      <c r="C71">
        <v>2023</v>
      </c>
      <c r="D71" t="s">
        <v>96</v>
      </c>
      <c r="E71">
        <v>590</v>
      </c>
      <c r="F71">
        <f t="shared" si="11"/>
        <v>428</v>
      </c>
      <c r="G71">
        <f t="shared" si="12"/>
        <v>162</v>
      </c>
      <c r="H71">
        <f t="shared" si="13"/>
        <v>162</v>
      </c>
      <c r="I71">
        <f t="shared" si="14"/>
        <v>26244</v>
      </c>
      <c r="J71" s="11">
        <f t="shared" si="15"/>
        <v>0.27457627118644068</v>
      </c>
    </row>
    <row r="72" spans="2:13" x14ac:dyDescent="0.35">
      <c r="B72">
        <v>18</v>
      </c>
      <c r="C72">
        <v>2023</v>
      </c>
      <c r="D72" t="s">
        <v>97</v>
      </c>
      <c r="E72">
        <v>616</v>
      </c>
      <c r="F72">
        <f t="shared" si="11"/>
        <v>590</v>
      </c>
      <c r="G72">
        <f t="shared" si="12"/>
        <v>26</v>
      </c>
      <c r="H72">
        <f t="shared" si="13"/>
        <v>26</v>
      </c>
      <c r="I72">
        <f t="shared" si="14"/>
        <v>676</v>
      </c>
      <c r="J72" s="11">
        <f t="shared" si="15"/>
        <v>4.2207792207792208E-2</v>
      </c>
    </row>
    <row r="73" spans="2:13" x14ac:dyDescent="0.35">
      <c r="B73">
        <v>19</v>
      </c>
      <c r="C73">
        <v>2023</v>
      </c>
      <c r="D73" t="s">
        <v>98</v>
      </c>
      <c r="F73">
        <f t="shared" si="11"/>
        <v>616</v>
      </c>
      <c r="L73" t="s">
        <v>13</v>
      </c>
      <c r="M73">
        <f>AVERAGE(H56:H72)</f>
        <v>156.29411764705881</v>
      </c>
    </row>
    <row r="74" spans="2:13" x14ac:dyDescent="0.35">
      <c r="B74">
        <v>20</v>
      </c>
      <c r="L74" t="s">
        <v>66</v>
      </c>
      <c r="M74">
        <f>AVERAGE(I56:I72)</f>
        <v>34283.470588235294</v>
      </c>
    </row>
    <row r="75" spans="2:13" x14ac:dyDescent="0.35">
      <c r="L75" t="s">
        <v>14</v>
      </c>
      <c r="M75">
        <f>AVERAGE(J56:J72)</f>
        <v>0.30078645160662226</v>
      </c>
    </row>
  </sheetData>
  <mergeCells count="1">
    <mergeCell ref="D1:G1"/>
  </mergeCells>
  <phoneticPr fontId="13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21A83-BA0E-45A7-AFDA-F24B057B7C21}">
  <dimension ref="B1:P76"/>
  <sheetViews>
    <sheetView zoomScale="77" workbookViewId="0">
      <selection activeCell="F8" sqref="F8"/>
    </sheetView>
  </sheetViews>
  <sheetFormatPr defaultRowHeight="14.5" x14ac:dyDescent="0.35"/>
  <cols>
    <col min="5" max="5" width="10.453125" customWidth="1"/>
  </cols>
  <sheetData>
    <row r="1" spans="2:10" x14ac:dyDescent="0.35">
      <c r="C1" s="6" t="s">
        <v>89</v>
      </c>
      <c r="D1" s="6"/>
      <c r="E1" s="6"/>
      <c r="F1" s="6"/>
    </row>
    <row r="2" spans="2:10" x14ac:dyDescent="0.35">
      <c r="B2" t="s">
        <v>59</v>
      </c>
    </row>
    <row r="3" spans="2:10" ht="29" x14ac:dyDescent="0.35">
      <c r="B3" s="1" t="s">
        <v>0</v>
      </c>
      <c r="C3" s="1" t="s">
        <v>1</v>
      </c>
      <c r="D3" s="1" t="s">
        <v>91</v>
      </c>
      <c r="E3" s="2" t="s">
        <v>109</v>
      </c>
      <c r="F3" s="1" t="s">
        <v>58</v>
      </c>
      <c r="G3" s="1" t="s">
        <v>64</v>
      </c>
      <c r="H3" s="1" t="s">
        <v>62</v>
      </c>
      <c r="I3" s="1" t="s">
        <v>63</v>
      </c>
      <c r="J3" s="1" t="s">
        <v>65</v>
      </c>
    </row>
    <row r="4" spans="2:10" x14ac:dyDescent="0.35">
      <c r="B4">
        <v>1</v>
      </c>
      <c r="C4">
        <v>2022</v>
      </c>
      <c r="D4" t="s">
        <v>92</v>
      </c>
      <c r="E4">
        <v>809</v>
      </c>
    </row>
    <row r="5" spans="2:10" x14ac:dyDescent="0.35">
      <c r="B5">
        <v>2</v>
      </c>
      <c r="C5">
        <v>2022</v>
      </c>
      <c r="D5" t="s">
        <v>93</v>
      </c>
      <c r="E5">
        <v>715</v>
      </c>
    </row>
    <row r="6" spans="2:10" x14ac:dyDescent="0.35">
      <c r="B6">
        <v>3</v>
      </c>
      <c r="C6">
        <v>2022</v>
      </c>
      <c r="D6" t="s">
        <v>94</v>
      </c>
      <c r="E6">
        <v>541</v>
      </c>
    </row>
    <row r="7" spans="2:10" x14ac:dyDescent="0.35">
      <c r="B7">
        <v>4</v>
      </c>
      <c r="C7">
        <v>2022</v>
      </c>
      <c r="D7" t="s">
        <v>95</v>
      </c>
      <c r="E7">
        <v>994</v>
      </c>
    </row>
    <row r="8" spans="2:10" x14ac:dyDescent="0.35">
      <c r="B8">
        <v>5</v>
      </c>
      <c r="C8">
        <v>2022</v>
      </c>
      <c r="D8" t="s">
        <v>96</v>
      </c>
      <c r="E8">
        <v>745</v>
      </c>
      <c r="F8">
        <f>ROUND(AVERAGE(E4:E7),0)</f>
        <v>765</v>
      </c>
      <c r="G8">
        <f>F8-E8</f>
        <v>20</v>
      </c>
      <c r="H8">
        <f>ABS(G8)</f>
        <v>20</v>
      </c>
      <c r="I8">
        <f>H8*H8</f>
        <v>400</v>
      </c>
      <c r="J8" s="11">
        <f>H8/E8</f>
        <v>2.6845637583892617E-2</v>
      </c>
    </row>
    <row r="9" spans="2:10" x14ac:dyDescent="0.35">
      <c r="B9">
        <v>6</v>
      </c>
      <c r="C9">
        <v>2022</v>
      </c>
      <c r="D9" t="s">
        <v>97</v>
      </c>
      <c r="E9">
        <v>663</v>
      </c>
      <c r="F9">
        <f t="shared" ref="F9:F23" si="0">ROUND(AVERAGE(E5:E8),0)</f>
        <v>749</v>
      </c>
      <c r="G9">
        <f t="shared" ref="G9:G21" si="1">F9-E9</f>
        <v>86</v>
      </c>
      <c r="H9">
        <f t="shared" ref="H9:H21" si="2">ABS(G9)</f>
        <v>86</v>
      </c>
      <c r="I9">
        <f t="shared" ref="I9:I21" si="3">H9*H9</f>
        <v>7396</v>
      </c>
      <c r="J9" s="11">
        <f t="shared" ref="J9:J21" si="4">H9/E9</f>
        <v>0.1297134238310709</v>
      </c>
    </row>
    <row r="10" spans="2:10" x14ac:dyDescent="0.35">
      <c r="B10">
        <v>7</v>
      </c>
      <c r="C10">
        <v>2022</v>
      </c>
      <c r="D10" t="s">
        <v>98</v>
      </c>
      <c r="E10">
        <v>607</v>
      </c>
      <c r="F10">
        <f t="shared" si="0"/>
        <v>736</v>
      </c>
      <c r="G10">
        <f t="shared" si="1"/>
        <v>129</v>
      </c>
      <c r="H10">
        <f t="shared" si="2"/>
        <v>129</v>
      </c>
      <c r="I10">
        <f t="shared" si="3"/>
        <v>16641</v>
      </c>
      <c r="J10" s="11">
        <f t="shared" si="4"/>
        <v>0.21252059308072488</v>
      </c>
    </row>
    <row r="11" spans="2:10" x14ac:dyDescent="0.35">
      <c r="B11">
        <v>8</v>
      </c>
      <c r="C11">
        <v>2022</v>
      </c>
      <c r="D11" t="s">
        <v>99</v>
      </c>
      <c r="E11">
        <v>976</v>
      </c>
      <c r="F11">
        <f t="shared" si="0"/>
        <v>752</v>
      </c>
      <c r="G11">
        <f t="shared" si="1"/>
        <v>-224</v>
      </c>
      <c r="H11">
        <f t="shared" si="2"/>
        <v>224</v>
      </c>
      <c r="I11">
        <f t="shared" si="3"/>
        <v>50176</v>
      </c>
      <c r="J11" s="11">
        <f t="shared" si="4"/>
        <v>0.22950819672131148</v>
      </c>
    </row>
    <row r="12" spans="2:10" x14ac:dyDescent="0.35">
      <c r="B12">
        <v>9</v>
      </c>
      <c r="C12">
        <v>2022</v>
      </c>
      <c r="D12" t="s">
        <v>100</v>
      </c>
      <c r="E12">
        <v>752</v>
      </c>
      <c r="F12">
        <f t="shared" si="0"/>
        <v>748</v>
      </c>
      <c r="G12">
        <f t="shared" si="1"/>
        <v>-4</v>
      </c>
      <c r="H12">
        <f t="shared" si="2"/>
        <v>4</v>
      </c>
      <c r="I12">
        <f t="shared" si="3"/>
        <v>16</v>
      </c>
      <c r="J12" s="11">
        <f t="shared" si="4"/>
        <v>5.3191489361702126E-3</v>
      </c>
    </row>
    <row r="13" spans="2:10" x14ac:dyDescent="0.35">
      <c r="B13">
        <v>10</v>
      </c>
      <c r="C13">
        <v>2022</v>
      </c>
      <c r="D13" t="s">
        <v>101</v>
      </c>
      <c r="E13">
        <v>645</v>
      </c>
      <c r="F13">
        <f t="shared" si="0"/>
        <v>750</v>
      </c>
      <c r="G13">
        <f t="shared" si="1"/>
        <v>105</v>
      </c>
      <c r="H13">
        <f t="shared" si="2"/>
        <v>105</v>
      </c>
      <c r="I13">
        <f t="shared" si="3"/>
        <v>11025</v>
      </c>
      <c r="J13" s="11">
        <f t="shared" si="4"/>
        <v>0.16279069767441862</v>
      </c>
    </row>
    <row r="14" spans="2:10" x14ac:dyDescent="0.35">
      <c r="B14">
        <v>11</v>
      </c>
      <c r="C14">
        <v>2022</v>
      </c>
      <c r="D14" t="s">
        <v>102</v>
      </c>
      <c r="E14">
        <v>618</v>
      </c>
      <c r="F14">
        <f t="shared" si="0"/>
        <v>745</v>
      </c>
      <c r="G14">
        <f t="shared" si="1"/>
        <v>127</v>
      </c>
      <c r="H14">
        <f t="shared" si="2"/>
        <v>127</v>
      </c>
      <c r="I14">
        <f t="shared" si="3"/>
        <v>16129</v>
      </c>
      <c r="J14" s="11">
        <f t="shared" si="4"/>
        <v>0.20550161812297735</v>
      </c>
    </row>
    <row r="15" spans="2:10" x14ac:dyDescent="0.35">
      <c r="B15">
        <v>12</v>
      </c>
      <c r="C15">
        <v>2022</v>
      </c>
      <c r="D15" t="s">
        <v>103</v>
      </c>
      <c r="E15">
        <v>943</v>
      </c>
      <c r="F15">
        <f t="shared" si="0"/>
        <v>748</v>
      </c>
      <c r="G15">
        <f t="shared" si="1"/>
        <v>-195</v>
      </c>
      <c r="H15">
        <f t="shared" si="2"/>
        <v>195</v>
      </c>
      <c r="I15">
        <f t="shared" si="3"/>
        <v>38025</v>
      </c>
      <c r="J15" s="11">
        <f t="shared" si="4"/>
        <v>0.20678685047720041</v>
      </c>
    </row>
    <row r="16" spans="2:10" x14ac:dyDescent="0.35">
      <c r="B16">
        <v>13</v>
      </c>
      <c r="C16">
        <v>2023</v>
      </c>
      <c r="D16" t="s">
        <v>92</v>
      </c>
      <c r="E16">
        <v>740</v>
      </c>
      <c r="F16">
        <f t="shared" si="0"/>
        <v>740</v>
      </c>
      <c r="G16">
        <f t="shared" si="1"/>
        <v>0</v>
      </c>
      <c r="H16">
        <f t="shared" si="2"/>
        <v>0</v>
      </c>
      <c r="I16">
        <f t="shared" si="3"/>
        <v>0</v>
      </c>
      <c r="J16" s="11">
        <f t="shared" si="4"/>
        <v>0</v>
      </c>
    </row>
    <row r="17" spans="2:14" x14ac:dyDescent="0.35">
      <c r="B17">
        <v>14</v>
      </c>
      <c r="C17">
        <v>2023</v>
      </c>
      <c r="D17" t="s">
        <v>93</v>
      </c>
      <c r="E17">
        <v>686</v>
      </c>
      <c r="F17">
        <f t="shared" si="0"/>
        <v>737</v>
      </c>
      <c r="G17">
        <f t="shared" si="1"/>
        <v>51</v>
      </c>
      <c r="H17">
        <f t="shared" si="2"/>
        <v>51</v>
      </c>
      <c r="I17">
        <f t="shared" si="3"/>
        <v>2601</v>
      </c>
      <c r="J17" s="11">
        <f t="shared" si="4"/>
        <v>7.4344023323615158E-2</v>
      </c>
    </row>
    <row r="18" spans="2:14" x14ac:dyDescent="0.35">
      <c r="B18">
        <v>15</v>
      </c>
      <c r="C18">
        <v>2023</v>
      </c>
      <c r="D18" t="s">
        <v>94</v>
      </c>
      <c r="E18">
        <v>572</v>
      </c>
      <c r="F18">
        <f t="shared" si="0"/>
        <v>747</v>
      </c>
      <c r="G18">
        <f t="shared" si="1"/>
        <v>175</v>
      </c>
      <c r="H18">
        <f t="shared" si="2"/>
        <v>175</v>
      </c>
      <c r="I18">
        <f t="shared" si="3"/>
        <v>30625</v>
      </c>
      <c r="J18" s="11">
        <f t="shared" si="4"/>
        <v>0.30594405594405594</v>
      </c>
    </row>
    <row r="19" spans="2:14" x14ac:dyDescent="0.35">
      <c r="B19">
        <v>16</v>
      </c>
      <c r="C19">
        <v>2023</v>
      </c>
      <c r="D19" t="s">
        <v>95</v>
      </c>
      <c r="E19">
        <v>965</v>
      </c>
      <c r="F19">
        <f t="shared" si="0"/>
        <v>735</v>
      </c>
      <c r="G19">
        <f t="shared" si="1"/>
        <v>-230</v>
      </c>
      <c r="H19">
        <f t="shared" si="2"/>
        <v>230</v>
      </c>
      <c r="I19">
        <f t="shared" si="3"/>
        <v>52900</v>
      </c>
      <c r="J19" s="11">
        <f t="shared" si="4"/>
        <v>0.23834196891191708</v>
      </c>
    </row>
    <row r="20" spans="2:14" x14ac:dyDescent="0.35">
      <c r="B20">
        <v>17</v>
      </c>
      <c r="C20">
        <v>2023</v>
      </c>
      <c r="D20" t="s">
        <v>96</v>
      </c>
      <c r="E20">
        <v>760</v>
      </c>
      <c r="F20">
        <f t="shared" si="0"/>
        <v>741</v>
      </c>
      <c r="G20">
        <f t="shared" si="1"/>
        <v>-19</v>
      </c>
      <c r="H20">
        <f t="shared" si="2"/>
        <v>19</v>
      </c>
      <c r="I20">
        <f t="shared" si="3"/>
        <v>361</v>
      </c>
      <c r="J20" s="11">
        <f t="shared" si="4"/>
        <v>2.5000000000000001E-2</v>
      </c>
    </row>
    <row r="21" spans="2:14" x14ac:dyDescent="0.35">
      <c r="B21">
        <v>18</v>
      </c>
      <c r="C21">
        <v>2023</v>
      </c>
      <c r="D21" t="s">
        <v>97</v>
      </c>
      <c r="E21">
        <v>726</v>
      </c>
      <c r="F21">
        <f t="shared" si="0"/>
        <v>746</v>
      </c>
      <c r="G21">
        <f t="shared" si="1"/>
        <v>20</v>
      </c>
      <c r="H21">
        <f t="shared" si="2"/>
        <v>20</v>
      </c>
      <c r="I21">
        <f t="shared" si="3"/>
        <v>400</v>
      </c>
      <c r="J21" s="11">
        <f t="shared" si="4"/>
        <v>2.7548209366391185E-2</v>
      </c>
      <c r="M21" t="s">
        <v>13</v>
      </c>
      <c r="N21">
        <f>AVERAGE(H8:H21)</f>
        <v>98.928571428571431</v>
      </c>
    </row>
    <row r="22" spans="2:14" x14ac:dyDescent="0.35">
      <c r="B22">
        <v>19</v>
      </c>
      <c r="C22">
        <v>2023</v>
      </c>
      <c r="D22" t="s">
        <v>98</v>
      </c>
      <c r="F22">
        <f t="shared" si="0"/>
        <v>756</v>
      </c>
      <c r="J22" s="11"/>
      <c r="M22" t="s">
        <v>66</v>
      </c>
      <c r="N22">
        <f>AVERAGE(I8:I21)</f>
        <v>16192.5</v>
      </c>
    </row>
    <row r="23" spans="2:14" x14ac:dyDescent="0.35">
      <c r="B23">
        <v>20</v>
      </c>
      <c r="C23">
        <v>2023</v>
      </c>
      <c r="D23" t="s">
        <v>99</v>
      </c>
      <c r="F23">
        <f t="shared" si="0"/>
        <v>817</v>
      </c>
      <c r="J23" s="11"/>
      <c r="M23" t="s">
        <v>14</v>
      </c>
      <c r="N23" s="12">
        <f>AVERAGE(J8:J21)</f>
        <v>0.13215460171241042</v>
      </c>
    </row>
    <row r="26" spans="2:14" ht="15" thickBot="1" x14ac:dyDescent="0.4"/>
    <row r="27" spans="2:14" s="16" customFormat="1" ht="15" thickTop="1" x14ac:dyDescent="0.35">
      <c r="C27" s="16" t="s">
        <v>60</v>
      </c>
    </row>
    <row r="29" spans="2:14" x14ac:dyDescent="0.35">
      <c r="B29" s="1" t="s">
        <v>0</v>
      </c>
      <c r="C29" s="1" t="s">
        <v>1</v>
      </c>
      <c r="D29" s="1" t="s">
        <v>91</v>
      </c>
      <c r="E29" s="1" t="s">
        <v>54</v>
      </c>
      <c r="F29" s="1" t="s">
        <v>55</v>
      </c>
      <c r="G29" s="1" t="s">
        <v>56</v>
      </c>
      <c r="H29" s="1" t="s">
        <v>58</v>
      </c>
      <c r="I29" s="1" t="s">
        <v>64</v>
      </c>
      <c r="J29" s="1" t="s">
        <v>62</v>
      </c>
      <c r="K29" s="1" t="s">
        <v>63</v>
      </c>
      <c r="L29" s="1" t="s">
        <v>65</v>
      </c>
    </row>
    <row r="30" spans="2:14" x14ac:dyDescent="0.35">
      <c r="B30">
        <v>1</v>
      </c>
      <c r="C30">
        <v>2022</v>
      </c>
      <c r="D30" t="s">
        <v>92</v>
      </c>
      <c r="E30">
        <v>555</v>
      </c>
      <c r="F30">
        <v>15</v>
      </c>
      <c r="G30">
        <f>E30+F30</f>
        <v>570</v>
      </c>
    </row>
    <row r="31" spans="2:14" x14ac:dyDescent="0.35">
      <c r="B31">
        <v>2</v>
      </c>
      <c r="C31">
        <v>2022</v>
      </c>
      <c r="D31" t="s">
        <v>93</v>
      </c>
      <c r="E31">
        <v>670</v>
      </c>
      <c r="F31">
        <v>19</v>
      </c>
      <c r="G31">
        <f t="shared" ref="G31:G47" si="5">E31+F31</f>
        <v>689</v>
      </c>
    </row>
    <row r="32" spans="2:14" x14ac:dyDescent="0.35">
      <c r="B32">
        <v>3</v>
      </c>
      <c r="C32">
        <v>2022</v>
      </c>
      <c r="D32" t="s">
        <v>94</v>
      </c>
      <c r="E32">
        <v>440</v>
      </c>
      <c r="F32">
        <v>16</v>
      </c>
      <c r="G32">
        <f t="shared" si="5"/>
        <v>456</v>
      </c>
    </row>
    <row r="33" spans="2:16" x14ac:dyDescent="0.35">
      <c r="B33">
        <v>4</v>
      </c>
      <c r="C33">
        <v>2022</v>
      </c>
      <c r="D33" t="s">
        <v>95</v>
      </c>
      <c r="E33">
        <v>828</v>
      </c>
      <c r="F33">
        <v>17</v>
      </c>
      <c r="G33">
        <f t="shared" si="5"/>
        <v>845</v>
      </c>
    </row>
    <row r="34" spans="2:16" x14ac:dyDescent="0.35">
      <c r="B34">
        <v>5</v>
      </c>
      <c r="C34">
        <v>2022</v>
      </c>
      <c r="D34" t="s">
        <v>96</v>
      </c>
      <c r="E34">
        <v>549</v>
      </c>
      <c r="F34">
        <v>20</v>
      </c>
      <c r="G34">
        <f t="shared" si="5"/>
        <v>569</v>
      </c>
      <c r="H34">
        <f>ROUND(AVERAGE(G30:G33),0)</f>
        <v>640</v>
      </c>
      <c r="I34">
        <f>H34-G34</f>
        <v>71</v>
      </c>
      <c r="J34">
        <f>ABS(I34)</f>
        <v>71</v>
      </c>
      <c r="K34">
        <f>J34*J34</f>
        <v>5041</v>
      </c>
      <c r="L34" s="11">
        <f>J34/G34</f>
        <v>0.12478031634446397</v>
      </c>
    </row>
    <row r="35" spans="2:16" x14ac:dyDescent="0.35">
      <c r="B35">
        <v>6</v>
      </c>
      <c r="C35">
        <v>2022</v>
      </c>
      <c r="D35" t="s">
        <v>97</v>
      </c>
      <c r="E35">
        <v>600</v>
      </c>
      <c r="F35">
        <v>38</v>
      </c>
      <c r="G35">
        <f t="shared" si="5"/>
        <v>638</v>
      </c>
      <c r="H35">
        <f t="shared" ref="H35:H49" si="6">ROUND(AVERAGE(G31:G34),0)</f>
        <v>640</v>
      </c>
      <c r="I35">
        <f t="shared" ref="I35:I47" si="7">H35-G35</f>
        <v>2</v>
      </c>
      <c r="J35">
        <f t="shared" ref="J35:J47" si="8">ABS(I35)</f>
        <v>2</v>
      </c>
      <c r="K35">
        <f t="shared" ref="K35:K47" si="9">J35*J35</f>
        <v>4</v>
      </c>
      <c r="L35" s="11">
        <f t="shared" ref="L35:L47" si="10">J35/G35</f>
        <v>3.134796238244514E-3</v>
      </c>
    </row>
    <row r="36" spans="2:16" x14ac:dyDescent="0.35">
      <c r="B36">
        <v>7</v>
      </c>
      <c r="C36">
        <v>2022</v>
      </c>
      <c r="D36" t="s">
        <v>98</v>
      </c>
      <c r="E36">
        <v>488</v>
      </c>
      <c r="F36">
        <v>14</v>
      </c>
      <c r="G36">
        <f t="shared" si="5"/>
        <v>502</v>
      </c>
      <c r="H36">
        <f t="shared" si="6"/>
        <v>627</v>
      </c>
      <c r="I36">
        <f t="shared" si="7"/>
        <v>125</v>
      </c>
      <c r="J36">
        <f t="shared" si="8"/>
        <v>125</v>
      </c>
      <c r="K36">
        <f t="shared" si="9"/>
        <v>15625</v>
      </c>
      <c r="L36" s="11">
        <f t="shared" si="10"/>
        <v>0.24900398406374502</v>
      </c>
    </row>
    <row r="37" spans="2:16" x14ac:dyDescent="0.35">
      <c r="B37">
        <v>8</v>
      </c>
      <c r="C37">
        <v>2022</v>
      </c>
      <c r="D37" t="s">
        <v>99</v>
      </c>
      <c r="E37">
        <v>860</v>
      </c>
      <c r="F37">
        <v>18</v>
      </c>
      <c r="G37">
        <f t="shared" si="5"/>
        <v>878</v>
      </c>
      <c r="H37">
        <f t="shared" si="6"/>
        <v>639</v>
      </c>
      <c r="I37">
        <f t="shared" si="7"/>
        <v>-239</v>
      </c>
      <c r="J37">
        <f t="shared" si="8"/>
        <v>239</v>
      </c>
      <c r="K37">
        <f t="shared" si="9"/>
        <v>57121</v>
      </c>
      <c r="L37" s="11">
        <f t="shared" si="10"/>
        <v>0.27220956719817768</v>
      </c>
    </row>
    <row r="38" spans="2:16" x14ac:dyDescent="0.35">
      <c r="B38">
        <v>9</v>
      </c>
      <c r="C38">
        <v>2022</v>
      </c>
      <c r="D38" t="s">
        <v>100</v>
      </c>
      <c r="E38">
        <v>542</v>
      </c>
      <c r="F38">
        <v>25</v>
      </c>
      <c r="G38">
        <f t="shared" si="5"/>
        <v>567</v>
      </c>
      <c r="H38">
        <f t="shared" si="6"/>
        <v>647</v>
      </c>
      <c r="I38">
        <f t="shared" si="7"/>
        <v>80</v>
      </c>
      <c r="J38">
        <f t="shared" si="8"/>
        <v>80</v>
      </c>
      <c r="K38">
        <f t="shared" si="9"/>
        <v>6400</v>
      </c>
      <c r="L38" s="11">
        <f t="shared" si="10"/>
        <v>0.14109347442680775</v>
      </c>
    </row>
    <row r="39" spans="2:16" x14ac:dyDescent="0.35">
      <c r="B39">
        <v>10</v>
      </c>
      <c r="C39">
        <v>2022</v>
      </c>
      <c r="D39" t="s">
        <v>101</v>
      </c>
      <c r="E39">
        <v>645</v>
      </c>
      <c r="F39">
        <v>28</v>
      </c>
      <c r="G39">
        <f t="shared" si="5"/>
        <v>673</v>
      </c>
      <c r="H39">
        <f t="shared" si="6"/>
        <v>646</v>
      </c>
      <c r="I39">
        <f t="shared" si="7"/>
        <v>-27</v>
      </c>
      <c r="J39">
        <f t="shared" si="8"/>
        <v>27</v>
      </c>
      <c r="K39">
        <f t="shared" si="9"/>
        <v>729</v>
      </c>
      <c r="L39" s="11">
        <f t="shared" si="10"/>
        <v>4.0118870728083213E-2</v>
      </c>
    </row>
    <row r="40" spans="2:16" x14ac:dyDescent="0.35">
      <c r="B40">
        <v>11</v>
      </c>
      <c r="C40">
        <v>2022</v>
      </c>
      <c r="D40" t="s">
        <v>102</v>
      </c>
      <c r="E40">
        <v>508</v>
      </c>
      <c r="F40">
        <v>30</v>
      </c>
      <c r="G40">
        <f t="shared" si="5"/>
        <v>538</v>
      </c>
      <c r="H40">
        <f t="shared" si="6"/>
        <v>655</v>
      </c>
      <c r="I40">
        <f t="shared" si="7"/>
        <v>117</v>
      </c>
      <c r="J40">
        <f t="shared" si="8"/>
        <v>117</v>
      </c>
      <c r="K40">
        <f t="shared" si="9"/>
        <v>13689</v>
      </c>
      <c r="L40" s="11">
        <f t="shared" si="10"/>
        <v>0.21747211895910781</v>
      </c>
    </row>
    <row r="41" spans="2:16" x14ac:dyDescent="0.35">
      <c r="B41">
        <v>12</v>
      </c>
      <c r="C41">
        <v>2022</v>
      </c>
      <c r="D41" t="s">
        <v>103</v>
      </c>
      <c r="E41">
        <v>897</v>
      </c>
      <c r="F41">
        <v>13</v>
      </c>
      <c r="G41">
        <f t="shared" si="5"/>
        <v>910</v>
      </c>
      <c r="H41">
        <f t="shared" si="6"/>
        <v>664</v>
      </c>
      <c r="I41">
        <f t="shared" si="7"/>
        <v>-246</v>
      </c>
      <c r="J41">
        <f t="shared" si="8"/>
        <v>246</v>
      </c>
      <c r="K41">
        <f t="shared" si="9"/>
        <v>60516</v>
      </c>
      <c r="L41" s="11">
        <f t="shared" si="10"/>
        <v>0.27032967032967031</v>
      </c>
    </row>
    <row r="42" spans="2:16" x14ac:dyDescent="0.35">
      <c r="B42">
        <v>13</v>
      </c>
      <c r="C42">
        <v>2023</v>
      </c>
      <c r="D42" t="s">
        <v>92</v>
      </c>
      <c r="E42">
        <v>604</v>
      </c>
      <c r="F42">
        <v>19</v>
      </c>
      <c r="G42">
        <f t="shared" si="5"/>
        <v>623</v>
      </c>
      <c r="H42">
        <f t="shared" si="6"/>
        <v>672</v>
      </c>
      <c r="I42">
        <f t="shared" si="7"/>
        <v>49</v>
      </c>
      <c r="J42">
        <f t="shared" si="8"/>
        <v>49</v>
      </c>
      <c r="K42">
        <f t="shared" si="9"/>
        <v>2401</v>
      </c>
      <c r="L42" s="11">
        <f t="shared" si="10"/>
        <v>7.8651685393258425E-2</v>
      </c>
    </row>
    <row r="43" spans="2:16" x14ac:dyDescent="0.35">
      <c r="B43">
        <v>14</v>
      </c>
      <c r="C43">
        <v>2023</v>
      </c>
      <c r="D43" t="s">
        <v>93</v>
      </c>
      <c r="E43">
        <v>457</v>
      </c>
      <c r="F43">
        <v>31</v>
      </c>
      <c r="G43">
        <f t="shared" si="5"/>
        <v>488</v>
      </c>
      <c r="H43">
        <f t="shared" si="6"/>
        <v>686</v>
      </c>
      <c r="I43">
        <f t="shared" si="7"/>
        <v>198</v>
      </c>
      <c r="J43">
        <f t="shared" si="8"/>
        <v>198</v>
      </c>
      <c r="K43">
        <f t="shared" si="9"/>
        <v>39204</v>
      </c>
      <c r="L43" s="11">
        <f t="shared" si="10"/>
        <v>0.40573770491803279</v>
      </c>
    </row>
    <row r="44" spans="2:16" x14ac:dyDescent="0.35">
      <c r="B44">
        <v>15</v>
      </c>
      <c r="C44">
        <v>2023</v>
      </c>
      <c r="D44" t="s">
        <v>94</v>
      </c>
      <c r="E44">
        <v>677</v>
      </c>
      <c r="F44">
        <v>12</v>
      </c>
      <c r="G44">
        <f t="shared" si="5"/>
        <v>689</v>
      </c>
      <c r="H44">
        <f t="shared" si="6"/>
        <v>640</v>
      </c>
      <c r="I44">
        <f t="shared" si="7"/>
        <v>-49</v>
      </c>
      <c r="J44">
        <f t="shared" si="8"/>
        <v>49</v>
      </c>
      <c r="K44">
        <f t="shared" si="9"/>
        <v>2401</v>
      </c>
      <c r="L44" s="11">
        <f t="shared" si="10"/>
        <v>7.1117561683599423E-2</v>
      </c>
    </row>
    <row r="45" spans="2:16" x14ac:dyDescent="0.35">
      <c r="B45">
        <v>16</v>
      </c>
      <c r="C45">
        <v>2023</v>
      </c>
      <c r="D45" t="s">
        <v>95</v>
      </c>
      <c r="E45">
        <v>976</v>
      </c>
      <c r="F45">
        <v>13</v>
      </c>
      <c r="G45">
        <f t="shared" si="5"/>
        <v>989</v>
      </c>
      <c r="H45">
        <f t="shared" si="6"/>
        <v>678</v>
      </c>
      <c r="I45">
        <f t="shared" si="7"/>
        <v>-311</v>
      </c>
      <c r="J45">
        <f t="shared" si="8"/>
        <v>311</v>
      </c>
      <c r="K45">
        <f t="shared" si="9"/>
        <v>96721</v>
      </c>
      <c r="L45" s="11">
        <f t="shared" si="10"/>
        <v>0.31445904954499493</v>
      </c>
      <c r="O45" t="s">
        <v>13</v>
      </c>
      <c r="P45">
        <f>AVERAGE(J34:J47)</f>
        <v>127.85714285714286</v>
      </c>
    </row>
    <row r="46" spans="2:16" x14ac:dyDescent="0.35">
      <c r="B46">
        <v>17</v>
      </c>
      <c r="C46">
        <v>2023</v>
      </c>
      <c r="D46" t="s">
        <v>96</v>
      </c>
      <c r="E46">
        <v>456</v>
      </c>
      <c r="F46">
        <v>11</v>
      </c>
      <c r="G46">
        <f t="shared" si="5"/>
        <v>467</v>
      </c>
      <c r="H46">
        <f t="shared" si="6"/>
        <v>697</v>
      </c>
      <c r="I46">
        <f t="shared" si="7"/>
        <v>230</v>
      </c>
      <c r="J46">
        <f t="shared" si="8"/>
        <v>230</v>
      </c>
      <c r="K46">
        <f t="shared" si="9"/>
        <v>52900</v>
      </c>
      <c r="L46" s="11">
        <f t="shared" si="10"/>
        <v>0.49250535331905781</v>
      </c>
      <c r="O46" t="s">
        <v>66</v>
      </c>
      <c r="P46">
        <f>AVERAGE(K34:K47)</f>
        <v>25347.714285714286</v>
      </c>
    </row>
    <row r="47" spans="2:16" x14ac:dyDescent="0.35">
      <c r="B47">
        <v>18</v>
      </c>
      <c r="C47">
        <v>2023</v>
      </c>
      <c r="D47" t="s">
        <v>97</v>
      </c>
      <c r="E47">
        <v>602</v>
      </c>
      <c r="F47">
        <v>10</v>
      </c>
      <c r="G47">
        <f t="shared" si="5"/>
        <v>612</v>
      </c>
      <c r="H47">
        <f t="shared" si="6"/>
        <v>658</v>
      </c>
      <c r="I47">
        <f t="shared" si="7"/>
        <v>46</v>
      </c>
      <c r="J47">
        <f t="shared" si="8"/>
        <v>46</v>
      </c>
      <c r="K47">
        <f t="shared" si="9"/>
        <v>2116</v>
      </c>
      <c r="L47" s="11">
        <f t="shared" si="10"/>
        <v>7.5163398692810454E-2</v>
      </c>
      <c r="O47" t="s">
        <v>14</v>
      </c>
      <c r="P47" s="12">
        <f>AVERAGE(L34:L47)</f>
        <v>0.19684125370286104</v>
      </c>
    </row>
    <row r="48" spans="2:16" x14ac:dyDescent="0.35">
      <c r="B48">
        <v>19</v>
      </c>
      <c r="C48">
        <v>2023</v>
      </c>
      <c r="D48" t="s">
        <v>98</v>
      </c>
      <c r="H48">
        <f t="shared" si="6"/>
        <v>689</v>
      </c>
    </row>
    <row r="49" spans="2:10" x14ac:dyDescent="0.35">
      <c r="B49">
        <v>20</v>
      </c>
      <c r="C49">
        <v>2023</v>
      </c>
      <c r="D49" t="s">
        <v>99</v>
      </c>
      <c r="H49">
        <f t="shared" si="6"/>
        <v>689</v>
      </c>
    </row>
    <row r="53" spans="2:10" s="13" customFormat="1" x14ac:dyDescent="0.35">
      <c r="B53" s="13" t="s">
        <v>61</v>
      </c>
    </row>
    <row r="55" spans="2:10" x14ac:dyDescent="0.35">
      <c r="B55" s="1" t="s">
        <v>0</v>
      </c>
      <c r="C55" s="1" t="s">
        <v>1</v>
      </c>
      <c r="D55" s="1" t="s">
        <v>91</v>
      </c>
      <c r="E55" s="1" t="s">
        <v>56</v>
      </c>
      <c r="F55" s="1" t="s">
        <v>58</v>
      </c>
      <c r="G55" s="1" t="s">
        <v>64</v>
      </c>
      <c r="H55" s="1" t="s">
        <v>62</v>
      </c>
      <c r="I55" s="1" t="s">
        <v>63</v>
      </c>
      <c r="J55" s="1" t="s">
        <v>65</v>
      </c>
    </row>
    <row r="56" spans="2:10" x14ac:dyDescent="0.35">
      <c r="B56">
        <v>1</v>
      </c>
      <c r="C56">
        <v>2022</v>
      </c>
      <c r="D56" t="s">
        <v>92</v>
      </c>
      <c r="E56">
        <v>417</v>
      </c>
    </row>
    <row r="57" spans="2:10" x14ac:dyDescent="0.35">
      <c r="B57">
        <v>2</v>
      </c>
      <c r="C57">
        <v>2022</v>
      </c>
      <c r="D57" t="s">
        <v>93</v>
      </c>
      <c r="E57">
        <v>546</v>
      </c>
    </row>
    <row r="58" spans="2:10" x14ac:dyDescent="0.35">
      <c r="B58">
        <v>3</v>
      </c>
      <c r="C58">
        <v>2022</v>
      </c>
      <c r="D58" t="s">
        <v>94</v>
      </c>
      <c r="E58">
        <v>625</v>
      </c>
    </row>
    <row r="59" spans="2:10" x14ac:dyDescent="0.35">
      <c r="B59">
        <v>4</v>
      </c>
      <c r="C59">
        <v>2022</v>
      </c>
      <c r="D59" t="s">
        <v>95</v>
      </c>
      <c r="E59">
        <v>780</v>
      </c>
    </row>
    <row r="60" spans="2:10" x14ac:dyDescent="0.35">
      <c r="B60">
        <v>5</v>
      </c>
      <c r="C60">
        <v>2022</v>
      </c>
      <c r="D60" t="s">
        <v>96</v>
      </c>
      <c r="E60">
        <v>424</v>
      </c>
      <c r="F60">
        <f>ROUND(AVERAGE(E56:E59),0)</f>
        <v>592</v>
      </c>
      <c r="G60">
        <f>F60-E60</f>
        <v>168</v>
      </c>
      <c r="H60">
        <f>ABS(G60)</f>
        <v>168</v>
      </c>
      <c r="I60">
        <f>H60*H60</f>
        <v>28224</v>
      </c>
      <c r="J60" s="11">
        <f>H60/E60</f>
        <v>0.39622641509433965</v>
      </c>
    </row>
    <row r="61" spans="2:10" x14ac:dyDescent="0.35">
      <c r="B61">
        <v>6</v>
      </c>
      <c r="C61">
        <v>2022</v>
      </c>
      <c r="D61" t="s">
        <v>97</v>
      </c>
      <c r="E61">
        <v>579</v>
      </c>
      <c r="F61">
        <f t="shared" ref="F61:F75" si="11">ROUND(AVERAGE(E57:E60),0)</f>
        <v>594</v>
      </c>
      <c r="G61">
        <f t="shared" ref="G61:G73" si="12">F61-E61</f>
        <v>15</v>
      </c>
      <c r="H61">
        <f t="shared" ref="H61:H73" si="13">ABS(G61)</f>
        <v>15</v>
      </c>
      <c r="I61">
        <f t="shared" ref="I61:I73" si="14">H61*H61</f>
        <v>225</v>
      </c>
      <c r="J61" s="11">
        <f t="shared" ref="J61:J73" si="15">H61/E61</f>
        <v>2.5906735751295335E-2</v>
      </c>
    </row>
    <row r="62" spans="2:10" x14ac:dyDescent="0.35">
      <c r="B62">
        <v>7</v>
      </c>
      <c r="C62">
        <v>2022</v>
      </c>
      <c r="D62" t="s">
        <v>98</v>
      </c>
      <c r="E62">
        <v>683</v>
      </c>
      <c r="F62">
        <f t="shared" si="11"/>
        <v>602</v>
      </c>
      <c r="G62">
        <f t="shared" si="12"/>
        <v>-81</v>
      </c>
      <c r="H62">
        <f t="shared" si="13"/>
        <v>81</v>
      </c>
      <c r="I62">
        <f t="shared" si="14"/>
        <v>6561</v>
      </c>
      <c r="J62" s="11">
        <f t="shared" si="15"/>
        <v>0.11859443631039532</v>
      </c>
    </row>
    <row r="63" spans="2:10" x14ac:dyDescent="0.35">
      <c r="B63">
        <v>8</v>
      </c>
      <c r="C63">
        <v>2022</v>
      </c>
      <c r="D63" t="s">
        <v>99</v>
      </c>
      <c r="E63">
        <v>793</v>
      </c>
      <c r="F63">
        <f t="shared" si="11"/>
        <v>617</v>
      </c>
      <c r="G63">
        <f t="shared" si="12"/>
        <v>-176</v>
      </c>
      <c r="H63">
        <f t="shared" si="13"/>
        <v>176</v>
      </c>
      <c r="I63">
        <f t="shared" si="14"/>
        <v>30976</v>
      </c>
      <c r="J63" s="11">
        <f t="shared" si="15"/>
        <v>0.22194199243379573</v>
      </c>
    </row>
    <row r="64" spans="2:10" x14ac:dyDescent="0.35">
      <c r="B64">
        <v>9</v>
      </c>
      <c r="C64">
        <v>2022</v>
      </c>
      <c r="D64" t="s">
        <v>100</v>
      </c>
      <c r="E64">
        <v>401</v>
      </c>
      <c r="F64">
        <f t="shared" si="11"/>
        <v>620</v>
      </c>
      <c r="G64">
        <f t="shared" si="12"/>
        <v>219</v>
      </c>
      <c r="H64">
        <f t="shared" si="13"/>
        <v>219</v>
      </c>
      <c r="I64">
        <f t="shared" si="14"/>
        <v>47961</v>
      </c>
      <c r="J64" s="11">
        <f t="shared" si="15"/>
        <v>0.54613466334164584</v>
      </c>
    </row>
    <row r="65" spans="2:15" x14ac:dyDescent="0.35">
      <c r="B65">
        <v>10</v>
      </c>
      <c r="C65">
        <v>2022</v>
      </c>
      <c r="D65" t="s">
        <v>101</v>
      </c>
      <c r="E65">
        <v>592</v>
      </c>
      <c r="F65">
        <f t="shared" si="11"/>
        <v>614</v>
      </c>
      <c r="G65">
        <f t="shared" si="12"/>
        <v>22</v>
      </c>
      <c r="H65">
        <f t="shared" si="13"/>
        <v>22</v>
      </c>
      <c r="I65">
        <f t="shared" si="14"/>
        <v>484</v>
      </c>
      <c r="J65" s="11">
        <f t="shared" si="15"/>
        <v>3.7162162162162164E-2</v>
      </c>
    </row>
    <row r="66" spans="2:15" x14ac:dyDescent="0.35">
      <c r="B66">
        <v>11</v>
      </c>
      <c r="C66">
        <v>2022</v>
      </c>
      <c r="D66" t="s">
        <v>102</v>
      </c>
      <c r="E66">
        <v>692</v>
      </c>
      <c r="F66">
        <f t="shared" si="11"/>
        <v>617</v>
      </c>
      <c r="G66">
        <f t="shared" si="12"/>
        <v>-75</v>
      </c>
      <c r="H66">
        <f t="shared" si="13"/>
        <v>75</v>
      </c>
      <c r="I66">
        <f t="shared" si="14"/>
        <v>5625</v>
      </c>
      <c r="J66" s="11">
        <f t="shared" si="15"/>
        <v>0.10838150289017341</v>
      </c>
    </row>
    <row r="67" spans="2:15" x14ac:dyDescent="0.35">
      <c r="B67">
        <v>12</v>
      </c>
      <c r="C67">
        <v>2022</v>
      </c>
      <c r="D67" t="s">
        <v>103</v>
      </c>
      <c r="E67">
        <v>720</v>
      </c>
      <c r="F67">
        <f t="shared" si="11"/>
        <v>620</v>
      </c>
      <c r="G67">
        <f t="shared" si="12"/>
        <v>-100</v>
      </c>
      <c r="H67">
        <f t="shared" si="13"/>
        <v>100</v>
      </c>
      <c r="I67">
        <f t="shared" si="14"/>
        <v>10000</v>
      </c>
      <c r="J67" s="11">
        <f t="shared" si="15"/>
        <v>0.1388888888888889</v>
      </c>
    </row>
    <row r="68" spans="2:15" x14ac:dyDescent="0.35">
      <c r="B68">
        <v>13</v>
      </c>
      <c r="C68">
        <v>2023</v>
      </c>
      <c r="D68" t="s">
        <v>92</v>
      </c>
      <c r="E68">
        <v>493</v>
      </c>
      <c r="F68">
        <f t="shared" si="11"/>
        <v>601</v>
      </c>
      <c r="G68">
        <f t="shared" si="12"/>
        <v>108</v>
      </c>
      <c r="H68">
        <f t="shared" si="13"/>
        <v>108</v>
      </c>
      <c r="I68">
        <f t="shared" si="14"/>
        <v>11664</v>
      </c>
      <c r="J68" s="11">
        <f t="shared" si="15"/>
        <v>0.21906693711967545</v>
      </c>
    </row>
    <row r="69" spans="2:15" x14ac:dyDescent="0.35">
      <c r="B69">
        <v>14</v>
      </c>
      <c r="C69">
        <v>2023</v>
      </c>
      <c r="D69" t="s">
        <v>93</v>
      </c>
      <c r="E69">
        <v>572</v>
      </c>
      <c r="F69">
        <f t="shared" si="11"/>
        <v>624</v>
      </c>
      <c r="G69">
        <f t="shared" si="12"/>
        <v>52</v>
      </c>
      <c r="H69">
        <f t="shared" si="13"/>
        <v>52</v>
      </c>
      <c r="I69">
        <f t="shared" si="14"/>
        <v>2704</v>
      </c>
      <c r="J69" s="11">
        <f t="shared" si="15"/>
        <v>9.0909090909090912E-2</v>
      </c>
    </row>
    <row r="70" spans="2:15" x14ac:dyDescent="0.35">
      <c r="B70">
        <v>15</v>
      </c>
      <c r="C70">
        <v>2023</v>
      </c>
      <c r="D70" t="s">
        <v>94</v>
      </c>
      <c r="E70">
        <v>682</v>
      </c>
      <c r="F70">
        <f t="shared" si="11"/>
        <v>619</v>
      </c>
      <c r="G70">
        <f t="shared" si="12"/>
        <v>-63</v>
      </c>
      <c r="H70">
        <f t="shared" si="13"/>
        <v>63</v>
      </c>
      <c r="I70">
        <f t="shared" si="14"/>
        <v>3969</v>
      </c>
      <c r="J70" s="11">
        <f t="shared" si="15"/>
        <v>9.2375366568914957E-2</v>
      </c>
    </row>
    <row r="71" spans="2:15" x14ac:dyDescent="0.35">
      <c r="B71">
        <v>16</v>
      </c>
      <c r="C71">
        <v>2023</v>
      </c>
      <c r="D71" t="s">
        <v>95</v>
      </c>
      <c r="E71">
        <v>428</v>
      </c>
      <c r="F71">
        <f t="shared" si="11"/>
        <v>617</v>
      </c>
      <c r="G71">
        <f t="shared" si="12"/>
        <v>189</v>
      </c>
      <c r="H71">
        <f t="shared" si="13"/>
        <v>189</v>
      </c>
      <c r="I71">
        <f t="shared" si="14"/>
        <v>35721</v>
      </c>
      <c r="J71" s="11">
        <f t="shared" si="15"/>
        <v>0.44158878504672899</v>
      </c>
    </row>
    <row r="72" spans="2:15" x14ac:dyDescent="0.35">
      <c r="B72">
        <v>17</v>
      </c>
      <c r="C72">
        <v>2023</v>
      </c>
      <c r="D72" t="s">
        <v>96</v>
      </c>
      <c r="E72">
        <v>590</v>
      </c>
      <c r="F72">
        <f t="shared" si="11"/>
        <v>544</v>
      </c>
      <c r="G72">
        <f t="shared" si="12"/>
        <v>-46</v>
      </c>
      <c r="H72">
        <f t="shared" si="13"/>
        <v>46</v>
      </c>
      <c r="I72">
        <f t="shared" si="14"/>
        <v>2116</v>
      </c>
      <c r="J72" s="11">
        <f t="shared" si="15"/>
        <v>7.796610169491526E-2</v>
      </c>
    </row>
    <row r="73" spans="2:15" x14ac:dyDescent="0.35">
      <c r="B73">
        <v>18</v>
      </c>
      <c r="C73">
        <v>2023</v>
      </c>
      <c r="D73" t="s">
        <v>97</v>
      </c>
      <c r="E73">
        <v>616</v>
      </c>
      <c r="F73">
        <f t="shared" si="11"/>
        <v>568</v>
      </c>
      <c r="G73">
        <f t="shared" si="12"/>
        <v>-48</v>
      </c>
      <c r="H73">
        <f t="shared" si="13"/>
        <v>48</v>
      </c>
      <c r="I73">
        <f t="shared" si="14"/>
        <v>2304</v>
      </c>
      <c r="J73" s="11">
        <f t="shared" si="15"/>
        <v>7.792207792207792E-2</v>
      </c>
    </row>
    <row r="74" spans="2:15" x14ac:dyDescent="0.35">
      <c r="B74">
        <v>19</v>
      </c>
      <c r="C74">
        <v>2023</v>
      </c>
      <c r="D74" t="s">
        <v>98</v>
      </c>
      <c r="F74">
        <f t="shared" si="11"/>
        <v>579</v>
      </c>
      <c r="J74" s="11"/>
      <c r="N74" t="s">
        <v>13</v>
      </c>
      <c r="O74">
        <f>AVERAGE(H60:H73)</f>
        <v>97.285714285714292</v>
      </c>
    </row>
    <row r="75" spans="2:15" x14ac:dyDescent="0.35">
      <c r="B75">
        <v>20</v>
      </c>
      <c r="C75">
        <v>2023</v>
      </c>
      <c r="D75" t="s">
        <v>99</v>
      </c>
      <c r="F75">
        <f t="shared" si="11"/>
        <v>545</v>
      </c>
      <c r="J75" s="11"/>
      <c r="N75" t="s">
        <v>66</v>
      </c>
      <c r="O75">
        <f>AVERAGE(I60:I73)</f>
        <v>13466.714285714286</v>
      </c>
    </row>
    <row r="76" spans="2:15" x14ac:dyDescent="0.35">
      <c r="N76" t="s">
        <v>14</v>
      </c>
      <c r="O76" s="12">
        <f>AVERAGE(J60:J73)</f>
        <v>0.18521893972386422</v>
      </c>
    </row>
  </sheetData>
  <pageMargins left="0.7" right="0.7" top="0.75" bottom="0.75" header="0.3" footer="0.3"/>
  <ignoredErrors>
    <ignoredError sqref="F8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63BAD-5B21-4EA1-A649-DA449CBF5129}">
  <dimension ref="B1:R83"/>
  <sheetViews>
    <sheetView zoomScale="76" workbookViewId="0">
      <selection activeCell="F11" sqref="F11"/>
    </sheetView>
  </sheetViews>
  <sheetFormatPr defaultRowHeight="14.5" x14ac:dyDescent="0.35"/>
  <cols>
    <col min="5" max="5" width="8.453125" customWidth="1"/>
    <col min="6" max="6" width="24" customWidth="1"/>
    <col min="7" max="7" width="8.984375E-2" customWidth="1"/>
    <col min="8" max="9" width="6.453125" customWidth="1"/>
    <col min="10" max="10" width="10.26953125" customWidth="1"/>
  </cols>
  <sheetData>
    <row r="1" spans="2:17" x14ac:dyDescent="0.35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2:17" ht="17" customHeight="1" x14ac:dyDescent="0.35">
      <c r="C2" s="23" t="s">
        <v>90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P2" t="s">
        <v>67</v>
      </c>
    </row>
    <row r="3" spans="2:17" ht="17" customHeight="1" x14ac:dyDescent="0.35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P3" t="s">
        <v>68</v>
      </c>
      <c r="Q3" t="s">
        <v>69</v>
      </c>
    </row>
    <row r="4" spans="2:17" ht="17" customHeight="1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P4">
        <v>0.99985056393436034</v>
      </c>
      <c r="Q4" t="s">
        <v>12</v>
      </c>
    </row>
    <row r="5" spans="2:17" x14ac:dyDescent="0.35">
      <c r="P5">
        <v>0.48005026480527258</v>
      </c>
      <c r="Q5" t="s">
        <v>10</v>
      </c>
    </row>
    <row r="6" spans="2:17" x14ac:dyDescent="0.35">
      <c r="B6" s="21" t="s">
        <v>59</v>
      </c>
      <c r="C6" s="21"/>
      <c r="P6">
        <v>0.59735576349612163</v>
      </c>
      <c r="Q6" t="s">
        <v>11</v>
      </c>
    </row>
    <row r="7" spans="2:17" ht="29" x14ac:dyDescent="0.35">
      <c r="B7" s="1" t="s">
        <v>0</v>
      </c>
      <c r="C7" s="1" t="s">
        <v>1</v>
      </c>
      <c r="D7" s="1" t="s">
        <v>91</v>
      </c>
      <c r="E7" s="2" t="s">
        <v>109</v>
      </c>
      <c r="F7" s="24" t="s">
        <v>87</v>
      </c>
      <c r="G7" s="24"/>
      <c r="H7" s="1" t="s">
        <v>64</v>
      </c>
      <c r="I7" s="1" t="s">
        <v>62</v>
      </c>
      <c r="J7" s="1" t="s">
        <v>63</v>
      </c>
      <c r="K7" s="1" t="s">
        <v>65</v>
      </c>
      <c r="N7">
        <f>SUM(P4:P6)</f>
        <v>2.0772565922357544</v>
      </c>
      <c r="O7" s="1" t="s">
        <v>70</v>
      </c>
      <c r="P7">
        <v>0</v>
      </c>
    </row>
    <row r="8" spans="2:17" x14ac:dyDescent="0.35">
      <c r="B8">
        <v>1</v>
      </c>
      <c r="C8">
        <v>2022</v>
      </c>
      <c r="D8" t="s">
        <v>92</v>
      </c>
      <c r="E8">
        <v>809</v>
      </c>
    </row>
    <row r="9" spans="2:17" x14ac:dyDescent="0.35">
      <c r="B9">
        <v>2</v>
      </c>
      <c r="C9">
        <v>2022</v>
      </c>
      <c r="D9" t="s">
        <v>93</v>
      </c>
      <c r="E9">
        <v>715</v>
      </c>
    </row>
    <row r="10" spans="2:17" x14ac:dyDescent="0.35">
      <c r="B10">
        <v>3</v>
      </c>
      <c r="C10">
        <v>2022</v>
      </c>
      <c r="D10" t="s">
        <v>94</v>
      </c>
      <c r="E10">
        <v>541</v>
      </c>
    </row>
    <row r="11" spans="2:17" x14ac:dyDescent="0.35">
      <c r="B11">
        <v>4</v>
      </c>
      <c r="C11">
        <v>2022</v>
      </c>
      <c r="D11" t="s">
        <v>95</v>
      </c>
      <c r="E11">
        <v>994</v>
      </c>
      <c r="F11">
        <f t="shared" ref="F11:F27" si="0">((E10*$P$6)+(E9*$P$5)+(E8*$P$4))/$N$7</f>
        <v>710.20812697107306</v>
      </c>
      <c r="H11">
        <f t="shared" ref="H11:H25" si="1">F11-E11</f>
        <v>-283.79187302892694</v>
      </c>
      <c r="I11">
        <f>ABS(H11)</f>
        <v>283.79187302892694</v>
      </c>
      <c r="J11">
        <f>I11*I11</f>
        <v>80537.827197266597</v>
      </c>
      <c r="K11" s="11">
        <f t="shared" ref="K11:K25" si="2">I11/E11</f>
        <v>0.28550490244358845</v>
      </c>
    </row>
    <row r="12" spans="2:17" x14ac:dyDescent="0.35">
      <c r="B12">
        <v>5</v>
      </c>
      <c r="C12">
        <v>2022</v>
      </c>
      <c r="D12" t="s">
        <v>96</v>
      </c>
      <c r="E12">
        <v>745</v>
      </c>
      <c r="F12">
        <f t="shared" si="0"/>
        <v>755.02081988813131</v>
      </c>
      <c r="H12">
        <f t="shared" si="1"/>
        <v>10.020819888131314</v>
      </c>
      <c r="I12">
        <f t="shared" ref="I12:I25" si="3">ABS(H12)</f>
        <v>10.020819888131314</v>
      </c>
      <c r="J12">
        <f t="shared" ref="J12:J25" si="4">I12*I12</f>
        <v>100.41683123036808</v>
      </c>
      <c r="K12" s="11">
        <f t="shared" si="2"/>
        <v>1.3450764950511831E-2</v>
      </c>
    </row>
    <row r="13" spans="2:17" x14ac:dyDescent="0.35">
      <c r="B13">
        <v>6</v>
      </c>
      <c r="C13">
        <v>2022</v>
      </c>
      <c r="D13" t="s">
        <v>97</v>
      </c>
      <c r="E13">
        <v>663</v>
      </c>
      <c r="F13">
        <f t="shared" si="0"/>
        <v>704.35167594523455</v>
      </c>
      <c r="H13">
        <f t="shared" si="1"/>
        <v>41.351675945234547</v>
      </c>
      <c r="I13">
        <f t="shared" si="3"/>
        <v>41.351675945234547</v>
      </c>
      <c r="J13">
        <f t="shared" si="4"/>
        <v>1709.9611034796894</v>
      </c>
      <c r="K13" s="11">
        <f t="shared" si="2"/>
        <v>6.2370551953596601E-2</v>
      </c>
    </row>
    <row r="14" spans="2:17" x14ac:dyDescent="0.35">
      <c r="B14">
        <v>7</v>
      </c>
      <c r="C14">
        <v>2022</v>
      </c>
      <c r="D14" t="s">
        <v>98</v>
      </c>
      <c r="E14">
        <v>607</v>
      </c>
      <c r="F14">
        <f t="shared" si="0"/>
        <v>841.27102331047865</v>
      </c>
      <c r="H14">
        <f t="shared" si="1"/>
        <v>234.27102331047865</v>
      </c>
      <c r="I14">
        <f t="shared" si="3"/>
        <v>234.27102331047865</v>
      </c>
      <c r="J14">
        <f t="shared" si="4"/>
        <v>54882.912362938834</v>
      </c>
      <c r="K14" s="11">
        <f t="shared" si="2"/>
        <v>0.3859489675625678</v>
      </c>
    </row>
    <row r="15" spans="2:17" x14ac:dyDescent="0.35">
      <c r="B15">
        <v>8</v>
      </c>
      <c r="C15">
        <v>2022</v>
      </c>
      <c r="D15" t="s">
        <v>99</v>
      </c>
      <c r="E15">
        <v>976</v>
      </c>
      <c r="F15">
        <f t="shared" si="0"/>
        <v>686.36534815595212</v>
      </c>
      <c r="H15">
        <f t="shared" si="1"/>
        <v>-289.63465184404788</v>
      </c>
      <c r="I15">
        <f t="shared" si="3"/>
        <v>289.63465184404788</v>
      </c>
      <c r="J15">
        <f t="shared" si="4"/>
        <v>83888.231548822834</v>
      </c>
      <c r="K15" s="11">
        <f t="shared" si="2"/>
        <v>0.29675681541398347</v>
      </c>
    </row>
    <row r="16" spans="2:17" x14ac:dyDescent="0.35">
      <c r="B16">
        <v>9</v>
      </c>
      <c r="C16">
        <v>2022</v>
      </c>
      <c r="D16" t="s">
        <v>100</v>
      </c>
      <c r="E16">
        <v>752</v>
      </c>
      <c r="F16">
        <f t="shared" si="0"/>
        <v>740.06777282284918</v>
      </c>
      <c r="H16">
        <f t="shared" si="1"/>
        <v>-11.932227177150821</v>
      </c>
      <c r="I16">
        <f t="shared" si="3"/>
        <v>11.932227177150821</v>
      </c>
      <c r="J16">
        <f t="shared" si="4"/>
        <v>142.37804540713665</v>
      </c>
      <c r="K16" s="11">
        <f t="shared" si="2"/>
        <v>1.5867323373870774E-2</v>
      </c>
    </row>
    <row r="17" spans="2:17" x14ac:dyDescent="0.35">
      <c r="B17">
        <v>10</v>
      </c>
      <c r="C17">
        <v>2022</v>
      </c>
      <c r="D17" t="s">
        <v>101</v>
      </c>
      <c r="E17">
        <v>645</v>
      </c>
      <c r="F17">
        <f t="shared" si="0"/>
        <v>733.97282290783505</v>
      </c>
      <c r="H17">
        <f t="shared" si="1"/>
        <v>88.972822907835052</v>
      </c>
      <c r="I17">
        <f t="shared" si="3"/>
        <v>88.972822907835052</v>
      </c>
      <c r="J17">
        <f t="shared" si="4"/>
        <v>7916.1632161889775</v>
      </c>
      <c r="K17" s="11">
        <f t="shared" si="2"/>
        <v>0.1379423610974187</v>
      </c>
    </row>
    <row r="18" spans="2:17" x14ac:dyDescent="0.35">
      <c r="B18">
        <v>11</v>
      </c>
      <c r="C18">
        <v>2022</v>
      </c>
      <c r="D18" t="s">
        <v>102</v>
      </c>
      <c r="E18">
        <v>618</v>
      </c>
      <c r="F18">
        <f t="shared" si="0"/>
        <v>829.04847837548562</v>
      </c>
      <c r="H18">
        <f t="shared" si="1"/>
        <v>211.04847837548562</v>
      </c>
      <c r="I18">
        <f t="shared" si="3"/>
        <v>211.04847837548562</v>
      </c>
      <c r="J18">
        <f t="shared" si="4"/>
        <v>44541.460224607821</v>
      </c>
      <c r="K18" s="11">
        <f t="shared" si="2"/>
        <v>0.34150239219334244</v>
      </c>
    </row>
    <row r="19" spans="2:17" x14ac:dyDescent="0.35">
      <c r="B19">
        <v>12</v>
      </c>
      <c r="C19">
        <v>2022</v>
      </c>
      <c r="D19" t="s">
        <v>103</v>
      </c>
      <c r="E19">
        <v>943</v>
      </c>
      <c r="F19">
        <f t="shared" si="0"/>
        <v>688.73817132951945</v>
      </c>
      <c r="H19">
        <f t="shared" si="1"/>
        <v>-254.26182867048055</v>
      </c>
      <c r="I19">
        <f t="shared" si="3"/>
        <v>254.26182867048055</v>
      </c>
      <c r="J19">
        <f t="shared" si="4"/>
        <v>64649.077518856808</v>
      </c>
      <c r="K19" s="11">
        <f t="shared" si="2"/>
        <v>0.26963078331970364</v>
      </c>
    </row>
    <row r="20" spans="2:17" x14ac:dyDescent="0.35">
      <c r="B20">
        <v>13</v>
      </c>
      <c r="C20">
        <v>2023</v>
      </c>
      <c r="D20" t="s">
        <v>92</v>
      </c>
      <c r="E20">
        <v>740</v>
      </c>
      <c r="F20">
        <f t="shared" si="0"/>
        <v>724.45607730360246</v>
      </c>
      <c r="H20">
        <f t="shared" si="1"/>
        <v>-15.543922696397544</v>
      </c>
      <c r="I20">
        <f t="shared" si="3"/>
        <v>15.543922696397544</v>
      </c>
      <c r="J20">
        <f t="shared" si="4"/>
        <v>241.61353279158271</v>
      </c>
      <c r="K20" s="11">
        <f t="shared" si="2"/>
        <v>2.1005300941077762E-2</v>
      </c>
    </row>
    <row r="21" spans="2:17" x14ac:dyDescent="0.35">
      <c r="B21">
        <v>14</v>
      </c>
      <c r="C21">
        <v>2023</v>
      </c>
      <c r="D21" t="s">
        <v>93</v>
      </c>
      <c r="E21">
        <v>686</v>
      </c>
      <c r="F21">
        <f t="shared" si="0"/>
        <v>728.19040212161838</v>
      </c>
      <c r="H21">
        <f t="shared" si="1"/>
        <v>42.190402121618376</v>
      </c>
      <c r="I21">
        <f t="shared" si="3"/>
        <v>42.190402121618376</v>
      </c>
      <c r="J21">
        <f t="shared" si="4"/>
        <v>1780.0300311838605</v>
      </c>
      <c r="K21" s="11">
        <f t="shared" si="2"/>
        <v>6.1502043909064691E-2</v>
      </c>
    </row>
    <row r="22" spans="2:17" x14ac:dyDescent="0.35">
      <c r="B22">
        <v>15</v>
      </c>
      <c r="C22">
        <v>2023</v>
      </c>
      <c r="D22" t="s">
        <v>94</v>
      </c>
      <c r="E22">
        <v>572</v>
      </c>
      <c r="F22">
        <f t="shared" si="0"/>
        <v>822.18168804372237</v>
      </c>
      <c r="H22">
        <f t="shared" si="1"/>
        <v>250.18168804372237</v>
      </c>
      <c r="I22">
        <f t="shared" si="3"/>
        <v>250.18168804372237</v>
      </c>
      <c r="J22">
        <f t="shared" si="4"/>
        <v>62590.877032406417</v>
      </c>
      <c r="K22" s="11">
        <f t="shared" si="2"/>
        <v>0.43738057350301113</v>
      </c>
    </row>
    <row r="23" spans="2:17" x14ac:dyDescent="0.35">
      <c r="B23">
        <v>16</v>
      </c>
      <c r="C23">
        <v>2023</v>
      </c>
      <c r="D23" t="s">
        <v>95</v>
      </c>
      <c r="E23">
        <v>965</v>
      </c>
      <c r="F23">
        <f t="shared" si="0"/>
        <v>679.20901103945027</v>
      </c>
      <c r="H23">
        <f t="shared" si="1"/>
        <v>-285.79098896054973</v>
      </c>
      <c r="I23">
        <f t="shared" si="3"/>
        <v>285.79098896054973</v>
      </c>
      <c r="J23">
        <f t="shared" si="4"/>
        <v>81676.489371049058</v>
      </c>
      <c r="K23" s="11">
        <f t="shared" si="2"/>
        <v>0.296156465244093</v>
      </c>
    </row>
    <row r="24" spans="2:17" x14ac:dyDescent="0.35">
      <c r="B24">
        <v>17</v>
      </c>
      <c r="C24">
        <v>2023</v>
      </c>
      <c r="D24" t="s">
        <v>96</v>
      </c>
      <c r="E24">
        <v>760</v>
      </c>
      <c r="F24">
        <f t="shared" si="0"/>
        <v>739.88671204414834</v>
      </c>
      <c r="H24">
        <f t="shared" si="1"/>
        <v>-20.113287955851661</v>
      </c>
      <c r="I24">
        <f t="shared" si="3"/>
        <v>20.113287955851661</v>
      </c>
      <c r="J24">
        <f t="shared" si="4"/>
        <v>404.54435239500748</v>
      </c>
      <c r="K24" s="11">
        <f t="shared" si="2"/>
        <v>2.6464852573489028E-2</v>
      </c>
      <c r="N24" t="s">
        <v>13</v>
      </c>
      <c r="O24">
        <f>AVERAGE(I11:I25)</f>
        <v>136.5480680060661</v>
      </c>
    </row>
    <row r="25" spans="2:17" x14ac:dyDescent="0.35">
      <c r="B25">
        <v>18</v>
      </c>
      <c r="C25">
        <v>2023</v>
      </c>
      <c r="D25" t="s">
        <v>97</v>
      </c>
      <c r="E25">
        <v>726</v>
      </c>
      <c r="F25">
        <f t="shared" si="0"/>
        <v>716.88467083491912</v>
      </c>
      <c r="H25">
        <f t="shared" si="1"/>
        <v>-9.1153291650808796</v>
      </c>
      <c r="I25">
        <f t="shared" si="3"/>
        <v>9.1153291650808796</v>
      </c>
      <c r="J25">
        <f t="shared" si="4"/>
        <v>83.089225787774083</v>
      </c>
      <c r="K25" s="11">
        <f t="shared" si="2"/>
        <v>1.2555549814160991E-2</v>
      </c>
      <c r="N25" t="s">
        <v>66</v>
      </c>
      <c r="O25">
        <f>AVERAGE(J11:J25)</f>
        <v>32343.004772960845</v>
      </c>
    </row>
    <row r="26" spans="2:17" x14ac:dyDescent="0.35">
      <c r="B26">
        <v>19</v>
      </c>
      <c r="C26">
        <v>2023</v>
      </c>
      <c r="D26" t="s">
        <v>98</v>
      </c>
      <c r="F26">
        <f t="shared" si="0"/>
        <v>848.89574371210756</v>
      </c>
      <c r="K26" s="11"/>
      <c r="N26" t="s">
        <v>14</v>
      </c>
      <c r="O26" s="11">
        <f>AVERAGE(K11)</f>
        <v>0.28550490244358845</v>
      </c>
    </row>
    <row r="27" spans="2:17" x14ac:dyDescent="0.35">
      <c r="B27">
        <v>20</v>
      </c>
      <c r="C27">
        <v>2023</v>
      </c>
      <c r="D27" t="s">
        <v>99</v>
      </c>
      <c r="F27">
        <f t="shared" si="0"/>
        <v>533.58979578241031</v>
      </c>
      <c r="K27" s="11"/>
    </row>
    <row r="31" spans="2:17" ht="15" thickBot="1" x14ac:dyDescent="0.4"/>
    <row r="32" spans="2:17" s="16" customFormat="1" ht="15" thickTop="1" x14ac:dyDescent="0.35">
      <c r="Q32" s="16" t="s">
        <v>67</v>
      </c>
    </row>
    <row r="33" spans="2:18" ht="17" x14ac:dyDescent="0.5">
      <c r="B33" s="20" t="s">
        <v>60</v>
      </c>
      <c r="C33" s="20"/>
      <c r="D33" s="20"/>
      <c r="Q33" t="s">
        <v>68</v>
      </c>
      <c r="R33" t="s">
        <v>69</v>
      </c>
    </row>
    <row r="34" spans="2:18" x14ac:dyDescent="0.35">
      <c r="Q34">
        <v>0.99985056393436034</v>
      </c>
      <c r="R34" t="s">
        <v>12</v>
      </c>
    </row>
    <row r="35" spans="2:18" x14ac:dyDescent="0.35">
      <c r="B35" s="1" t="s">
        <v>0</v>
      </c>
      <c r="C35" s="1" t="s">
        <v>1</v>
      </c>
      <c r="D35" s="1" t="s">
        <v>91</v>
      </c>
      <c r="E35" s="1" t="s">
        <v>54</v>
      </c>
      <c r="F35" s="1" t="s">
        <v>55</v>
      </c>
      <c r="G35" s="1" t="s">
        <v>56</v>
      </c>
      <c r="H35" s="1" t="s">
        <v>58</v>
      </c>
      <c r="I35" s="1"/>
      <c r="J35" s="1" t="s">
        <v>64</v>
      </c>
      <c r="K35" s="1" t="s">
        <v>62</v>
      </c>
      <c r="L35" s="1" t="s">
        <v>63</v>
      </c>
      <c r="M35" s="1" t="s">
        <v>65</v>
      </c>
      <c r="Q35">
        <v>0.48005026480527258</v>
      </c>
      <c r="R35" t="s">
        <v>10</v>
      </c>
    </row>
    <row r="36" spans="2:18" x14ac:dyDescent="0.35">
      <c r="B36">
        <v>1</v>
      </c>
      <c r="C36">
        <v>2022</v>
      </c>
      <c r="D36" t="s">
        <v>92</v>
      </c>
      <c r="E36">
        <v>555</v>
      </c>
      <c r="F36">
        <v>15</v>
      </c>
      <c r="G36">
        <f>E36+F36</f>
        <v>570</v>
      </c>
      <c r="Q36">
        <v>0.59735576349612163</v>
      </c>
      <c r="R36" t="s">
        <v>11</v>
      </c>
    </row>
    <row r="37" spans="2:18" x14ac:dyDescent="0.35">
      <c r="B37">
        <v>2</v>
      </c>
      <c r="C37">
        <v>2022</v>
      </c>
      <c r="D37" t="s">
        <v>93</v>
      </c>
      <c r="E37">
        <v>670</v>
      </c>
      <c r="F37">
        <v>19</v>
      </c>
      <c r="G37">
        <f t="shared" ref="G37:G53" si="5">E37+F37</f>
        <v>689</v>
      </c>
      <c r="Q37">
        <f>SUM(Q34:Q36)</f>
        <v>2.0772565922357544</v>
      </c>
      <c r="R37" t="s">
        <v>70</v>
      </c>
    </row>
    <row r="38" spans="2:18" x14ac:dyDescent="0.35">
      <c r="B38">
        <v>3</v>
      </c>
      <c r="C38">
        <v>2022</v>
      </c>
      <c r="D38" t="s">
        <v>94</v>
      </c>
      <c r="E38">
        <v>440</v>
      </c>
      <c r="F38">
        <v>16</v>
      </c>
      <c r="G38">
        <f t="shared" si="5"/>
        <v>456</v>
      </c>
    </row>
    <row r="39" spans="2:18" x14ac:dyDescent="0.35">
      <c r="B39">
        <v>4</v>
      </c>
      <c r="C39">
        <v>2022</v>
      </c>
      <c r="D39" t="s">
        <v>95</v>
      </c>
      <c r="E39">
        <v>828</v>
      </c>
      <c r="F39">
        <v>17</v>
      </c>
      <c r="G39">
        <f t="shared" si="5"/>
        <v>845</v>
      </c>
    </row>
    <row r="40" spans="2:18" x14ac:dyDescent="0.35">
      <c r="B40">
        <v>5</v>
      </c>
      <c r="C40">
        <v>2022</v>
      </c>
      <c r="D40" t="s">
        <v>96</v>
      </c>
      <c r="E40">
        <v>549</v>
      </c>
      <c r="F40">
        <v>20</v>
      </c>
      <c r="G40">
        <f t="shared" si="5"/>
        <v>569</v>
      </c>
      <c r="H40">
        <f>ROUND(AVERAGE(G36:G39),0)</f>
        <v>640</v>
      </c>
      <c r="J40">
        <f t="shared" ref="J40:J53" si="6">H40-G40</f>
        <v>71</v>
      </c>
      <c r="K40">
        <f>ABS(J40)</f>
        <v>71</v>
      </c>
      <c r="L40">
        <f>K40*K40</f>
        <v>5041</v>
      </c>
      <c r="M40" s="11">
        <f t="shared" ref="M40:M53" si="7">K40/G40</f>
        <v>0.12478031634446397</v>
      </c>
    </row>
    <row r="41" spans="2:18" x14ac:dyDescent="0.35">
      <c r="B41">
        <v>6</v>
      </c>
      <c r="C41">
        <v>2022</v>
      </c>
      <c r="D41" t="s">
        <v>97</v>
      </c>
      <c r="E41">
        <v>600</v>
      </c>
      <c r="F41">
        <v>38</v>
      </c>
      <c r="G41">
        <f t="shared" si="5"/>
        <v>638</v>
      </c>
      <c r="H41">
        <f t="shared" ref="H41:H55" si="8">ROUND(AVERAGE(G37:G40),0)</f>
        <v>640</v>
      </c>
      <c r="J41">
        <f t="shared" si="6"/>
        <v>2</v>
      </c>
      <c r="K41">
        <f t="shared" ref="K41:K53" si="9">ABS(J41)</f>
        <v>2</v>
      </c>
      <c r="L41">
        <f t="shared" ref="L41:L53" si="10">K41*K41</f>
        <v>4</v>
      </c>
      <c r="M41" s="11">
        <f t="shared" si="7"/>
        <v>3.134796238244514E-3</v>
      </c>
    </row>
    <row r="42" spans="2:18" x14ac:dyDescent="0.35">
      <c r="B42">
        <v>7</v>
      </c>
      <c r="C42">
        <v>2022</v>
      </c>
      <c r="D42" t="s">
        <v>98</v>
      </c>
      <c r="E42">
        <v>488</v>
      </c>
      <c r="F42">
        <v>14</v>
      </c>
      <c r="G42">
        <f t="shared" si="5"/>
        <v>502</v>
      </c>
      <c r="H42">
        <f t="shared" si="8"/>
        <v>627</v>
      </c>
      <c r="J42">
        <f t="shared" si="6"/>
        <v>125</v>
      </c>
      <c r="K42">
        <f t="shared" si="9"/>
        <v>125</v>
      </c>
      <c r="L42">
        <f t="shared" si="10"/>
        <v>15625</v>
      </c>
      <c r="M42" s="11">
        <f t="shared" si="7"/>
        <v>0.24900398406374502</v>
      </c>
    </row>
    <row r="43" spans="2:18" x14ac:dyDescent="0.35">
      <c r="B43">
        <v>8</v>
      </c>
      <c r="C43">
        <v>2022</v>
      </c>
      <c r="D43" t="s">
        <v>99</v>
      </c>
      <c r="E43">
        <v>860</v>
      </c>
      <c r="F43">
        <v>18</v>
      </c>
      <c r="G43">
        <f t="shared" si="5"/>
        <v>878</v>
      </c>
      <c r="H43">
        <f t="shared" si="8"/>
        <v>639</v>
      </c>
      <c r="J43">
        <f t="shared" si="6"/>
        <v>-239</v>
      </c>
      <c r="K43">
        <f t="shared" si="9"/>
        <v>239</v>
      </c>
      <c r="L43">
        <f t="shared" si="10"/>
        <v>57121</v>
      </c>
      <c r="M43" s="11">
        <f t="shared" si="7"/>
        <v>0.27220956719817768</v>
      </c>
    </row>
    <row r="44" spans="2:18" x14ac:dyDescent="0.35">
      <c r="B44">
        <v>9</v>
      </c>
      <c r="C44">
        <v>2022</v>
      </c>
      <c r="D44" t="s">
        <v>100</v>
      </c>
      <c r="E44">
        <v>542</v>
      </c>
      <c r="F44">
        <v>25</v>
      </c>
      <c r="G44">
        <f t="shared" si="5"/>
        <v>567</v>
      </c>
      <c r="H44">
        <f t="shared" si="8"/>
        <v>647</v>
      </c>
      <c r="J44">
        <f t="shared" si="6"/>
        <v>80</v>
      </c>
      <c r="K44">
        <f t="shared" si="9"/>
        <v>80</v>
      </c>
      <c r="L44">
        <f t="shared" si="10"/>
        <v>6400</v>
      </c>
      <c r="M44" s="11">
        <f t="shared" si="7"/>
        <v>0.14109347442680775</v>
      </c>
    </row>
    <row r="45" spans="2:18" x14ac:dyDescent="0.35">
      <c r="B45">
        <v>10</v>
      </c>
      <c r="C45">
        <v>2022</v>
      </c>
      <c r="D45" t="s">
        <v>101</v>
      </c>
      <c r="E45">
        <v>645</v>
      </c>
      <c r="F45">
        <v>28</v>
      </c>
      <c r="G45">
        <f t="shared" si="5"/>
        <v>673</v>
      </c>
      <c r="H45">
        <f t="shared" si="8"/>
        <v>646</v>
      </c>
      <c r="J45">
        <f t="shared" si="6"/>
        <v>-27</v>
      </c>
      <c r="K45">
        <f t="shared" si="9"/>
        <v>27</v>
      </c>
      <c r="L45">
        <f t="shared" si="10"/>
        <v>729</v>
      </c>
      <c r="M45" s="11">
        <f t="shared" si="7"/>
        <v>4.0118870728083213E-2</v>
      </c>
    </row>
    <row r="46" spans="2:18" x14ac:dyDescent="0.35">
      <c r="B46">
        <v>11</v>
      </c>
      <c r="C46">
        <v>2022</v>
      </c>
      <c r="D46" t="s">
        <v>102</v>
      </c>
      <c r="E46">
        <v>508</v>
      </c>
      <c r="F46">
        <v>30</v>
      </c>
      <c r="G46">
        <f t="shared" si="5"/>
        <v>538</v>
      </c>
      <c r="H46">
        <f t="shared" si="8"/>
        <v>655</v>
      </c>
      <c r="J46">
        <f t="shared" si="6"/>
        <v>117</v>
      </c>
      <c r="K46">
        <f t="shared" si="9"/>
        <v>117</v>
      </c>
      <c r="L46">
        <f t="shared" si="10"/>
        <v>13689</v>
      </c>
      <c r="M46" s="11">
        <f t="shared" si="7"/>
        <v>0.21747211895910781</v>
      </c>
    </row>
    <row r="47" spans="2:18" x14ac:dyDescent="0.35">
      <c r="B47">
        <v>12</v>
      </c>
      <c r="C47">
        <v>2022</v>
      </c>
      <c r="D47" t="s">
        <v>103</v>
      </c>
      <c r="E47">
        <v>897</v>
      </c>
      <c r="F47">
        <v>13</v>
      </c>
      <c r="G47">
        <f t="shared" si="5"/>
        <v>910</v>
      </c>
      <c r="H47">
        <f t="shared" si="8"/>
        <v>664</v>
      </c>
      <c r="J47">
        <f t="shared" si="6"/>
        <v>-246</v>
      </c>
      <c r="K47">
        <f t="shared" si="9"/>
        <v>246</v>
      </c>
      <c r="L47">
        <f t="shared" si="10"/>
        <v>60516</v>
      </c>
      <c r="M47" s="11">
        <f t="shared" si="7"/>
        <v>0.27032967032967031</v>
      </c>
    </row>
    <row r="48" spans="2:18" x14ac:dyDescent="0.35">
      <c r="B48">
        <v>13</v>
      </c>
      <c r="C48">
        <v>2023</v>
      </c>
      <c r="D48" t="s">
        <v>92</v>
      </c>
      <c r="E48">
        <v>604</v>
      </c>
      <c r="F48">
        <v>19</v>
      </c>
      <c r="G48">
        <f t="shared" si="5"/>
        <v>623</v>
      </c>
      <c r="H48">
        <f t="shared" si="8"/>
        <v>672</v>
      </c>
      <c r="J48">
        <f t="shared" si="6"/>
        <v>49</v>
      </c>
      <c r="K48">
        <f t="shared" si="9"/>
        <v>49</v>
      </c>
      <c r="L48">
        <f t="shared" si="10"/>
        <v>2401</v>
      </c>
      <c r="M48" s="11">
        <f t="shared" si="7"/>
        <v>7.8651685393258425E-2</v>
      </c>
    </row>
    <row r="49" spans="2:16" x14ac:dyDescent="0.35">
      <c r="B49">
        <v>14</v>
      </c>
      <c r="C49">
        <v>2023</v>
      </c>
      <c r="D49" t="s">
        <v>93</v>
      </c>
      <c r="E49">
        <v>457</v>
      </c>
      <c r="F49">
        <v>31</v>
      </c>
      <c r="G49">
        <f t="shared" si="5"/>
        <v>488</v>
      </c>
      <c r="H49">
        <f t="shared" si="8"/>
        <v>686</v>
      </c>
      <c r="J49">
        <f t="shared" si="6"/>
        <v>198</v>
      </c>
      <c r="K49">
        <f t="shared" si="9"/>
        <v>198</v>
      </c>
      <c r="L49">
        <f t="shared" si="10"/>
        <v>39204</v>
      </c>
      <c r="M49" s="11">
        <f t="shared" si="7"/>
        <v>0.40573770491803279</v>
      </c>
    </row>
    <row r="50" spans="2:16" x14ac:dyDescent="0.35">
      <c r="B50">
        <v>15</v>
      </c>
      <c r="C50">
        <v>2023</v>
      </c>
      <c r="D50" t="s">
        <v>94</v>
      </c>
      <c r="E50">
        <v>677</v>
      </c>
      <c r="F50">
        <v>12</v>
      </c>
      <c r="G50">
        <f t="shared" si="5"/>
        <v>689</v>
      </c>
      <c r="H50">
        <f t="shared" si="8"/>
        <v>640</v>
      </c>
      <c r="J50">
        <f t="shared" si="6"/>
        <v>-49</v>
      </c>
      <c r="K50">
        <f t="shared" si="9"/>
        <v>49</v>
      </c>
      <c r="L50">
        <f t="shared" si="10"/>
        <v>2401</v>
      </c>
      <c r="M50" s="11">
        <f t="shared" si="7"/>
        <v>7.1117561683599423E-2</v>
      </c>
    </row>
    <row r="51" spans="2:16" x14ac:dyDescent="0.35">
      <c r="B51">
        <v>16</v>
      </c>
      <c r="C51">
        <v>2023</v>
      </c>
      <c r="D51" t="s">
        <v>95</v>
      </c>
      <c r="E51">
        <v>976</v>
      </c>
      <c r="F51">
        <v>13</v>
      </c>
      <c r="G51">
        <f t="shared" si="5"/>
        <v>989</v>
      </c>
      <c r="H51">
        <f t="shared" si="8"/>
        <v>678</v>
      </c>
      <c r="J51">
        <f t="shared" si="6"/>
        <v>-311</v>
      </c>
      <c r="K51">
        <f t="shared" si="9"/>
        <v>311</v>
      </c>
      <c r="L51">
        <f t="shared" si="10"/>
        <v>96721</v>
      </c>
      <c r="M51" s="11">
        <f t="shared" si="7"/>
        <v>0.31445904954499493</v>
      </c>
    </row>
    <row r="52" spans="2:16" x14ac:dyDescent="0.35">
      <c r="B52">
        <v>17</v>
      </c>
      <c r="C52">
        <v>2023</v>
      </c>
      <c r="D52" t="s">
        <v>96</v>
      </c>
      <c r="E52">
        <v>456</v>
      </c>
      <c r="F52">
        <v>11</v>
      </c>
      <c r="G52">
        <f t="shared" si="5"/>
        <v>467</v>
      </c>
      <c r="H52">
        <f t="shared" si="8"/>
        <v>697</v>
      </c>
      <c r="J52">
        <f t="shared" si="6"/>
        <v>230</v>
      </c>
      <c r="K52">
        <f t="shared" si="9"/>
        <v>230</v>
      </c>
      <c r="L52">
        <f t="shared" si="10"/>
        <v>52900</v>
      </c>
      <c r="M52" s="11">
        <f t="shared" si="7"/>
        <v>0.49250535331905781</v>
      </c>
    </row>
    <row r="53" spans="2:16" x14ac:dyDescent="0.35">
      <c r="B53">
        <v>18</v>
      </c>
      <c r="C53">
        <v>2023</v>
      </c>
      <c r="D53" t="s">
        <v>97</v>
      </c>
      <c r="E53">
        <v>602</v>
      </c>
      <c r="F53">
        <v>10</v>
      </c>
      <c r="G53">
        <f t="shared" si="5"/>
        <v>612</v>
      </c>
      <c r="H53">
        <f t="shared" si="8"/>
        <v>658</v>
      </c>
      <c r="J53">
        <f t="shared" si="6"/>
        <v>46</v>
      </c>
      <c r="K53">
        <f t="shared" si="9"/>
        <v>46</v>
      </c>
      <c r="L53">
        <f t="shared" si="10"/>
        <v>2116</v>
      </c>
      <c r="M53" s="11">
        <f t="shared" si="7"/>
        <v>7.5163398692810454E-2</v>
      </c>
    </row>
    <row r="54" spans="2:16" x14ac:dyDescent="0.35">
      <c r="B54">
        <v>19</v>
      </c>
      <c r="C54">
        <v>2023</v>
      </c>
      <c r="D54" t="s">
        <v>98</v>
      </c>
      <c r="H54">
        <f t="shared" si="8"/>
        <v>689</v>
      </c>
      <c r="O54" t="s">
        <v>13</v>
      </c>
      <c r="P54">
        <f>AVERAGE(K40:K53)</f>
        <v>127.85714285714286</v>
      </c>
    </row>
    <row r="55" spans="2:16" x14ac:dyDescent="0.35">
      <c r="B55">
        <v>20</v>
      </c>
      <c r="C55">
        <v>2023</v>
      </c>
      <c r="D55" t="s">
        <v>99</v>
      </c>
      <c r="H55">
        <f t="shared" si="8"/>
        <v>689</v>
      </c>
      <c r="O55" t="s">
        <v>66</v>
      </c>
      <c r="P55">
        <f>AVERAGE(L40:L53)</f>
        <v>25347.714285714286</v>
      </c>
    </row>
    <row r="56" spans="2:16" x14ac:dyDescent="0.35">
      <c r="O56" t="s">
        <v>14</v>
      </c>
      <c r="P56" s="12">
        <f>AVERAGE(M40:M53)</f>
        <v>0.19684125370286104</v>
      </c>
    </row>
    <row r="59" spans="2:16" ht="15" thickBot="1" x14ac:dyDescent="0.4"/>
    <row r="60" spans="2:16" s="16" customFormat="1" ht="15" thickTop="1" x14ac:dyDescent="0.35"/>
    <row r="61" spans="2:16" ht="17" x14ac:dyDescent="0.5">
      <c r="C61" s="14" t="s">
        <v>61</v>
      </c>
      <c r="D61" s="14"/>
      <c r="E61" s="14"/>
      <c r="F61" s="14"/>
      <c r="G61" s="15"/>
      <c r="N61" t="s">
        <v>67</v>
      </c>
    </row>
    <row r="62" spans="2:16" x14ac:dyDescent="0.35">
      <c r="N62" t="s">
        <v>68</v>
      </c>
      <c r="O62" t="s">
        <v>69</v>
      </c>
    </row>
    <row r="63" spans="2:16" x14ac:dyDescent="0.35">
      <c r="C63" s="1" t="s">
        <v>0</v>
      </c>
      <c r="D63" s="1" t="s">
        <v>1</v>
      </c>
      <c r="E63" s="1" t="s">
        <v>91</v>
      </c>
      <c r="F63" s="1" t="s">
        <v>56</v>
      </c>
      <c r="G63" s="1" t="s">
        <v>58</v>
      </c>
      <c r="H63" s="1" t="s">
        <v>71</v>
      </c>
      <c r="I63" s="1" t="s">
        <v>74</v>
      </c>
      <c r="J63" s="1" t="s">
        <v>72</v>
      </c>
      <c r="K63" s="1" t="s">
        <v>73</v>
      </c>
      <c r="N63">
        <v>0.5</v>
      </c>
      <c r="O63" t="s">
        <v>12</v>
      </c>
    </row>
    <row r="64" spans="2:16" x14ac:dyDescent="0.35">
      <c r="C64">
        <v>1</v>
      </c>
      <c r="D64">
        <v>2022</v>
      </c>
      <c r="E64" t="s">
        <v>92</v>
      </c>
      <c r="F64">
        <v>417</v>
      </c>
      <c r="N64">
        <v>0.4</v>
      </c>
      <c r="O64" t="s">
        <v>10</v>
      </c>
    </row>
    <row r="65" spans="3:15" x14ac:dyDescent="0.35">
      <c r="C65">
        <v>2</v>
      </c>
      <c r="D65">
        <v>2022</v>
      </c>
      <c r="E65" t="s">
        <v>93</v>
      </c>
      <c r="F65">
        <v>546</v>
      </c>
      <c r="N65">
        <v>0.6</v>
      </c>
      <c r="O65" t="s">
        <v>11</v>
      </c>
    </row>
    <row r="66" spans="3:15" x14ac:dyDescent="0.35">
      <c r="C66">
        <v>3</v>
      </c>
      <c r="D66">
        <v>2022</v>
      </c>
      <c r="E66" t="s">
        <v>94</v>
      </c>
      <c r="F66">
        <v>625</v>
      </c>
      <c r="N66">
        <f>SUM(N63:N65)</f>
        <v>1.5</v>
      </c>
      <c r="O66" t="s">
        <v>70</v>
      </c>
    </row>
    <row r="67" spans="3:15" x14ac:dyDescent="0.35">
      <c r="C67">
        <v>4</v>
      </c>
      <c r="D67">
        <v>2022</v>
      </c>
      <c r="E67" t="s">
        <v>95</v>
      </c>
      <c r="F67">
        <v>780</v>
      </c>
    </row>
    <row r="68" spans="3:15" x14ac:dyDescent="0.35">
      <c r="C68">
        <v>5</v>
      </c>
      <c r="D68">
        <v>2022</v>
      </c>
      <c r="E68" t="s">
        <v>96</v>
      </c>
      <c r="F68">
        <v>424</v>
      </c>
      <c r="G68">
        <f>ROUND(AVERAGE(F64:F67),0)</f>
        <v>592</v>
      </c>
      <c r="H68">
        <f>G68-F68</f>
        <v>168</v>
      </c>
      <c r="I68">
        <f>ABS(H68)</f>
        <v>168</v>
      </c>
      <c r="J68">
        <f>I68*I68</f>
        <v>28224</v>
      </c>
      <c r="K68" s="11">
        <f>I68/F68</f>
        <v>0.39622641509433965</v>
      </c>
    </row>
    <row r="69" spans="3:15" x14ac:dyDescent="0.35">
      <c r="C69">
        <v>6</v>
      </c>
      <c r="D69">
        <v>2022</v>
      </c>
      <c r="E69" t="s">
        <v>97</v>
      </c>
      <c r="F69">
        <v>579</v>
      </c>
      <c r="G69">
        <f t="shared" ref="G69:G81" si="11">ROUND(AVERAGE(F65:F68),0)</f>
        <v>594</v>
      </c>
      <c r="H69">
        <f t="shared" ref="H69:H81" si="12">G69-F69</f>
        <v>15</v>
      </c>
      <c r="I69">
        <f t="shared" ref="I69:I81" si="13">ABS(H69)</f>
        <v>15</v>
      </c>
      <c r="J69">
        <f t="shared" ref="J69:J81" si="14">I69*I69</f>
        <v>225</v>
      </c>
      <c r="K69" s="11">
        <f t="shared" ref="K69:K81" si="15">I69/F69</f>
        <v>2.5906735751295335E-2</v>
      </c>
    </row>
    <row r="70" spans="3:15" x14ac:dyDescent="0.35">
      <c r="C70">
        <v>7</v>
      </c>
      <c r="D70">
        <v>2022</v>
      </c>
      <c r="E70" t="s">
        <v>98</v>
      </c>
      <c r="F70">
        <v>683</v>
      </c>
      <c r="G70">
        <f t="shared" si="11"/>
        <v>602</v>
      </c>
      <c r="H70">
        <f t="shared" si="12"/>
        <v>-81</v>
      </c>
      <c r="I70">
        <f t="shared" si="13"/>
        <v>81</v>
      </c>
      <c r="J70">
        <f t="shared" si="14"/>
        <v>6561</v>
      </c>
      <c r="K70" s="11">
        <f t="shared" si="15"/>
        <v>0.11859443631039532</v>
      </c>
    </row>
    <row r="71" spans="3:15" x14ac:dyDescent="0.35">
      <c r="C71">
        <v>8</v>
      </c>
      <c r="D71">
        <v>2022</v>
      </c>
      <c r="E71" t="s">
        <v>99</v>
      </c>
      <c r="F71">
        <v>793</v>
      </c>
      <c r="G71">
        <f t="shared" si="11"/>
        <v>617</v>
      </c>
      <c r="H71">
        <f t="shared" si="12"/>
        <v>-176</v>
      </c>
      <c r="I71">
        <f t="shared" si="13"/>
        <v>176</v>
      </c>
      <c r="J71">
        <f t="shared" si="14"/>
        <v>30976</v>
      </c>
      <c r="K71" s="11">
        <f t="shared" si="15"/>
        <v>0.22194199243379573</v>
      </c>
    </row>
    <row r="72" spans="3:15" x14ac:dyDescent="0.35">
      <c r="C72">
        <v>9</v>
      </c>
      <c r="D72">
        <v>2022</v>
      </c>
      <c r="E72" t="s">
        <v>100</v>
      </c>
      <c r="F72">
        <v>401</v>
      </c>
      <c r="G72">
        <f t="shared" si="11"/>
        <v>620</v>
      </c>
      <c r="H72">
        <f t="shared" si="12"/>
        <v>219</v>
      </c>
      <c r="I72">
        <f t="shared" si="13"/>
        <v>219</v>
      </c>
      <c r="J72">
        <f t="shared" si="14"/>
        <v>47961</v>
      </c>
      <c r="K72" s="11">
        <f t="shared" si="15"/>
        <v>0.54613466334164584</v>
      </c>
    </row>
    <row r="73" spans="3:15" x14ac:dyDescent="0.35">
      <c r="C73">
        <v>10</v>
      </c>
      <c r="D73">
        <v>2022</v>
      </c>
      <c r="E73" t="s">
        <v>101</v>
      </c>
      <c r="F73">
        <v>592</v>
      </c>
      <c r="G73">
        <f t="shared" si="11"/>
        <v>614</v>
      </c>
      <c r="H73">
        <f t="shared" si="12"/>
        <v>22</v>
      </c>
      <c r="I73">
        <f t="shared" si="13"/>
        <v>22</v>
      </c>
      <c r="J73">
        <f t="shared" si="14"/>
        <v>484</v>
      </c>
      <c r="K73" s="11">
        <f t="shared" si="15"/>
        <v>3.7162162162162164E-2</v>
      </c>
    </row>
    <row r="74" spans="3:15" x14ac:dyDescent="0.35">
      <c r="C74">
        <v>11</v>
      </c>
      <c r="D74">
        <v>2022</v>
      </c>
      <c r="E74" t="s">
        <v>102</v>
      </c>
      <c r="F74">
        <v>692</v>
      </c>
      <c r="G74">
        <f t="shared" si="11"/>
        <v>617</v>
      </c>
      <c r="H74">
        <f t="shared" si="12"/>
        <v>-75</v>
      </c>
      <c r="I74">
        <f t="shared" si="13"/>
        <v>75</v>
      </c>
      <c r="J74">
        <f t="shared" si="14"/>
        <v>5625</v>
      </c>
      <c r="K74" s="11">
        <f t="shared" si="15"/>
        <v>0.10838150289017341</v>
      </c>
    </row>
    <row r="75" spans="3:15" x14ac:dyDescent="0.35">
      <c r="C75">
        <v>12</v>
      </c>
      <c r="D75">
        <v>2022</v>
      </c>
      <c r="E75" t="s">
        <v>103</v>
      </c>
      <c r="F75">
        <v>720</v>
      </c>
      <c r="G75">
        <f t="shared" si="11"/>
        <v>620</v>
      </c>
      <c r="H75">
        <f t="shared" si="12"/>
        <v>-100</v>
      </c>
      <c r="I75">
        <f t="shared" si="13"/>
        <v>100</v>
      </c>
      <c r="J75">
        <f t="shared" si="14"/>
        <v>10000</v>
      </c>
      <c r="K75" s="11">
        <f t="shared" si="15"/>
        <v>0.1388888888888889</v>
      </c>
    </row>
    <row r="76" spans="3:15" x14ac:dyDescent="0.35">
      <c r="C76">
        <v>13</v>
      </c>
      <c r="D76">
        <v>2023</v>
      </c>
      <c r="E76" t="s">
        <v>92</v>
      </c>
      <c r="F76">
        <v>493</v>
      </c>
      <c r="G76">
        <f t="shared" si="11"/>
        <v>601</v>
      </c>
      <c r="H76">
        <f t="shared" si="12"/>
        <v>108</v>
      </c>
      <c r="I76">
        <f t="shared" si="13"/>
        <v>108</v>
      </c>
      <c r="J76">
        <f t="shared" si="14"/>
        <v>11664</v>
      </c>
      <c r="K76" s="11">
        <f t="shared" si="15"/>
        <v>0.21906693711967545</v>
      </c>
    </row>
    <row r="77" spans="3:15" x14ac:dyDescent="0.35">
      <c r="C77">
        <v>14</v>
      </c>
      <c r="D77">
        <v>2023</v>
      </c>
      <c r="E77" t="s">
        <v>93</v>
      </c>
      <c r="F77">
        <v>572</v>
      </c>
      <c r="G77">
        <f t="shared" si="11"/>
        <v>624</v>
      </c>
      <c r="H77">
        <f t="shared" si="12"/>
        <v>52</v>
      </c>
      <c r="I77">
        <f t="shared" si="13"/>
        <v>52</v>
      </c>
      <c r="J77">
        <f t="shared" si="14"/>
        <v>2704</v>
      </c>
      <c r="K77" s="11">
        <f t="shared" si="15"/>
        <v>9.0909090909090912E-2</v>
      </c>
    </row>
    <row r="78" spans="3:15" x14ac:dyDescent="0.35">
      <c r="C78">
        <v>15</v>
      </c>
      <c r="D78">
        <v>2023</v>
      </c>
      <c r="E78" t="s">
        <v>94</v>
      </c>
      <c r="F78">
        <v>682</v>
      </c>
      <c r="G78">
        <f t="shared" si="11"/>
        <v>619</v>
      </c>
      <c r="H78">
        <f t="shared" si="12"/>
        <v>-63</v>
      </c>
      <c r="I78">
        <f t="shared" si="13"/>
        <v>63</v>
      </c>
      <c r="J78">
        <f t="shared" si="14"/>
        <v>3969</v>
      </c>
      <c r="K78" s="11">
        <f t="shared" si="15"/>
        <v>9.2375366568914957E-2</v>
      </c>
      <c r="N78" t="s">
        <v>13</v>
      </c>
      <c r="O78">
        <f>AVERAGE(I68:I81)</f>
        <v>97.285714285714292</v>
      </c>
    </row>
    <row r="79" spans="3:15" x14ac:dyDescent="0.35">
      <c r="C79">
        <v>16</v>
      </c>
      <c r="D79">
        <v>2023</v>
      </c>
      <c r="E79" t="s">
        <v>95</v>
      </c>
      <c r="F79">
        <v>428</v>
      </c>
      <c r="G79">
        <f t="shared" si="11"/>
        <v>617</v>
      </c>
      <c r="H79">
        <f t="shared" si="12"/>
        <v>189</v>
      </c>
      <c r="I79">
        <f t="shared" si="13"/>
        <v>189</v>
      </c>
      <c r="J79">
        <f t="shared" si="14"/>
        <v>35721</v>
      </c>
      <c r="K79" s="11">
        <f t="shared" si="15"/>
        <v>0.44158878504672899</v>
      </c>
      <c r="N79" t="s">
        <v>66</v>
      </c>
      <c r="O79">
        <f>AVERAGE(J68:J81)</f>
        <v>13466.714285714286</v>
      </c>
    </row>
    <row r="80" spans="3:15" x14ac:dyDescent="0.35">
      <c r="C80">
        <v>17</v>
      </c>
      <c r="D80">
        <v>2023</v>
      </c>
      <c r="E80" t="s">
        <v>96</v>
      </c>
      <c r="F80">
        <v>590</v>
      </c>
      <c r="G80">
        <f t="shared" si="11"/>
        <v>544</v>
      </c>
      <c r="H80">
        <f t="shared" si="12"/>
        <v>-46</v>
      </c>
      <c r="I80">
        <f t="shared" si="13"/>
        <v>46</v>
      </c>
      <c r="J80">
        <f t="shared" si="14"/>
        <v>2116</v>
      </c>
      <c r="K80" s="11">
        <f t="shared" si="15"/>
        <v>7.796610169491526E-2</v>
      </c>
      <c r="N80" t="s">
        <v>14</v>
      </c>
      <c r="O80" s="12">
        <f>AVERAGE(K68:K81)</f>
        <v>0.18521893972386422</v>
      </c>
    </row>
    <row r="81" spans="3:11" x14ac:dyDescent="0.35">
      <c r="C81">
        <v>18</v>
      </c>
      <c r="D81">
        <v>2023</v>
      </c>
      <c r="E81" t="s">
        <v>97</v>
      </c>
      <c r="F81">
        <v>616</v>
      </c>
      <c r="G81">
        <f t="shared" si="11"/>
        <v>568</v>
      </c>
      <c r="H81">
        <f t="shared" si="12"/>
        <v>-48</v>
      </c>
      <c r="I81">
        <f t="shared" si="13"/>
        <v>48</v>
      </c>
      <c r="J81">
        <f t="shared" si="14"/>
        <v>2304</v>
      </c>
      <c r="K81" s="11">
        <f t="shared" si="15"/>
        <v>7.792207792207792E-2</v>
      </c>
    </row>
    <row r="82" spans="3:11" x14ac:dyDescent="0.35">
      <c r="C82">
        <v>19</v>
      </c>
      <c r="D82">
        <v>2023</v>
      </c>
      <c r="E82" t="s">
        <v>98</v>
      </c>
      <c r="K82" s="11"/>
    </row>
    <row r="83" spans="3:11" x14ac:dyDescent="0.35">
      <c r="C83">
        <v>20</v>
      </c>
      <c r="D83">
        <v>2023</v>
      </c>
      <c r="E83" t="s">
        <v>99</v>
      </c>
      <c r="K83" s="11"/>
    </row>
  </sheetData>
  <mergeCells count="7">
    <mergeCell ref="B6:C6"/>
    <mergeCell ref="B33:D33"/>
    <mergeCell ref="C1:N1"/>
    <mergeCell ref="C2:N2"/>
    <mergeCell ref="C3:N3"/>
    <mergeCell ref="C4:N4"/>
    <mergeCell ref="F7:G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5AAD-8DD3-47ED-BF6F-E7E3D2C253D3}">
  <dimension ref="B2:R83"/>
  <sheetViews>
    <sheetView zoomScale="71" workbookViewId="0">
      <selection activeCell="F10" sqref="F10"/>
    </sheetView>
  </sheetViews>
  <sheetFormatPr defaultRowHeight="14.5" x14ac:dyDescent="0.35"/>
  <cols>
    <col min="6" max="6" width="13.08984375" customWidth="1"/>
    <col min="7" max="7" width="8.7265625" hidden="1" customWidth="1"/>
    <col min="8" max="8" width="8.6328125" customWidth="1"/>
    <col min="9" max="9" width="6.453125" customWidth="1"/>
    <col min="10" max="10" width="10.26953125" customWidth="1"/>
  </cols>
  <sheetData>
    <row r="2" spans="2:18" ht="17" customHeight="1" x14ac:dyDescent="0.35">
      <c r="C2" s="25" t="s">
        <v>75</v>
      </c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2:18" ht="17" customHeight="1" x14ac:dyDescent="0.35"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2:18" ht="17" customHeight="1" x14ac:dyDescent="0.35"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2:18" x14ac:dyDescent="0.35">
      <c r="M5" t="s">
        <v>79</v>
      </c>
      <c r="P5">
        <v>5.5737418559862098E-2</v>
      </c>
      <c r="Q5" t="s">
        <v>80</v>
      </c>
    </row>
    <row r="6" spans="2:18" x14ac:dyDescent="0.35">
      <c r="B6" s="21" t="s">
        <v>59</v>
      </c>
      <c r="C6" s="21"/>
    </row>
    <row r="7" spans="2:18" ht="29" x14ac:dyDescent="0.35">
      <c r="B7" s="1" t="s">
        <v>0</v>
      </c>
      <c r="C7" s="1" t="s">
        <v>1</v>
      </c>
      <c r="D7" s="1" t="s">
        <v>91</v>
      </c>
      <c r="E7" s="2" t="s">
        <v>109</v>
      </c>
      <c r="F7" s="1" t="s">
        <v>76</v>
      </c>
      <c r="G7" s="1"/>
      <c r="H7" s="1" t="s">
        <v>64</v>
      </c>
      <c r="I7" s="1" t="s">
        <v>62</v>
      </c>
      <c r="J7" s="1" t="s">
        <v>63</v>
      </c>
      <c r="K7" s="1" t="s">
        <v>65</v>
      </c>
    </row>
    <row r="8" spans="2:18" x14ac:dyDescent="0.35">
      <c r="B8">
        <v>1</v>
      </c>
      <c r="C8">
        <v>2022</v>
      </c>
      <c r="D8" t="s">
        <v>92</v>
      </c>
      <c r="E8">
        <v>809</v>
      </c>
      <c r="F8">
        <v>809</v>
      </c>
      <c r="R8" s="1"/>
    </row>
    <row r="9" spans="2:18" x14ac:dyDescent="0.35">
      <c r="B9">
        <v>2</v>
      </c>
      <c r="C9">
        <v>2022</v>
      </c>
      <c r="D9" t="s">
        <v>93</v>
      </c>
      <c r="E9">
        <v>715</v>
      </c>
      <c r="F9">
        <f>F8+$P$5*(E8-F8)</f>
        <v>809</v>
      </c>
      <c r="H9">
        <f>F9-E9</f>
        <v>94</v>
      </c>
      <c r="I9">
        <f>ABS(H9)</f>
        <v>94</v>
      </c>
      <c r="J9">
        <f>I9*I9</f>
        <v>8836</v>
      </c>
      <c r="K9" s="11">
        <f>I9/E9</f>
        <v>0.13146853146853146</v>
      </c>
    </row>
    <row r="10" spans="2:18" x14ac:dyDescent="0.35">
      <c r="B10">
        <v>3</v>
      </c>
      <c r="C10">
        <v>2022</v>
      </c>
      <c r="D10" t="s">
        <v>94</v>
      </c>
      <c r="E10">
        <v>541</v>
      </c>
      <c r="F10">
        <f t="shared" ref="F10:F27" si="0">F9+$P$5*(E9-F9)</f>
        <v>803.76068265537299</v>
      </c>
      <c r="H10">
        <f t="shared" ref="H10:H25" si="1">F10-E10</f>
        <v>262.76068265537299</v>
      </c>
      <c r="I10">
        <f t="shared" ref="I10:I25" si="2">ABS(H10)</f>
        <v>262.76068265537299</v>
      </c>
      <c r="J10">
        <f t="shared" ref="J10:J25" si="3">I10*I10</f>
        <v>69043.176349517627</v>
      </c>
      <c r="K10" s="11">
        <f t="shared" ref="K10:K25" si="4">I10/E10</f>
        <v>0.4856944226531848</v>
      </c>
    </row>
    <row r="11" spans="2:18" x14ac:dyDescent="0.35">
      <c r="B11">
        <v>4</v>
      </c>
      <c r="C11">
        <v>2022</v>
      </c>
      <c r="D11" t="s">
        <v>95</v>
      </c>
      <c r="E11">
        <v>994</v>
      </c>
      <c r="F11">
        <f t="shared" si="0"/>
        <v>789.11508050513532</v>
      </c>
      <c r="H11">
        <f t="shared" si="1"/>
        <v>-204.88491949486468</v>
      </c>
      <c r="I11">
        <f t="shared" si="2"/>
        <v>204.88491949486468</v>
      </c>
      <c r="J11">
        <f t="shared" si="3"/>
        <v>41977.830236417176</v>
      </c>
      <c r="K11" s="11">
        <f t="shared" si="4"/>
        <v>0.20612164939121194</v>
      </c>
    </row>
    <row r="12" spans="2:18" x14ac:dyDescent="0.35">
      <c r="B12">
        <v>5</v>
      </c>
      <c r="C12">
        <v>2022</v>
      </c>
      <c r="D12" t="s">
        <v>96</v>
      </c>
      <c r="E12">
        <v>745</v>
      </c>
      <c r="F12">
        <f t="shared" si="0"/>
        <v>800.53483701962421</v>
      </c>
      <c r="H12">
        <f t="shared" si="1"/>
        <v>55.534837019624206</v>
      </c>
      <c r="I12">
        <f t="shared" si="2"/>
        <v>55.534837019624206</v>
      </c>
      <c r="J12">
        <f t="shared" si="3"/>
        <v>3084.1181227962234</v>
      </c>
      <c r="K12" s="11">
        <f t="shared" si="4"/>
        <v>7.4543405395468734E-2</v>
      </c>
    </row>
    <row r="13" spans="2:18" x14ac:dyDescent="0.35">
      <c r="B13">
        <v>6</v>
      </c>
      <c r="C13">
        <v>2022</v>
      </c>
      <c r="D13" t="s">
        <v>97</v>
      </c>
      <c r="E13">
        <v>663</v>
      </c>
      <c r="F13">
        <f t="shared" si="0"/>
        <v>797.43946856400771</v>
      </c>
      <c r="H13">
        <f t="shared" si="1"/>
        <v>134.43946856400771</v>
      </c>
      <c r="I13">
        <f t="shared" si="2"/>
        <v>134.43946856400771</v>
      </c>
      <c r="J13">
        <f t="shared" si="3"/>
        <v>18073.970707772816</v>
      </c>
      <c r="K13" s="11">
        <f t="shared" si="4"/>
        <v>0.20277446238915189</v>
      </c>
    </row>
    <row r="14" spans="2:18" x14ac:dyDescent="0.35">
      <c r="B14">
        <v>7</v>
      </c>
      <c r="C14">
        <v>2022</v>
      </c>
      <c r="D14" t="s">
        <v>98</v>
      </c>
      <c r="E14">
        <v>607</v>
      </c>
      <c r="F14">
        <f t="shared" si="0"/>
        <v>789.94615963369017</v>
      </c>
      <c r="H14">
        <f t="shared" si="1"/>
        <v>182.94615963369017</v>
      </c>
      <c r="I14">
        <f t="shared" si="2"/>
        <v>182.94615963369017</v>
      </c>
      <c r="J14">
        <f t="shared" si="3"/>
        <v>33469.297324715648</v>
      </c>
      <c r="K14" s="11">
        <f t="shared" si="4"/>
        <v>0.30139400269141708</v>
      </c>
    </row>
    <row r="15" spans="2:18" x14ac:dyDescent="0.35">
      <c r="B15">
        <v>8</v>
      </c>
      <c r="C15">
        <v>2022</v>
      </c>
      <c r="D15" t="s">
        <v>99</v>
      </c>
      <c r="E15">
        <v>976</v>
      </c>
      <c r="F15">
        <f t="shared" si="0"/>
        <v>779.74921296026787</v>
      </c>
      <c r="H15">
        <f t="shared" si="1"/>
        <v>-196.25078703973213</v>
      </c>
      <c r="I15">
        <f t="shared" si="2"/>
        <v>196.25078703973213</v>
      </c>
      <c r="J15">
        <f t="shared" si="3"/>
        <v>38514.371413714296</v>
      </c>
      <c r="K15" s="11">
        <f t="shared" si="4"/>
        <v>0.2010766260652993</v>
      </c>
    </row>
    <row r="16" spans="2:18" x14ac:dyDescent="0.35">
      <c r="B16">
        <v>9</v>
      </c>
      <c r="C16">
        <v>2022</v>
      </c>
      <c r="D16" t="s">
        <v>100</v>
      </c>
      <c r="E16">
        <v>752</v>
      </c>
      <c r="F16">
        <f t="shared" si="0"/>
        <v>790.68772522020379</v>
      </c>
      <c r="H16">
        <f t="shared" si="1"/>
        <v>38.687725220203788</v>
      </c>
      <c r="I16">
        <f t="shared" si="2"/>
        <v>38.687725220203788</v>
      </c>
      <c r="J16">
        <f t="shared" si="3"/>
        <v>1496.7400827139923</v>
      </c>
      <c r="K16" s="11">
        <f t="shared" si="4"/>
        <v>5.144644311197312E-2</v>
      </c>
    </row>
    <row r="17" spans="2:15" x14ac:dyDescent="0.35">
      <c r="B17">
        <v>10</v>
      </c>
      <c r="C17">
        <v>2022</v>
      </c>
      <c r="D17" t="s">
        <v>101</v>
      </c>
      <c r="E17">
        <v>645</v>
      </c>
      <c r="F17">
        <f t="shared" si="0"/>
        <v>788.53137128647631</v>
      </c>
      <c r="H17">
        <f t="shared" si="1"/>
        <v>143.53137128647631</v>
      </c>
      <c r="I17">
        <f t="shared" si="2"/>
        <v>143.53137128647631</v>
      </c>
      <c r="J17">
        <f t="shared" si="3"/>
        <v>20601.254543376319</v>
      </c>
      <c r="K17" s="11">
        <f t="shared" si="4"/>
        <v>0.22252925780849042</v>
      </c>
    </row>
    <row r="18" spans="2:15" x14ac:dyDescent="0.35">
      <c r="B18">
        <v>11</v>
      </c>
      <c r="C18">
        <v>2022</v>
      </c>
      <c r="D18" t="s">
        <v>102</v>
      </c>
      <c r="E18">
        <v>618</v>
      </c>
      <c r="F18">
        <f t="shared" si="0"/>
        <v>780.53130316861098</v>
      </c>
      <c r="H18">
        <f t="shared" si="1"/>
        <v>162.53130316861098</v>
      </c>
      <c r="I18">
        <f t="shared" si="2"/>
        <v>162.53130316861098</v>
      </c>
      <c r="J18">
        <f t="shared" si="3"/>
        <v>26416.424509686931</v>
      </c>
      <c r="K18" s="11">
        <f t="shared" si="4"/>
        <v>0.26299563619516342</v>
      </c>
    </row>
    <row r="19" spans="2:15" x14ac:dyDescent="0.35">
      <c r="B19">
        <v>12</v>
      </c>
      <c r="C19">
        <v>2022</v>
      </c>
      <c r="D19" t="s">
        <v>103</v>
      </c>
      <c r="E19">
        <v>943</v>
      </c>
      <c r="F19">
        <f t="shared" si="0"/>
        <v>771.47222789482225</v>
      </c>
      <c r="H19">
        <f t="shared" si="1"/>
        <v>-171.52777210517775</v>
      </c>
      <c r="I19">
        <f t="shared" si="2"/>
        <v>171.52777210517775</v>
      </c>
      <c r="J19">
        <f t="shared" si="3"/>
        <v>29421.776603365794</v>
      </c>
      <c r="K19" s="11">
        <f t="shared" si="4"/>
        <v>0.18189583468205486</v>
      </c>
    </row>
    <row r="20" spans="2:15" x14ac:dyDescent="0.35">
      <c r="B20">
        <v>13</v>
      </c>
      <c r="C20">
        <v>2023</v>
      </c>
      <c r="D20" t="s">
        <v>92</v>
      </c>
      <c r="E20">
        <v>740</v>
      </c>
      <c r="F20">
        <f t="shared" si="0"/>
        <v>781.03274312328915</v>
      </c>
      <c r="H20">
        <f t="shared" si="1"/>
        <v>41.032743123289151</v>
      </c>
      <c r="I20">
        <f t="shared" si="2"/>
        <v>41.032743123289151</v>
      </c>
      <c r="J20">
        <f t="shared" si="3"/>
        <v>1683.6860082218332</v>
      </c>
      <c r="K20" s="11">
        <f t="shared" si="4"/>
        <v>5.5449652869309661E-2</v>
      </c>
    </row>
    <row r="21" spans="2:15" x14ac:dyDescent="0.35">
      <c r="B21">
        <v>14</v>
      </c>
      <c r="C21">
        <v>2023</v>
      </c>
      <c r="D21" t="s">
        <v>93</v>
      </c>
      <c r="E21">
        <v>686</v>
      </c>
      <c r="F21">
        <f t="shared" si="0"/>
        <v>778.74568394516712</v>
      </c>
      <c r="H21">
        <f t="shared" si="1"/>
        <v>92.745683945167116</v>
      </c>
      <c r="I21">
        <f t="shared" si="2"/>
        <v>92.745683945167116</v>
      </c>
      <c r="J21">
        <f t="shared" si="3"/>
        <v>8601.7618904568299</v>
      </c>
      <c r="K21" s="11">
        <f t="shared" si="4"/>
        <v>0.13519779000753224</v>
      </c>
    </row>
    <row r="22" spans="2:15" x14ac:dyDescent="0.35">
      <c r="B22">
        <v>15</v>
      </c>
      <c r="C22">
        <v>2023</v>
      </c>
      <c r="D22" t="s">
        <v>94</v>
      </c>
      <c r="E22">
        <v>572</v>
      </c>
      <c r="F22">
        <f t="shared" si="0"/>
        <v>773.57627893949461</v>
      </c>
      <c r="H22">
        <f t="shared" si="1"/>
        <v>201.57627893949461</v>
      </c>
      <c r="I22">
        <f t="shared" si="2"/>
        <v>201.57627893949461</v>
      </c>
      <c r="J22">
        <f t="shared" si="3"/>
        <v>40632.99623109294</v>
      </c>
      <c r="K22" s="11">
        <f t="shared" si="4"/>
        <v>0.35240608206205354</v>
      </c>
    </row>
    <row r="23" spans="2:15" x14ac:dyDescent="0.35">
      <c r="B23">
        <v>16</v>
      </c>
      <c r="C23">
        <v>2023</v>
      </c>
      <c r="D23" t="s">
        <v>95</v>
      </c>
      <c r="E23">
        <v>965</v>
      </c>
      <c r="F23">
        <f t="shared" si="0"/>
        <v>762.34093750850445</v>
      </c>
      <c r="H23">
        <f t="shared" si="1"/>
        <v>-202.65906249149555</v>
      </c>
      <c r="I23">
        <f t="shared" si="2"/>
        <v>202.65906249149555</v>
      </c>
      <c r="J23">
        <f t="shared" si="3"/>
        <v>41070.6956099319</v>
      </c>
      <c r="K23" s="11">
        <f t="shared" si="4"/>
        <v>0.21000939118289694</v>
      </c>
    </row>
    <row r="24" spans="2:15" x14ac:dyDescent="0.35">
      <c r="B24">
        <v>17</v>
      </c>
      <c r="C24">
        <v>2023</v>
      </c>
      <c r="D24" t="s">
        <v>96</v>
      </c>
      <c r="E24">
        <v>760</v>
      </c>
      <c r="F24">
        <f t="shared" si="0"/>
        <v>773.63663049954221</v>
      </c>
      <c r="H24">
        <f t="shared" si="1"/>
        <v>13.636630499542207</v>
      </c>
      <c r="I24">
        <f t="shared" si="2"/>
        <v>13.636630499542207</v>
      </c>
      <c r="J24">
        <f t="shared" si="3"/>
        <v>185.95769138104475</v>
      </c>
      <c r="K24" s="11">
        <f t="shared" si="4"/>
        <v>1.7942934867818693E-2</v>
      </c>
      <c r="N24" t="s">
        <v>13</v>
      </c>
      <c r="O24">
        <f>AVERAGE(I9:I25)</f>
        <v>132.09541088849369</v>
      </c>
    </row>
    <row r="25" spans="2:15" x14ac:dyDescent="0.35">
      <c r="B25">
        <v>18</v>
      </c>
      <c r="C25">
        <v>2023</v>
      </c>
      <c r="D25" t="s">
        <v>97</v>
      </c>
      <c r="E25">
        <v>726</v>
      </c>
      <c r="F25">
        <f t="shared" si="0"/>
        <v>772.87655991764302</v>
      </c>
      <c r="H25">
        <f t="shared" si="1"/>
        <v>46.876559917643021</v>
      </c>
      <c r="I25">
        <f t="shared" si="2"/>
        <v>46.876559917643021</v>
      </c>
      <c r="J25">
        <f t="shared" si="3"/>
        <v>2197.4118697123763</v>
      </c>
      <c r="K25" s="11">
        <f t="shared" si="4"/>
        <v>6.4568264349370547E-2</v>
      </c>
      <c r="N25" t="s">
        <v>66</v>
      </c>
      <c r="O25">
        <v>22665.145246757282</v>
      </c>
    </row>
    <row r="26" spans="2:15" x14ac:dyDescent="0.35">
      <c r="B26">
        <v>19</v>
      </c>
      <c r="C26">
        <v>2023</v>
      </c>
      <c r="D26" t="s">
        <v>98</v>
      </c>
      <c r="F26">
        <f t="shared" si="0"/>
        <v>770.26378147686694</v>
      </c>
      <c r="K26" s="11"/>
      <c r="N26" t="s">
        <v>14</v>
      </c>
      <c r="O26" s="11">
        <f>AVERAGE(K9:K25)</f>
        <v>0.18573614042299577</v>
      </c>
    </row>
    <row r="27" spans="2:15" x14ac:dyDescent="0.35">
      <c r="B27">
        <v>20</v>
      </c>
      <c r="C27">
        <v>2023</v>
      </c>
      <c r="D27" t="s">
        <v>99</v>
      </c>
      <c r="F27">
        <f t="shared" si="0"/>
        <v>727.33126668718864</v>
      </c>
      <c r="K27" s="11"/>
    </row>
    <row r="31" spans="2:15" ht="15" thickBot="1" x14ac:dyDescent="0.4"/>
    <row r="32" spans="2:15" s="16" customFormat="1" ht="15" thickTop="1" x14ac:dyDescent="0.35"/>
    <row r="33" spans="2:16" ht="17" x14ac:dyDescent="0.5">
      <c r="B33" s="20" t="s">
        <v>60</v>
      </c>
      <c r="C33" s="20"/>
      <c r="D33" s="20"/>
    </row>
    <row r="34" spans="2:16" x14ac:dyDescent="0.35">
      <c r="M34" t="s">
        <v>79</v>
      </c>
      <c r="P34" s="17">
        <v>8.0906123395240642E-2</v>
      </c>
    </row>
    <row r="35" spans="2:16" x14ac:dyDescent="0.35">
      <c r="B35" s="1" t="s">
        <v>0</v>
      </c>
      <c r="C35" s="1" t="s">
        <v>1</v>
      </c>
      <c r="D35" s="1" t="s">
        <v>91</v>
      </c>
      <c r="E35" s="1" t="s">
        <v>54</v>
      </c>
      <c r="F35" s="1" t="s">
        <v>55</v>
      </c>
      <c r="G35" s="1" t="s">
        <v>56</v>
      </c>
      <c r="H35" s="1" t="s">
        <v>76</v>
      </c>
      <c r="I35" s="1"/>
      <c r="J35" s="1" t="s">
        <v>64</v>
      </c>
      <c r="K35" s="1" t="s">
        <v>62</v>
      </c>
      <c r="L35" s="1" t="s">
        <v>63</v>
      </c>
      <c r="M35" s="1" t="s">
        <v>65</v>
      </c>
    </row>
    <row r="36" spans="2:16" x14ac:dyDescent="0.35">
      <c r="B36">
        <v>1</v>
      </c>
      <c r="C36">
        <v>2022</v>
      </c>
      <c r="D36" t="s">
        <v>92</v>
      </c>
      <c r="E36">
        <v>555</v>
      </c>
      <c r="F36">
        <v>15</v>
      </c>
      <c r="G36">
        <f>E36+F36</f>
        <v>570</v>
      </c>
      <c r="H36">
        <v>570</v>
      </c>
    </row>
    <row r="37" spans="2:16" x14ac:dyDescent="0.35">
      <c r="B37">
        <v>2</v>
      </c>
      <c r="C37">
        <v>2022</v>
      </c>
      <c r="D37" t="s">
        <v>93</v>
      </c>
      <c r="E37">
        <v>670</v>
      </c>
      <c r="F37">
        <v>19</v>
      </c>
      <c r="G37">
        <f t="shared" ref="G37:G53" si="5">E37+F37</f>
        <v>689</v>
      </c>
      <c r="H37">
        <f>H36+$P$34*(G36-H36)</f>
        <v>570</v>
      </c>
      <c r="J37">
        <f>H37-G37</f>
        <v>-119</v>
      </c>
      <c r="K37">
        <f>ABS(J37)</f>
        <v>119</v>
      </c>
      <c r="L37">
        <f>K37*K37</f>
        <v>14161</v>
      </c>
      <c r="M37" s="11">
        <f>K37/G37</f>
        <v>0.17271407837445574</v>
      </c>
    </row>
    <row r="38" spans="2:16" x14ac:dyDescent="0.35">
      <c r="B38">
        <v>3</v>
      </c>
      <c r="C38">
        <v>2022</v>
      </c>
      <c r="D38" t="s">
        <v>94</v>
      </c>
      <c r="E38">
        <v>440</v>
      </c>
      <c r="F38">
        <v>16</v>
      </c>
      <c r="G38">
        <f t="shared" si="5"/>
        <v>456</v>
      </c>
      <c r="H38">
        <f t="shared" ref="H38:H55" si="6">H37+$P$34*(G37-H37)</f>
        <v>579.6278286840336</v>
      </c>
      <c r="J38">
        <f t="shared" ref="J38:J53" si="7">H38-G38</f>
        <v>123.6278286840336</v>
      </c>
      <c r="K38">
        <f t="shared" ref="K38:K53" si="8">ABS(J38)</f>
        <v>123.6278286840336</v>
      </c>
      <c r="L38">
        <f t="shared" ref="L38:L53" si="9">K38*K38</f>
        <v>15283.840025128762</v>
      </c>
      <c r="M38" s="11">
        <f t="shared" ref="M38:M53" si="10">K38/G38</f>
        <v>0.27111365939481052</v>
      </c>
    </row>
    <row r="39" spans="2:16" x14ac:dyDescent="0.35">
      <c r="B39">
        <v>4</v>
      </c>
      <c r="C39">
        <v>2022</v>
      </c>
      <c r="D39" t="s">
        <v>95</v>
      </c>
      <c r="E39">
        <v>828</v>
      </c>
      <c r="F39">
        <v>17</v>
      </c>
      <c r="G39">
        <f t="shared" si="5"/>
        <v>845</v>
      </c>
      <c r="H39">
        <f t="shared" si="6"/>
        <v>569.6255803214375</v>
      </c>
      <c r="J39">
        <f t="shared" si="7"/>
        <v>-275.3744196785625</v>
      </c>
      <c r="K39">
        <f t="shared" si="8"/>
        <v>275.3744196785625</v>
      </c>
      <c r="L39">
        <f t="shared" si="9"/>
        <v>75831.071013305074</v>
      </c>
      <c r="M39" s="11">
        <f t="shared" si="10"/>
        <v>0.32588688719356507</v>
      </c>
    </row>
    <row r="40" spans="2:16" x14ac:dyDescent="0.35">
      <c r="B40">
        <v>5</v>
      </c>
      <c r="C40">
        <v>2022</v>
      </c>
      <c r="D40" t="s">
        <v>96</v>
      </c>
      <c r="E40">
        <v>549</v>
      </c>
      <c r="F40">
        <v>20</v>
      </c>
      <c r="G40">
        <f t="shared" si="5"/>
        <v>569</v>
      </c>
      <c r="H40">
        <f t="shared" si="6"/>
        <v>591.90505709984404</v>
      </c>
      <c r="J40">
        <f t="shared" si="7"/>
        <v>22.905057099844043</v>
      </c>
      <c r="K40">
        <f t="shared" si="8"/>
        <v>22.905057099844043</v>
      </c>
      <c r="L40">
        <f t="shared" si="9"/>
        <v>524.64164074711607</v>
      </c>
      <c r="M40" s="11">
        <f t="shared" si="10"/>
        <v>4.0254933391641552E-2</v>
      </c>
    </row>
    <row r="41" spans="2:16" x14ac:dyDescent="0.35">
      <c r="B41">
        <v>6</v>
      </c>
      <c r="C41">
        <v>2022</v>
      </c>
      <c r="D41" t="s">
        <v>97</v>
      </c>
      <c r="E41">
        <v>600</v>
      </c>
      <c r="F41">
        <v>38</v>
      </c>
      <c r="G41">
        <f t="shared" si="5"/>
        <v>638</v>
      </c>
      <c r="H41">
        <f t="shared" si="6"/>
        <v>590.05189772374899</v>
      </c>
      <c r="J41">
        <f t="shared" si="7"/>
        <v>-47.948102276251007</v>
      </c>
      <c r="K41">
        <f t="shared" si="8"/>
        <v>47.948102276251007</v>
      </c>
      <c r="L41">
        <f t="shared" si="9"/>
        <v>2299.020511893827</v>
      </c>
      <c r="M41" s="11">
        <f t="shared" si="10"/>
        <v>7.5153765323277444E-2</v>
      </c>
    </row>
    <row r="42" spans="2:16" x14ac:dyDescent="0.35">
      <c r="B42">
        <v>7</v>
      </c>
      <c r="C42">
        <v>2022</v>
      </c>
      <c r="D42" t="s">
        <v>98</v>
      </c>
      <c r="E42">
        <v>488</v>
      </c>
      <c r="F42">
        <v>14</v>
      </c>
      <c r="G42">
        <f t="shared" si="5"/>
        <v>502</v>
      </c>
      <c r="H42">
        <f t="shared" si="6"/>
        <v>593.93119280307894</v>
      </c>
      <c r="J42">
        <f t="shared" si="7"/>
        <v>91.931192803078943</v>
      </c>
      <c r="K42">
        <f t="shared" si="8"/>
        <v>91.931192803078943</v>
      </c>
      <c r="L42">
        <f t="shared" si="9"/>
        <v>8451.344210196874</v>
      </c>
      <c r="M42" s="11">
        <f t="shared" si="10"/>
        <v>0.18312986614159152</v>
      </c>
    </row>
    <row r="43" spans="2:16" x14ac:dyDescent="0.35">
      <c r="B43">
        <v>8</v>
      </c>
      <c r="C43">
        <v>2022</v>
      </c>
      <c r="D43" t="s">
        <v>99</v>
      </c>
      <c r="E43">
        <v>860</v>
      </c>
      <c r="F43">
        <v>18</v>
      </c>
      <c r="G43">
        <f t="shared" si="5"/>
        <v>878</v>
      </c>
      <c r="H43">
        <f t="shared" si="6"/>
        <v>586.49339637428136</v>
      </c>
      <c r="J43">
        <f t="shared" si="7"/>
        <v>-291.50660362571864</v>
      </c>
      <c r="K43">
        <f t="shared" si="8"/>
        <v>291.50660362571864</v>
      </c>
      <c r="L43">
        <f t="shared" si="9"/>
        <v>84976.099957401835</v>
      </c>
      <c r="M43" s="11">
        <f t="shared" si="10"/>
        <v>0.33201207702245861</v>
      </c>
    </row>
    <row r="44" spans="2:16" x14ac:dyDescent="0.35">
      <c r="B44">
        <v>9</v>
      </c>
      <c r="C44">
        <v>2022</v>
      </c>
      <c r="D44" t="s">
        <v>100</v>
      </c>
      <c r="E44">
        <v>542</v>
      </c>
      <c r="F44">
        <v>25</v>
      </c>
      <c r="G44">
        <f t="shared" si="5"/>
        <v>567</v>
      </c>
      <c r="H44">
        <f t="shared" si="6"/>
        <v>610.07806561775124</v>
      </c>
      <c r="J44">
        <f t="shared" si="7"/>
        <v>43.078065617751236</v>
      </c>
      <c r="K44">
        <f t="shared" si="8"/>
        <v>43.078065617751236</v>
      </c>
      <c r="L44">
        <f t="shared" si="9"/>
        <v>1855.7197373672811</v>
      </c>
      <c r="M44" s="11">
        <f t="shared" si="10"/>
        <v>7.5975424369931627E-2</v>
      </c>
    </row>
    <row r="45" spans="2:16" x14ac:dyDescent="0.35">
      <c r="B45">
        <v>10</v>
      </c>
      <c r="C45">
        <v>2022</v>
      </c>
      <c r="D45" t="s">
        <v>101</v>
      </c>
      <c r="E45">
        <v>645</v>
      </c>
      <c r="F45">
        <v>28</v>
      </c>
      <c r="G45">
        <f t="shared" si="5"/>
        <v>673</v>
      </c>
      <c r="H45">
        <f t="shared" si="6"/>
        <v>606.5927863252532</v>
      </c>
      <c r="J45">
        <f t="shared" si="7"/>
        <v>-66.407213674746799</v>
      </c>
      <c r="K45">
        <f t="shared" si="8"/>
        <v>66.407213674746799</v>
      </c>
      <c r="L45">
        <f t="shared" si="9"/>
        <v>4409.9180280434784</v>
      </c>
      <c r="M45" s="11">
        <f t="shared" si="10"/>
        <v>9.8673422993680232E-2</v>
      </c>
    </row>
    <row r="46" spans="2:16" x14ac:dyDescent="0.35">
      <c r="B46">
        <v>11</v>
      </c>
      <c r="C46">
        <v>2022</v>
      </c>
      <c r="D46" t="s">
        <v>102</v>
      </c>
      <c r="E46">
        <v>508</v>
      </c>
      <c r="F46">
        <v>30</v>
      </c>
      <c r="G46">
        <f t="shared" si="5"/>
        <v>538</v>
      </c>
      <c r="H46">
        <f t="shared" si="6"/>
        <v>611.96553654915635</v>
      </c>
      <c r="J46">
        <f t="shared" si="7"/>
        <v>73.965536549156354</v>
      </c>
      <c r="K46">
        <f t="shared" si="8"/>
        <v>73.965536549156354</v>
      </c>
      <c r="L46">
        <f t="shared" si="9"/>
        <v>5470.9005970045846</v>
      </c>
      <c r="M46" s="11">
        <f t="shared" si="10"/>
        <v>0.1374824099426698</v>
      </c>
    </row>
    <row r="47" spans="2:16" x14ac:dyDescent="0.35">
      <c r="B47">
        <v>12</v>
      </c>
      <c r="C47">
        <v>2022</v>
      </c>
      <c r="D47" t="s">
        <v>103</v>
      </c>
      <c r="E47">
        <v>897</v>
      </c>
      <c r="F47">
        <v>13</v>
      </c>
      <c r="G47">
        <f t="shared" si="5"/>
        <v>910</v>
      </c>
      <c r="H47">
        <f t="shared" si="6"/>
        <v>605.98127172211514</v>
      </c>
      <c r="J47">
        <f t="shared" si="7"/>
        <v>-304.01872827788486</v>
      </c>
      <c r="K47">
        <f t="shared" si="8"/>
        <v>304.01872827788486</v>
      </c>
      <c r="L47">
        <f t="shared" si="9"/>
        <v>92427.387143702392</v>
      </c>
      <c r="M47" s="11">
        <f t="shared" si="10"/>
        <v>0.33408651459108224</v>
      </c>
    </row>
    <row r="48" spans="2:16" x14ac:dyDescent="0.35">
      <c r="B48">
        <v>13</v>
      </c>
      <c r="C48">
        <v>2023</v>
      </c>
      <c r="D48" t="s">
        <v>92</v>
      </c>
      <c r="E48">
        <v>604</v>
      </c>
      <c r="F48">
        <v>19</v>
      </c>
      <c r="G48">
        <f t="shared" si="5"/>
        <v>623</v>
      </c>
      <c r="H48">
        <f t="shared" si="6"/>
        <v>630.57824846662982</v>
      </c>
      <c r="J48">
        <f t="shared" si="7"/>
        <v>7.578248466629816</v>
      </c>
      <c r="K48">
        <f t="shared" si="8"/>
        <v>7.578248466629816</v>
      </c>
      <c r="L48">
        <f t="shared" si="9"/>
        <v>57.429849821977157</v>
      </c>
      <c r="M48" s="11">
        <f t="shared" si="10"/>
        <v>1.2164122739373701E-2</v>
      </c>
    </row>
    <row r="49" spans="2:16" x14ac:dyDescent="0.35">
      <c r="B49">
        <v>14</v>
      </c>
      <c r="C49">
        <v>2023</v>
      </c>
      <c r="D49" t="s">
        <v>93</v>
      </c>
      <c r="E49">
        <v>457</v>
      </c>
      <c r="F49">
        <v>31</v>
      </c>
      <c r="G49">
        <f t="shared" si="5"/>
        <v>488</v>
      </c>
      <c r="H49">
        <f t="shared" si="6"/>
        <v>629.96512176106887</v>
      </c>
      <c r="J49">
        <f t="shared" si="7"/>
        <v>141.96512176106887</v>
      </c>
      <c r="K49">
        <f t="shared" si="8"/>
        <v>141.96512176106887</v>
      </c>
      <c r="L49">
        <f t="shared" si="9"/>
        <v>20154.095796635109</v>
      </c>
      <c r="M49" s="11">
        <f t="shared" si="10"/>
        <v>0.29091213475628869</v>
      </c>
    </row>
    <row r="50" spans="2:16" x14ac:dyDescent="0.35">
      <c r="B50">
        <v>15</v>
      </c>
      <c r="C50">
        <v>2023</v>
      </c>
      <c r="D50" t="s">
        <v>94</v>
      </c>
      <c r="E50">
        <v>677</v>
      </c>
      <c r="F50">
        <v>12</v>
      </c>
      <c r="G50">
        <f t="shared" si="5"/>
        <v>689</v>
      </c>
      <c r="H50">
        <f t="shared" si="6"/>
        <v>618.4792741020475</v>
      </c>
      <c r="J50">
        <f t="shared" si="7"/>
        <v>-70.520725897952502</v>
      </c>
      <c r="K50">
        <f t="shared" si="8"/>
        <v>70.520725897952502</v>
      </c>
      <c r="L50">
        <f t="shared" si="9"/>
        <v>4973.1727811741484</v>
      </c>
      <c r="M50" s="11">
        <f t="shared" si="10"/>
        <v>0.10235228722489478</v>
      </c>
    </row>
    <row r="51" spans="2:16" x14ac:dyDescent="0.35">
      <c r="B51">
        <v>16</v>
      </c>
      <c r="C51">
        <v>2023</v>
      </c>
      <c r="D51" t="s">
        <v>95</v>
      </c>
      <c r="E51">
        <v>976</v>
      </c>
      <c r="F51">
        <v>13</v>
      </c>
      <c r="G51">
        <f t="shared" si="5"/>
        <v>989</v>
      </c>
      <c r="H51">
        <f t="shared" si="6"/>
        <v>624.18483265346913</v>
      </c>
      <c r="J51">
        <f t="shared" si="7"/>
        <v>-364.81516734653087</v>
      </c>
      <c r="K51">
        <f t="shared" si="8"/>
        <v>364.81516734653087</v>
      </c>
      <c r="L51">
        <f t="shared" si="9"/>
        <v>133090.10632607734</v>
      </c>
      <c r="M51" s="11">
        <f t="shared" si="10"/>
        <v>0.36887276779224559</v>
      </c>
    </row>
    <row r="52" spans="2:16" x14ac:dyDescent="0.35">
      <c r="B52">
        <v>17</v>
      </c>
      <c r="C52">
        <v>2023</v>
      </c>
      <c r="D52" t="s">
        <v>96</v>
      </c>
      <c r="E52">
        <v>456</v>
      </c>
      <c r="F52">
        <v>11</v>
      </c>
      <c r="G52">
        <f t="shared" si="5"/>
        <v>467</v>
      </c>
      <c r="H52">
        <f t="shared" si="6"/>
        <v>653.70061359926297</v>
      </c>
      <c r="J52">
        <f t="shared" si="7"/>
        <v>186.70061359926297</v>
      </c>
      <c r="K52">
        <f t="shared" si="8"/>
        <v>186.70061359926297</v>
      </c>
      <c r="L52">
        <f t="shared" si="9"/>
        <v>34857.119118341296</v>
      </c>
      <c r="M52" s="11">
        <f t="shared" si="10"/>
        <v>0.39978718115473866</v>
      </c>
    </row>
    <row r="53" spans="2:16" x14ac:dyDescent="0.35">
      <c r="B53">
        <v>18</v>
      </c>
      <c r="C53">
        <v>2023</v>
      </c>
      <c r="D53" t="s">
        <v>97</v>
      </c>
      <c r="E53">
        <v>602</v>
      </c>
      <c r="F53">
        <v>10</v>
      </c>
      <c r="G53">
        <f t="shared" si="5"/>
        <v>612</v>
      </c>
      <c r="H53">
        <f t="shared" si="6"/>
        <v>638.59539071743382</v>
      </c>
      <c r="J53">
        <f t="shared" si="7"/>
        <v>26.595390717433816</v>
      </c>
      <c r="K53">
        <f t="shared" si="8"/>
        <v>26.595390717433816</v>
      </c>
      <c r="L53">
        <f t="shared" si="9"/>
        <v>707.3148074129648</v>
      </c>
      <c r="M53" s="11">
        <f t="shared" si="10"/>
        <v>4.3456520780120612E-2</v>
      </c>
    </row>
    <row r="54" spans="2:16" x14ac:dyDescent="0.35">
      <c r="B54">
        <v>19</v>
      </c>
      <c r="C54">
        <v>2023</v>
      </c>
      <c r="D54" t="s">
        <v>98</v>
      </c>
      <c r="H54">
        <f t="shared" si="6"/>
        <v>636.44366075430446</v>
      </c>
      <c r="O54" t="s">
        <v>13</v>
      </c>
      <c r="P54">
        <f>AVERAGE(K37:K53)</f>
        <v>132.81988329858277</v>
      </c>
    </row>
    <row r="55" spans="2:16" x14ac:dyDescent="0.35">
      <c r="B55">
        <v>20</v>
      </c>
      <c r="C55">
        <v>2023</v>
      </c>
      <c r="D55" t="s">
        <v>99</v>
      </c>
      <c r="H55">
        <f t="shared" si="6"/>
        <v>584.95147140319807</v>
      </c>
      <c r="O55" t="s">
        <v>66</v>
      </c>
      <c r="P55">
        <f>AVERAGE(L37:L53)</f>
        <v>29384.128326132592</v>
      </c>
    </row>
    <row r="56" spans="2:16" x14ac:dyDescent="0.35">
      <c r="O56" t="s">
        <v>14</v>
      </c>
      <c r="P56" s="12">
        <f>AVERAGE(M37:M53)</f>
        <v>0.19200165018746038</v>
      </c>
    </row>
    <row r="59" spans="2:16" ht="15" thickBot="1" x14ac:dyDescent="0.4"/>
    <row r="60" spans="2:16" s="16" customFormat="1" ht="15" thickTop="1" x14ac:dyDescent="0.35"/>
    <row r="61" spans="2:16" ht="17" x14ac:dyDescent="0.5">
      <c r="C61" s="14" t="s">
        <v>61</v>
      </c>
      <c r="D61" s="14"/>
      <c r="E61" s="14"/>
      <c r="F61" s="14"/>
      <c r="G61" s="15"/>
    </row>
    <row r="62" spans="2:16" x14ac:dyDescent="0.35">
      <c r="L62" t="s">
        <v>79</v>
      </c>
      <c r="O62">
        <v>0.26011952762656126</v>
      </c>
    </row>
    <row r="63" spans="2:16" x14ac:dyDescent="0.35">
      <c r="C63" s="1" t="s">
        <v>0</v>
      </c>
      <c r="D63" s="1" t="s">
        <v>1</v>
      </c>
      <c r="E63" s="1" t="s">
        <v>91</v>
      </c>
      <c r="F63" s="1" t="s">
        <v>56</v>
      </c>
      <c r="G63" s="1" t="s">
        <v>76</v>
      </c>
      <c r="H63" s="1" t="s">
        <v>71</v>
      </c>
      <c r="I63" s="1" t="s">
        <v>74</v>
      </c>
      <c r="J63" s="1" t="s">
        <v>72</v>
      </c>
      <c r="K63" s="1" t="s">
        <v>73</v>
      </c>
    </row>
    <row r="64" spans="2:16" x14ac:dyDescent="0.35">
      <c r="C64">
        <v>1</v>
      </c>
      <c r="D64">
        <v>2022</v>
      </c>
      <c r="E64" t="s">
        <v>92</v>
      </c>
      <c r="F64">
        <v>417</v>
      </c>
      <c r="G64">
        <v>417</v>
      </c>
    </row>
    <row r="65" spans="3:15" x14ac:dyDescent="0.35">
      <c r="C65">
        <v>2</v>
      </c>
      <c r="D65">
        <v>2022</v>
      </c>
      <c r="E65" t="s">
        <v>93</v>
      </c>
      <c r="F65">
        <v>546</v>
      </c>
      <c r="G65">
        <f>G64+$O$62*(F64-G64)</f>
        <v>417</v>
      </c>
      <c r="H65">
        <f>G65-F65</f>
        <v>-129</v>
      </c>
      <c r="I65">
        <f>ABS(H65)</f>
        <v>129</v>
      </c>
      <c r="J65">
        <f>I65*I65</f>
        <v>16641</v>
      </c>
      <c r="K65" s="11">
        <f>I65/F65</f>
        <v>0.23626373626373626</v>
      </c>
    </row>
    <row r="66" spans="3:15" x14ac:dyDescent="0.35">
      <c r="C66">
        <v>3</v>
      </c>
      <c r="D66">
        <v>2022</v>
      </c>
      <c r="E66" t="s">
        <v>94</v>
      </c>
      <c r="F66">
        <v>625</v>
      </c>
      <c r="G66">
        <f t="shared" ref="G66:G83" si="11">G65+$O$62*(F65-G65)</f>
        <v>450.55541906382643</v>
      </c>
      <c r="H66">
        <f t="shared" ref="H66:H81" si="12">G66-F66</f>
        <v>-174.44458093617357</v>
      </c>
      <c r="I66">
        <f t="shared" ref="I66:I81" si="13">ABS(H66)</f>
        <v>174.44458093617357</v>
      </c>
      <c r="J66">
        <f t="shared" ref="J66:J81" si="14">I66*I66</f>
        <v>30430.91181799721</v>
      </c>
      <c r="K66" s="11">
        <f t="shared" ref="K66:K81" si="15">I66/F66</f>
        <v>0.2791113294978777</v>
      </c>
    </row>
    <row r="67" spans="3:15" x14ac:dyDescent="0.35">
      <c r="C67">
        <v>4</v>
      </c>
      <c r="D67">
        <v>2022</v>
      </c>
      <c r="E67" t="s">
        <v>95</v>
      </c>
      <c r="F67">
        <v>780</v>
      </c>
      <c r="G67">
        <f t="shared" si="11"/>
        <v>495.93186105395733</v>
      </c>
      <c r="H67">
        <f t="shared" si="12"/>
        <v>-284.06813894604267</v>
      </c>
      <c r="I67">
        <f t="shared" si="13"/>
        <v>284.06813894604267</v>
      </c>
      <c r="J67">
        <f t="shared" si="14"/>
        <v>80694.707564268203</v>
      </c>
      <c r="K67" s="11">
        <f t="shared" si="15"/>
        <v>0.3641899217256957</v>
      </c>
    </row>
    <row r="68" spans="3:15" x14ac:dyDescent="0.35">
      <c r="C68">
        <v>5</v>
      </c>
      <c r="D68">
        <v>2022</v>
      </c>
      <c r="E68" t="s">
        <v>96</v>
      </c>
      <c r="F68">
        <v>424</v>
      </c>
      <c r="G68">
        <f t="shared" si="11"/>
        <v>569.82353117035836</v>
      </c>
      <c r="H68">
        <f t="shared" si="12"/>
        <v>145.82353117035836</v>
      </c>
      <c r="I68">
        <f t="shared" si="13"/>
        <v>145.82353117035836</v>
      </c>
      <c r="J68">
        <f t="shared" si="14"/>
        <v>21264.502242992479</v>
      </c>
      <c r="K68" s="11">
        <f t="shared" si="15"/>
        <v>0.34392342257159991</v>
      </c>
    </row>
    <row r="69" spans="3:15" x14ac:dyDescent="0.35">
      <c r="C69">
        <v>6</v>
      </c>
      <c r="D69">
        <v>2022</v>
      </c>
      <c r="E69" t="s">
        <v>97</v>
      </c>
      <c r="F69">
        <v>579</v>
      </c>
      <c r="G69">
        <f t="shared" si="11"/>
        <v>531.89198312548763</v>
      </c>
      <c r="H69">
        <f t="shared" si="12"/>
        <v>-47.108016874512373</v>
      </c>
      <c r="I69">
        <f t="shared" si="13"/>
        <v>47.108016874512373</v>
      </c>
      <c r="J69">
        <f t="shared" si="14"/>
        <v>2219.1652538493427</v>
      </c>
      <c r="K69" s="11">
        <f t="shared" si="15"/>
        <v>8.1360996329036914E-2</v>
      </c>
    </row>
    <row r="70" spans="3:15" x14ac:dyDescent="0.35">
      <c r="C70">
        <v>7</v>
      </c>
      <c r="D70">
        <v>2022</v>
      </c>
      <c r="E70" t="s">
        <v>98</v>
      </c>
      <c r="F70">
        <v>683</v>
      </c>
      <c r="G70">
        <f t="shared" si="11"/>
        <v>544.14569822230987</v>
      </c>
      <c r="H70">
        <f t="shared" si="12"/>
        <v>-138.85430177769013</v>
      </c>
      <c r="I70">
        <f t="shared" si="13"/>
        <v>138.85430177769013</v>
      </c>
      <c r="J70">
        <f t="shared" si="14"/>
        <v>19280.51712216984</v>
      </c>
      <c r="K70" s="11">
        <f t="shared" si="15"/>
        <v>0.20330058825430472</v>
      </c>
    </row>
    <row r="71" spans="3:15" x14ac:dyDescent="0.35">
      <c r="C71">
        <v>8</v>
      </c>
      <c r="D71">
        <v>2022</v>
      </c>
      <c r="E71" t="s">
        <v>99</v>
      </c>
      <c r="F71">
        <v>793</v>
      </c>
      <c r="G71">
        <f t="shared" si="11"/>
        <v>580.26441360963861</v>
      </c>
      <c r="H71">
        <f t="shared" si="12"/>
        <v>-212.73558639036139</v>
      </c>
      <c r="I71">
        <f t="shared" si="13"/>
        <v>212.73558639036139</v>
      </c>
      <c r="J71">
        <f t="shared" si="14"/>
        <v>45256.429716850915</v>
      </c>
      <c r="K71" s="11">
        <f t="shared" si="15"/>
        <v>0.26826681764232208</v>
      </c>
    </row>
    <row r="72" spans="3:15" x14ac:dyDescent="0.35">
      <c r="C72">
        <v>9</v>
      </c>
      <c r="D72">
        <v>2022</v>
      </c>
      <c r="E72" t="s">
        <v>100</v>
      </c>
      <c r="F72">
        <v>401</v>
      </c>
      <c r="G72">
        <f t="shared" si="11"/>
        <v>635.60109385085889</v>
      </c>
      <c r="H72">
        <f t="shared" si="12"/>
        <v>234.60109385085889</v>
      </c>
      <c r="I72">
        <f t="shared" si="13"/>
        <v>234.60109385085889</v>
      </c>
      <c r="J72">
        <f t="shared" si="14"/>
        <v>55037.673236019502</v>
      </c>
      <c r="K72" s="11">
        <f t="shared" si="15"/>
        <v>0.58504013429141866</v>
      </c>
    </row>
    <row r="73" spans="3:15" x14ac:dyDescent="0.35">
      <c r="C73">
        <v>10</v>
      </c>
      <c r="D73">
        <v>2022</v>
      </c>
      <c r="E73" t="s">
        <v>101</v>
      </c>
      <c r="F73">
        <v>592</v>
      </c>
      <c r="G73">
        <f t="shared" si="11"/>
        <v>574.57676813769888</v>
      </c>
      <c r="H73">
        <f t="shared" si="12"/>
        <v>-17.423231862301122</v>
      </c>
      <c r="I73">
        <f t="shared" si="13"/>
        <v>17.423231862301122</v>
      </c>
      <c r="J73">
        <f t="shared" si="14"/>
        <v>303.56900852750505</v>
      </c>
      <c r="K73" s="11">
        <f t="shared" si="15"/>
        <v>2.9431134902535679E-2</v>
      </c>
    </row>
    <row r="74" spans="3:15" x14ac:dyDescent="0.35">
      <c r="C74">
        <v>11</v>
      </c>
      <c r="D74">
        <v>2022</v>
      </c>
      <c r="E74" t="s">
        <v>102</v>
      </c>
      <c r="F74">
        <v>692</v>
      </c>
      <c r="G74">
        <f t="shared" si="11"/>
        <v>579.10889097944869</v>
      </c>
      <c r="H74">
        <f t="shared" si="12"/>
        <v>-112.89110902055131</v>
      </c>
      <c r="I74">
        <f t="shared" si="13"/>
        <v>112.89110902055131</v>
      </c>
      <c r="J74">
        <f t="shared" si="14"/>
        <v>12744.402495890003</v>
      </c>
      <c r="K74" s="11">
        <f t="shared" si="15"/>
        <v>0.16313744078114351</v>
      </c>
    </row>
    <row r="75" spans="3:15" x14ac:dyDescent="0.35">
      <c r="C75">
        <v>12</v>
      </c>
      <c r="D75">
        <v>2022</v>
      </c>
      <c r="E75" t="s">
        <v>103</v>
      </c>
      <c r="F75">
        <v>720</v>
      </c>
      <c r="G75">
        <f t="shared" si="11"/>
        <v>608.47407293111314</v>
      </c>
      <c r="H75">
        <f t="shared" si="12"/>
        <v>-111.52592706888686</v>
      </c>
      <c r="I75">
        <f t="shared" si="13"/>
        <v>111.52592706888686</v>
      </c>
      <c r="J75">
        <f t="shared" si="14"/>
        <v>12438.032408574671</v>
      </c>
      <c r="K75" s="11">
        <f t="shared" si="15"/>
        <v>0.15489712092900954</v>
      </c>
    </row>
    <row r="76" spans="3:15" x14ac:dyDescent="0.35">
      <c r="C76">
        <v>13</v>
      </c>
      <c r="D76">
        <v>2023</v>
      </c>
      <c r="E76" t="s">
        <v>92</v>
      </c>
      <c r="F76">
        <v>493</v>
      </c>
      <c r="G76">
        <f t="shared" si="11"/>
        <v>637.48414439838632</v>
      </c>
      <c r="H76">
        <f t="shared" si="12"/>
        <v>144.48414439838632</v>
      </c>
      <c r="I76">
        <f t="shared" si="13"/>
        <v>144.48414439838632</v>
      </c>
      <c r="J76">
        <f t="shared" si="14"/>
        <v>20875.667982533749</v>
      </c>
      <c r="K76" s="11">
        <f t="shared" si="15"/>
        <v>0.29307128681214262</v>
      </c>
    </row>
    <row r="77" spans="3:15" x14ac:dyDescent="0.35">
      <c r="C77">
        <v>14</v>
      </c>
      <c r="D77">
        <v>2023</v>
      </c>
      <c r="E77" t="s">
        <v>93</v>
      </c>
      <c r="F77">
        <v>572</v>
      </c>
      <c r="G77">
        <f t="shared" si="11"/>
        <v>599.9009970079502</v>
      </c>
      <c r="H77">
        <f t="shared" si="12"/>
        <v>27.900997007950195</v>
      </c>
      <c r="I77">
        <f t="shared" si="13"/>
        <v>27.900997007950195</v>
      </c>
      <c r="J77">
        <f t="shared" si="14"/>
        <v>778.46563403764571</v>
      </c>
      <c r="K77" s="11">
        <f t="shared" si="15"/>
        <v>4.8777966797115727E-2</v>
      </c>
    </row>
    <row r="78" spans="3:15" x14ac:dyDescent="0.35">
      <c r="C78">
        <v>15</v>
      </c>
      <c r="D78">
        <v>2023</v>
      </c>
      <c r="E78" t="s">
        <v>94</v>
      </c>
      <c r="F78">
        <v>682</v>
      </c>
      <c r="G78">
        <f t="shared" si="11"/>
        <v>592.64340284593209</v>
      </c>
      <c r="H78">
        <f t="shared" si="12"/>
        <v>-89.356597154067913</v>
      </c>
      <c r="I78">
        <f t="shared" si="13"/>
        <v>89.356597154067913</v>
      </c>
      <c r="J78">
        <f t="shared" si="14"/>
        <v>7984.6014549543779</v>
      </c>
      <c r="K78" s="11">
        <f t="shared" si="15"/>
        <v>0.13102140345171248</v>
      </c>
      <c r="N78" t="s">
        <v>13</v>
      </c>
      <c r="O78">
        <f>AVERAGE(I65:I81)</f>
        <v>124.9469024705988</v>
      </c>
    </row>
    <row r="79" spans="3:15" x14ac:dyDescent="0.35">
      <c r="C79">
        <v>16</v>
      </c>
      <c r="D79">
        <v>2023</v>
      </c>
      <c r="E79" t="s">
        <v>95</v>
      </c>
      <c r="F79">
        <v>428</v>
      </c>
      <c r="G79">
        <f t="shared" si="11"/>
        <v>615.88679868796521</v>
      </c>
      <c r="H79">
        <f t="shared" si="12"/>
        <v>187.88679868796521</v>
      </c>
      <c r="I79">
        <f t="shared" si="13"/>
        <v>187.88679868796521</v>
      </c>
      <c r="J79">
        <f t="shared" si="14"/>
        <v>35301.449121211968</v>
      </c>
      <c r="K79" s="11">
        <f t="shared" si="15"/>
        <v>0.43898784740178787</v>
      </c>
      <c r="N79" t="s">
        <v>66</v>
      </c>
      <c r="O79">
        <f>AVERAGE(J65:J81)</f>
        <v>21389.945229618785</v>
      </c>
    </row>
    <row r="80" spans="3:15" x14ac:dyDescent="0.35">
      <c r="C80">
        <v>17</v>
      </c>
      <c r="D80">
        <v>2023</v>
      </c>
      <c r="E80" t="s">
        <v>96</v>
      </c>
      <c r="F80">
        <v>590</v>
      </c>
      <c r="G80">
        <f t="shared" si="11"/>
        <v>567.01377336598489</v>
      </c>
      <c r="H80">
        <f t="shared" si="12"/>
        <v>-22.986226634015111</v>
      </c>
      <c r="I80">
        <f t="shared" si="13"/>
        <v>22.986226634015111</v>
      </c>
      <c r="J80">
        <f t="shared" si="14"/>
        <v>528.36661487030563</v>
      </c>
      <c r="K80" s="11">
        <f t="shared" si="15"/>
        <v>3.8959706159347643E-2</v>
      </c>
      <c r="N80" t="s">
        <v>14</v>
      </c>
      <c r="O80" s="12">
        <f>AVERAGE(K65:K81)</f>
        <v>0.21938573588306939</v>
      </c>
    </row>
    <row r="81" spans="3:11" x14ac:dyDescent="0.35">
      <c r="C81">
        <v>18</v>
      </c>
      <c r="D81">
        <v>2023</v>
      </c>
      <c r="E81" t="s">
        <v>97</v>
      </c>
      <c r="F81">
        <v>616</v>
      </c>
      <c r="G81">
        <f t="shared" si="11"/>
        <v>572.99293977994193</v>
      </c>
      <c r="H81">
        <f t="shared" si="12"/>
        <v>-43.007060220058065</v>
      </c>
      <c r="I81">
        <f t="shared" si="13"/>
        <v>43.007060220058065</v>
      </c>
      <c r="J81">
        <f t="shared" si="14"/>
        <v>1849.6072287717009</v>
      </c>
      <c r="K81" s="11">
        <f t="shared" si="15"/>
        <v>6.9816656201392963E-2</v>
      </c>
    </row>
    <row r="82" spans="3:11" x14ac:dyDescent="0.35">
      <c r="C82">
        <v>19</v>
      </c>
      <c r="D82">
        <v>2023</v>
      </c>
      <c r="E82" t="s">
        <v>98</v>
      </c>
      <c r="G82">
        <f t="shared" si="11"/>
        <v>584.17991596899049</v>
      </c>
      <c r="K82" s="11"/>
    </row>
    <row r="83" spans="3:11" x14ac:dyDescent="0.35">
      <c r="C83">
        <v>20</v>
      </c>
      <c r="D83">
        <v>2023</v>
      </c>
      <c r="E83" t="s">
        <v>99</v>
      </c>
      <c r="G83">
        <f t="shared" si="11"/>
        <v>432.22331217821244</v>
      </c>
      <c r="K83" s="11"/>
    </row>
  </sheetData>
  <mergeCells count="3">
    <mergeCell ref="B6:C6"/>
    <mergeCell ref="B33:D33"/>
    <mergeCell ref="C2:M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516C-0E0B-409C-9B12-D94515ACE06A}">
  <dimension ref="B2:P84"/>
  <sheetViews>
    <sheetView topLeftCell="B1" zoomScale="74" workbookViewId="0">
      <selection activeCell="O24" sqref="O24"/>
    </sheetView>
  </sheetViews>
  <sheetFormatPr defaultRowHeight="14.5" x14ac:dyDescent="0.35"/>
  <cols>
    <col min="6" max="6" width="12.6328125" customWidth="1"/>
    <col min="7" max="7" width="8.7265625" hidden="1" customWidth="1"/>
    <col min="8" max="8" width="6.453125" customWidth="1"/>
    <col min="9" max="9" width="9.7265625" customWidth="1"/>
    <col min="10" max="10" width="10.26953125" customWidth="1"/>
    <col min="13" max="13" width="9.36328125" bestFit="1" customWidth="1"/>
  </cols>
  <sheetData>
    <row r="2" spans="2:15" ht="17" customHeight="1" x14ac:dyDescent="0.35">
      <c r="C2" s="23" t="s">
        <v>77</v>
      </c>
      <c r="D2" s="23"/>
      <c r="E2" s="23"/>
      <c r="F2" s="23"/>
      <c r="G2" s="23"/>
      <c r="H2" s="23"/>
      <c r="I2" s="23"/>
      <c r="J2" s="23"/>
    </row>
    <row r="3" spans="2:15" ht="17" customHeight="1" x14ac:dyDescent="0.35">
      <c r="C3" s="23"/>
      <c r="D3" s="23"/>
      <c r="E3" s="23"/>
      <c r="F3" s="23"/>
      <c r="G3" s="23"/>
      <c r="H3" s="23"/>
      <c r="I3" s="23"/>
      <c r="J3" s="23"/>
    </row>
    <row r="4" spans="2:15" ht="17" customHeight="1" x14ac:dyDescent="0.35">
      <c r="C4" s="23"/>
      <c r="D4" s="23"/>
      <c r="E4" s="23"/>
      <c r="F4" s="23"/>
      <c r="G4" s="23"/>
      <c r="H4" s="23"/>
      <c r="I4" s="23"/>
      <c r="J4" s="23"/>
    </row>
    <row r="6" spans="2:15" x14ac:dyDescent="0.35">
      <c r="B6" s="21" t="s">
        <v>59</v>
      </c>
      <c r="C6" s="21"/>
    </row>
    <row r="7" spans="2:15" ht="29" x14ac:dyDescent="0.35">
      <c r="B7" s="1" t="s">
        <v>0</v>
      </c>
      <c r="C7" s="1" t="s">
        <v>1</v>
      </c>
      <c r="D7" s="1" t="s">
        <v>91</v>
      </c>
      <c r="E7" s="2" t="s">
        <v>109</v>
      </c>
      <c r="F7" s="1" t="s">
        <v>78</v>
      </c>
      <c r="G7" s="1"/>
      <c r="H7" s="1" t="s">
        <v>64</v>
      </c>
      <c r="I7" s="1" t="s">
        <v>62</v>
      </c>
      <c r="J7" s="1" t="s">
        <v>63</v>
      </c>
      <c r="K7" s="1" t="s">
        <v>65</v>
      </c>
      <c r="O7" s="1"/>
    </row>
    <row r="8" spans="2:15" x14ac:dyDescent="0.35">
      <c r="B8">
        <v>1</v>
      </c>
      <c r="C8">
        <v>2022</v>
      </c>
      <c r="D8" t="s">
        <v>92</v>
      </c>
      <c r="E8">
        <v>809</v>
      </c>
      <c r="F8">
        <f t="shared" ref="F8:F27" si="0">0.6615*B8+741.33</f>
        <v>741.99150000000009</v>
      </c>
      <c r="H8">
        <f>F8-E8</f>
        <v>-67.008499999999913</v>
      </c>
      <c r="I8">
        <f>ABS(H8)</f>
        <v>67.008499999999913</v>
      </c>
      <c r="J8">
        <f>I8*I8</f>
        <v>4490.1390722499882</v>
      </c>
      <c r="K8" s="11">
        <f>I8/E8</f>
        <v>8.2828800988875045E-2</v>
      </c>
    </row>
    <row r="9" spans="2:15" x14ac:dyDescent="0.35">
      <c r="B9">
        <v>2</v>
      </c>
      <c r="C9">
        <v>2022</v>
      </c>
      <c r="D9" t="s">
        <v>93</v>
      </c>
      <c r="E9">
        <v>715</v>
      </c>
      <c r="F9">
        <f t="shared" si="0"/>
        <v>742.65300000000002</v>
      </c>
      <c r="H9">
        <f t="shared" ref="H9:H25" si="1">F9-E9</f>
        <v>27.65300000000002</v>
      </c>
      <c r="I9">
        <f t="shared" ref="I9:I25" si="2">ABS(H9)</f>
        <v>27.65300000000002</v>
      </c>
      <c r="J9">
        <f t="shared" ref="J9:J25" si="3">I9*I9</f>
        <v>764.68840900000112</v>
      </c>
      <c r="K9" s="11">
        <f t="shared" ref="K9:K25" si="4">I9/E9</f>
        <v>3.8675524475524505E-2</v>
      </c>
    </row>
    <row r="10" spans="2:15" x14ac:dyDescent="0.35">
      <c r="B10">
        <v>3</v>
      </c>
      <c r="C10">
        <v>2022</v>
      </c>
      <c r="D10" t="s">
        <v>94</v>
      </c>
      <c r="E10">
        <v>541</v>
      </c>
      <c r="F10">
        <f t="shared" si="0"/>
        <v>743.31450000000007</v>
      </c>
      <c r="H10">
        <f t="shared" si="1"/>
        <v>202.31450000000007</v>
      </c>
      <c r="I10">
        <f t="shared" si="2"/>
        <v>202.31450000000007</v>
      </c>
      <c r="J10">
        <f t="shared" si="3"/>
        <v>40931.156910250029</v>
      </c>
      <c r="K10" s="11">
        <f t="shared" si="4"/>
        <v>0.37396395563770807</v>
      </c>
    </row>
    <row r="11" spans="2:15" x14ac:dyDescent="0.35">
      <c r="B11">
        <v>4</v>
      </c>
      <c r="C11">
        <v>2022</v>
      </c>
      <c r="D11" t="s">
        <v>95</v>
      </c>
      <c r="E11">
        <v>994</v>
      </c>
      <c r="F11">
        <f t="shared" si="0"/>
        <v>743.976</v>
      </c>
      <c r="H11">
        <f t="shared" si="1"/>
        <v>-250.024</v>
      </c>
      <c r="I11">
        <f t="shared" si="2"/>
        <v>250.024</v>
      </c>
      <c r="J11">
        <f t="shared" si="3"/>
        <v>62512.000575999999</v>
      </c>
      <c r="K11" s="11">
        <f t="shared" si="4"/>
        <v>0.25153319919517103</v>
      </c>
    </row>
    <row r="12" spans="2:15" x14ac:dyDescent="0.35">
      <c r="B12">
        <v>5</v>
      </c>
      <c r="C12">
        <v>2022</v>
      </c>
      <c r="D12" t="s">
        <v>96</v>
      </c>
      <c r="E12">
        <v>745</v>
      </c>
      <c r="F12">
        <f t="shared" si="0"/>
        <v>744.63750000000005</v>
      </c>
      <c r="H12">
        <f t="shared" si="1"/>
        <v>-0.36249999999995453</v>
      </c>
      <c r="I12">
        <f t="shared" si="2"/>
        <v>0.36249999999995453</v>
      </c>
      <c r="J12">
        <f t="shared" si="3"/>
        <v>0.13140624999996703</v>
      </c>
      <c r="K12" s="11">
        <f t="shared" si="4"/>
        <v>4.8657718120799265E-4</v>
      </c>
    </row>
    <row r="13" spans="2:15" x14ac:dyDescent="0.35">
      <c r="B13">
        <v>6</v>
      </c>
      <c r="C13">
        <v>2022</v>
      </c>
      <c r="D13" t="s">
        <v>97</v>
      </c>
      <c r="E13">
        <v>663</v>
      </c>
      <c r="F13">
        <f t="shared" si="0"/>
        <v>745.29900000000009</v>
      </c>
      <c r="H13">
        <f t="shared" si="1"/>
        <v>82.299000000000092</v>
      </c>
      <c r="I13">
        <f t="shared" si="2"/>
        <v>82.299000000000092</v>
      </c>
      <c r="J13">
        <f t="shared" si="3"/>
        <v>6773.1254010000148</v>
      </c>
      <c r="K13" s="11">
        <f t="shared" si="4"/>
        <v>0.12413122171945715</v>
      </c>
    </row>
    <row r="14" spans="2:15" x14ac:dyDescent="0.35">
      <c r="B14">
        <v>7</v>
      </c>
      <c r="C14">
        <v>2022</v>
      </c>
      <c r="D14" t="s">
        <v>98</v>
      </c>
      <c r="E14">
        <v>607</v>
      </c>
      <c r="F14">
        <f t="shared" si="0"/>
        <v>745.96050000000002</v>
      </c>
      <c r="H14">
        <f t="shared" si="1"/>
        <v>138.96050000000002</v>
      </c>
      <c r="I14">
        <f t="shared" si="2"/>
        <v>138.96050000000002</v>
      </c>
      <c r="J14">
        <f t="shared" si="3"/>
        <v>19310.020560250006</v>
      </c>
      <c r="K14" s="11">
        <f t="shared" si="4"/>
        <v>0.22892998352553545</v>
      </c>
    </row>
    <row r="15" spans="2:15" x14ac:dyDescent="0.35">
      <c r="B15">
        <v>8</v>
      </c>
      <c r="C15">
        <v>2022</v>
      </c>
      <c r="D15" t="s">
        <v>99</v>
      </c>
      <c r="E15">
        <v>976</v>
      </c>
      <c r="F15">
        <f t="shared" si="0"/>
        <v>746.62200000000007</v>
      </c>
      <c r="H15">
        <f t="shared" si="1"/>
        <v>-229.37799999999993</v>
      </c>
      <c r="I15">
        <f t="shared" si="2"/>
        <v>229.37799999999993</v>
      </c>
      <c r="J15">
        <f t="shared" si="3"/>
        <v>52614.266883999968</v>
      </c>
      <c r="K15" s="11">
        <f t="shared" si="4"/>
        <v>0.23501844262295074</v>
      </c>
    </row>
    <row r="16" spans="2:15" x14ac:dyDescent="0.35">
      <c r="B16">
        <v>9</v>
      </c>
      <c r="C16">
        <v>2022</v>
      </c>
      <c r="D16" t="s">
        <v>100</v>
      </c>
      <c r="E16">
        <v>752</v>
      </c>
      <c r="F16">
        <f t="shared" si="0"/>
        <v>747.2835</v>
      </c>
      <c r="H16">
        <f t="shared" si="1"/>
        <v>-4.7164999999999964</v>
      </c>
      <c r="I16">
        <f t="shared" si="2"/>
        <v>4.7164999999999964</v>
      </c>
      <c r="J16">
        <f t="shared" si="3"/>
        <v>22.245372249999967</v>
      </c>
      <c r="K16" s="11">
        <f t="shared" si="4"/>
        <v>6.2719414893616975E-3</v>
      </c>
    </row>
    <row r="17" spans="2:15" x14ac:dyDescent="0.35">
      <c r="B17">
        <v>10</v>
      </c>
      <c r="C17">
        <v>2022</v>
      </c>
      <c r="D17" t="s">
        <v>101</v>
      </c>
      <c r="E17">
        <v>645</v>
      </c>
      <c r="F17">
        <f t="shared" si="0"/>
        <v>747.94500000000005</v>
      </c>
      <c r="H17">
        <f t="shared" si="1"/>
        <v>102.94500000000005</v>
      </c>
      <c r="I17">
        <f t="shared" si="2"/>
        <v>102.94500000000005</v>
      </c>
      <c r="J17">
        <f t="shared" si="3"/>
        <v>10597.673025000011</v>
      </c>
      <c r="K17" s="11">
        <f t="shared" si="4"/>
        <v>0.15960465116279077</v>
      </c>
    </row>
    <row r="18" spans="2:15" x14ac:dyDescent="0.35">
      <c r="B18">
        <v>11</v>
      </c>
      <c r="C18">
        <v>2022</v>
      </c>
      <c r="D18" t="s">
        <v>102</v>
      </c>
      <c r="E18">
        <v>618</v>
      </c>
      <c r="F18">
        <f t="shared" si="0"/>
        <v>748.6065000000001</v>
      </c>
      <c r="H18">
        <f t="shared" si="1"/>
        <v>130.6065000000001</v>
      </c>
      <c r="I18">
        <f t="shared" si="2"/>
        <v>130.6065000000001</v>
      </c>
      <c r="J18">
        <f t="shared" si="3"/>
        <v>17058.057842250026</v>
      </c>
      <c r="K18" s="11">
        <f t="shared" si="4"/>
        <v>0.21133737864077687</v>
      </c>
    </row>
    <row r="19" spans="2:15" x14ac:dyDescent="0.35">
      <c r="B19">
        <v>12</v>
      </c>
      <c r="C19">
        <v>2022</v>
      </c>
      <c r="D19" t="s">
        <v>103</v>
      </c>
      <c r="E19">
        <v>943</v>
      </c>
      <c r="F19">
        <f t="shared" si="0"/>
        <v>749.26800000000003</v>
      </c>
      <c r="H19">
        <f t="shared" si="1"/>
        <v>-193.73199999999997</v>
      </c>
      <c r="I19">
        <f t="shared" si="2"/>
        <v>193.73199999999997</v>
      </c>
      <c r="J19">
        <f t="shared" si="3"/>
        <v>37532.087823999987</v>
      </c>
      <c r="K19" s="11">
        <f t="shared" si="4"/>
        <v>0.20544220572640506</v>
      </c>
    </row>
    <row r="20" spans="2:15" x14ac:dyDescent="0.35">
      <c r="B20">
        <v>13</v>
      </c>
      <c r="C20">
        <v>2023</v>
      </c>
      <c r="D20" t="s">
        <v>92</v>
      </c>
      <c r="E20">
        <v>740</v>
      </c>
      <c r="F20">
        <f t="shared" si="0"/>
        <v>749.92950000000008</v>
      </c>
      <c r="H20">
        <f t="shared" si="1"/>
        <v>9.9295000000000755</v>
      </c>
      <c r="I20">
        <f t="shared" si="2"/>
        <v>9.9295000000000755</v>
      </c>
      <c r="J20">
        <f t="shared" si="3"/>
        <v>98.594970250001495</v>
      </c>
      <c r="K20" s="11">
        <f t="shared" si="4"/>
        <v>1.3418243243243345E-2</v>
      </c>
    </row>
    <row r="21" spans="2:15" x14ac:dyDescent="0.35">
      <c r="B21">
        <v>14</v>
      </c>
      <c r="C21">
        <v>2023</v>
      </c>
      <c r="D21" t="s">
        <v>93</v>
      </c>
      <c r="E21">
        <v>686</v>
      </c>
      <c r="F21">
        <f t="shared" si="0"/>
        <v>750.59100000000001</v>
      </c>
      <c r="H21">
        <f t="shared" si="1"/>
        <v>64.591000000000008</v>
      </c>
      <c r="I21">
        <f t="shared" si="2"/>
        <v>64.591000000000008</v>
      </c>
      <c r="J21">
        <f t="shared" si="3"/>
        <v>4171.9972810000008</v>
      </c>
      <c r="K21" s="11">
        <f t="shared" si="4"/>
        <v>9.4155976676384853E-2</v>
      </c>
    </row>
    <row r="22" spans="2:15" x14ac:dyDescent="0.35">
      <c r="B22">
        <v>15</v>
      </c>
      <c r="C22">
        <v>2023</v>
      </c>
      <c r="D22" t="s">
        <v>94</v>
      </c>
      <c r="E22">
        <v>572</v>
      </c>
      <c r="F22">
        <f t="shared" si="0"/>
        <v>751.25250000000005</v>
      </c>
      <c r="H22">
        <f t="shared" si="1"/>
        <v>179.25250000000005</v>
      </c>
      <c r="I22">
        <f t="shared" si="2"/>
        <v>179.25250000000005</v>
      </c>
      <c r="J22">
        <f t="shared" si="3"/>
        <v>32131.45875625002</v>
      </c>
      <c r="K22" s="11">
        <f t="shared" si="4"/>
        <v>0.31337849650349658</v>
      </c>
    </row>
    <row r="23" spans="2:15" x14ac:dyDescent="0.35">
      <c r="B23">
        <v>16</v>
      </c>
      <c r="C23">
        <v>2023</v>
      </c>
      <c r="D23" t="s">
        <v>95</v>
      </c>
      <c r="E23">
        <v>965</v>
      </c>
      <c r="F23">
        <f t="shared" si="0"/>
        <v>751.91399999999999</v>
      </c>
      <c r="H23">
        <f t="shared" si="1"/>
        <v>-213.08600000000001</v>
      </c>
      <c r="I23">
        <f t="shared" si="2"/>
        <v>213.08600000000001</v>
      </c>
      <c r="J23">
        <f t="shared" si="3"/>
        <v>45405.643396000007</v>
      </c>
      <c r="K23" s="11">
        <f t="shared" si="4"/>
        <v>0.22081450777202075</v>
      </c>
    </row>
    <row r="24" spans="2:15" x14ac:dyDescent="0.35">
      <c r="B24">
        <v>17</v>
      </c>
      <c r="C24">
        <v>2023</v>
      </c>
      <c r="D24" t="s">
        <v>96</v>
      </c>
      <c r="E24">
        <v>760</v>
      </c>
      <c r="F24">
        <f t="shared" si="0"/>
        <v>752.57550000000003</v>
      </c>
      <c r="H24">
        <f t="shared" si="1"/>
        <v>-7.4244999999999663</v>
      </c>
      <c r="I24">
        <f t="shared" si="2"/>
        <v>7.4244999999999663</v>
      </c>
      <c r="J24">
        <f t="shared" si="3"/>
        <v>55.123200249999499</v>
      </c>
      <c r="K24" s="11">
        <f t="shared" si="4"/>
        <v>9.7690789473683769E-3</v>
      </c>
      <c r="N24" t="s">
        <v>13</v>
      </c>
      <c r="O24">
        <f>AVERAGE(I8:I25)</f>
        <v>107.30669444444445</v>
      </c>
    </row>
    <row r="25" spans="2:15" x14ac:dyDescent="0.35">
      <c r="B25">
        <v>18</v>
      </c>
      <c r="C25">
        <v>2023</v>
      </c>
      <c r="D25" t="s">
        <v>97</v>
      </c>
      <c r="E25">
        <v>726</v>
      </c>
      <c r="F25">
        <f t="shared" si="0"/>
        <v>753.23700000000008</v>
      </c>
      <c r="H25">
        <f t="shared" si="1"/>
        <v>27.23700000000008</v>
      </c>
      <c r="I25">
        <f t="shared" si="2"/>
        <v>27.23700000000008</v>
      </c>
      <c r="J25">
        <f t="shared" si="3"/>
        <v>741.85416900000439</v>
      </c>
      <c r="K25" s="11">
        <f t="shared" si="4"/>
        <v>3.7516528925619942E-2</v>
      </c>
      <c r="N25" t="s">
        <v>66</v>
      </c>
      <c r="O25">
        <f>AVERAGE(J8:J25)</f>
        <v>18622.79250306945</v>
      </c>
    </row>
    <row r="26" spans="2:15" x14ac:dyDescent="0.35">
      <c r="B26">
        <v>19</v>
      </c>
      <c r="C26">
        <v>2023</v>
      </c>
      <c r="D26" t="s">
        <v>98</v>
      </c>
      <c r="F26">
        <f t="shared" si="0"/>
        <v>753.89850000000001</v>
      </c>
      <c r="K26" s="11"/>
      <c r="N26" t="s">
        <v>14</v>
      </c>
      <c r="O26" s="11">
        <f>AVERAGE(K8:K25)</f>
        <v>0.14484870635743879</v>
      </c>
    </row>
    <row r="27" spans="2:15" x14ac:dyDescent="0.35">
      <c r="B27">
        <v>20</v>
      </c>
      <c r="C27">
        <v>2023</v>
      </c>
      <c r="D27" t="s">
        <v>99</v>
      </c>
      <c r="F27">
        <f t="shared" si="0"/>
        <v>754.56000000000006</v>
      </c>
      <c r="K27" s="11"/>
    </row>
    <row r="31" spans="2:15" ht="15" thickBot="1" x14ac:dyDescent="0.4"/>
    <row r="32" spans="2:15" s="16" customFormat="1" ht="15" thickTop="1" x14ac:dyDescent="0.35"/>
    <row r="33" spans="2:13" ht="17" x14ac:dyDescent="0.5">
      <c r="B33" s="20" t="s">
        <v>60</v>
      </c>
      <c r="C33" s="20"/>
      <c r="D33" s="20"/>
    </row>
    <row r="35" spans="2:13" x14ac:dyDescent="0.35">
      <c r="B35" s="1" t="s">
        <v>0</v>
      </c>
      <c r="C35" s="1" t="s">
        <v>1</v>
      </c>
      <c r="D35" s="1" t="s">
        <v>91</v>
      </c>
      <c r="E35" s="1" t="s">
        <v>54</v>
      </c>
      <c r="F35" s="1" t="s">
        <v>55</v>
      </c>
      <c r="G35" s="1" t="s">
        <v>56</v>
      </c>
      <c r="H35" s="1" t="s">
        <v>78</v>
      </c>
      <c r="I35" s="1"/>
      <c r="J35" s="1" t="s">
        <v>64</v>
      </c>
      <c r="K35" s="1" t="s">
        <v>62</v>
      </c>
      <c r="L35" s="1" t="s">
        <v>63</v>
      </c>
      <c r="M35" s="1" t="s">
        <v>65</v>
      </c>
    </row>
    <row r="36" spans="2:13" x14ac:dyDescent="0.35">
      <c r="B36">
        <v>1</v>
      </c>
      <c r="C36">
        <v>2022</v>
      </c>
      <c r="D36" t="s">
        <v>92</v>
      </c>
      <c r="E36">
        <v>555</v>
      </c>
      <c r="F36">
        <v>15</v>
      </c>
      <c r="G36">
        <f>E36+F36</f>
        <v>570</v>
      </c>
      <c r="H36">
        <f>2.9814*B36+621.84</f>
        <v>624.82140000000004</v>
      </c>
      <c r="J36">
        <f>H36-G36</f>
        <v>54.82140000000004</v>
      </c>
      <c r="K36">
        <f>ABS(J36)</f>
        <v>54.82140000000004</v>
      </c>
      <c r="L36">
        <f>K36*K36</f>
        <v>3005.3858979600045</v>
      </c>
      <c r="M36" s="11">
        <f>K36/G36</f>
        <v>9.617789473684217E-2</v>
      </c>
    </row>
    <row r="37" spans="2:13" x14ac:dyDescent="0.35">
      <c r="B37">
        <v>2</v>
      </c>
      <c r="C37">
        <v>2022</v>
      </c>
      <c r="D37" t="s">
        <v>93</v>
      </c>
      <c r="E37">
        <v>670</v>
      </c>
      <c r="F37">
        <v>19</v>
      </c>
      <c r="G37">
        <f t="shared" ref="G37:G53" si="5">E37+F37</f>
        <v>689</v>
      </c>
      <c r="H37">
        <f t="shared" ref="H37:H55" si="6">2.9814*B37+621.84</f>
        <v>627.80280000000005</v>
      </c>
      <c r="J37">
        <f t="shared" ref="J37:J53" si="7">H37-G37</f>
        <v>-61.197199999999953</v>
      </c>
      <c r="K37">
        <f t="shared" ref="K37:K53" si="8">ABS(J37)</f>
        <v>61.197199999999953</v>
      </c>
      <c r="L37">
        <f t="shared" ref="L37:L53" si="9">K37*K37</f>
        <v>3745.0972878399944</v>
      </c>
      <c r="M37" s="11">
        <f t="shared" ref="M37:M53" si="10">K37/G37</f>
        <v>8.8820319303338099E-2</v>
      </c>
    </row>
    <row r="38" spans="2:13" x14ac:dyDescent="0.35">
      <c r="B38">
        <v>3</v>
      </c>
      <c r="C38">
        <v>2022</v>
      </c>
      <c r="D38" t="s">
        <v>94</v>
      </c>
      <c r="E38">
        <v>440</v>
      </c>
      <c r="F38">
        <v>16</v>
      </c>
      <c r="G38">
        <f t="shared" si="5"/>
        <v>456</v>
      </c>
      <c r="H38">
        <f t="shared" si="6"/>
        <v>630.78420000000006</v>
      </c>
      <c r="J38">
        <f t="shared" si="7"/>
        <v>174.78420000000006</v>
      </c>
      <c r="K38">
        <f t="shared" si="8"/>
        <v>174.78420000000006</v>
      </c>
      <c r="L38">
        <f t="shared" si="9"/>
        <v>30549.516569640018</v>
      </c>
      <c r="M38" s="11">
        <f t="shared" si="10"/>
        <v>0.38329868421052643</v>
      </c>
    </row>
    <row r="39" spans="2:13" x14ac:dyDescent="0.35">
      <c r="B39">
        <v>4</v>
      </c>
      <c r="C39">
        <v>2022</v>
      </c>
      <c r="D39" t="s">
        <v>95</v>
      </c>
      <c r="E39">
        <v>828</v>
      </c>
      <c r="F39">
        <v>17</v>
      </c>
      <c r="G39">
        <f t="shared" si="5"/>
        <v>845</v>
      </c>
      <c r="H39">
        <f t="shared" si="6"/>
        <v>633.76560000000006</v>
      </c>
      <c r="J39">
        <f t="shared" si="7"/>
        <v>-211.23439999999994</v>
      </c>
      <c r="K39">
        <f t="shared" si="8"/>
        <v>211.23439999999994</v>
      </c>
      <c r="L39">
        <f t="shared" si="9"/>
        <v>44619.971743359973</v>
      </c>
      <c r="M39" s="11">
        <f t="shared" si="10"/>
        <v>0.24998153846153839</v>
      </c>
    </row>
    <row r="40" spans="2:13" x14ac:dyDescent="0.35">
      <c r="B40">
        <v>5</v>
      </c>
      <c r="C40">
        <v>2022</v>
      </c>
      <c r="D40" t="s">
        <v>96</v>
      </c>
      <c r="E40">
        <v>549</v>
      </c>
      <c r="F40">
        <v>20</v>
      </c>
      <c r="G40">
        <f t="shared" si="5"/>
        <v>569</v>
      </c>
      <c r="H40">
        <f t="shared" si="6"/>
        <v>636.74700000000007</v>
      </c>
      <c r="J40">
        <f t="shared" si="7"/>
        <v>67.747000000000071</v>
      </c>
      <c r="K40">
        <f t="shared" si="8"/>
        <v>67.747000000000071</v>
      </c>
      <c r="L40">
        <f t="shared" si="9"/>
        <v>4589.6560090000094</v>
      </c>
      <c r="M40" s="11">
        <f t="shared" si="10"/>
        <v>0.1190632688927945</v>
      </c>
    </row>
    <row r="41" spans="2:13" x14ac:dyDescent="0.35">
      <c r="B41">
        <v>6</v>
      </c>
      <c r="C41">
        <v>2022</v>
      </c>
      <c r="D41" t="s">
        <v>97</v>
      </c>
      <c r="E41">
        <v>600</v>
      </c>
      <c r="F41">
        <v>38</v>
      </c>
      <c r="G41">
        <f t="shared" si="5"/>
        <v>638</v>
      </c>
      <c r="H41">
        <f t="shared" si="6"/>
        <v>639.72840000000008</v>
      </c>
      <c r="J41">
        <f t="shared" si="7"/>
        <v>1.7284000000000788</v>
      </c>
      <c r="K41">
        <f t="shared" si="8"/>
        <v>1.7284000000000788</v>
      </c>
      <c r="L41">
        <f t="shared" si="9"/>
        <v>2.9873665600002721</v>
      </c>
      <c r="M41" s="11">
        <f t="shared" si="10"/>
        <v>2.7090909090910324E-3</v>
      </c>
    </row>
    <row r="42" spans="2:13" x14ac:dyDescent="0.35">
      <c r="B42">
        <v>7</v>
      </c>
      <c r="C42">
        <v>2022</v>
      </c>
      <c r="D42" t="s">
        <v>98</v>
      </c>
      <c r="E42">
        <v>488</v>
      </c>
      <c r="F42">
        <v>14</v>
      </c>
      <c r="G42">
        <f t="shared" si="5"/>
        <v>502</v>
      </c>
      <c r="H42">
        <f t="shared" si="6"/>
        <v>642.70980000000009</v>
      </c>
      <c r="J42">
        <f t="shared" si="7"/>
        <v>140.70980000000009</v>
      </c>
      <c r="K42">
        <f t="shared" si="8"/>
        <v>140.70980000000009</v>
      </c>
      <c r="L42">
        <f t="shared" si="9"/>
        <v>19799.247816040024</v>
      </c>
      <c r="M42" s="11">
        <f t="shared" si="10"/>
        <v>0.28029840637450215</v>
      </c>
    </row>
    <row r="43" spans="2:13" x14ac:dyDescent="0.35">
      <c r="B43">
        <v>8</v>
      </c>
      <c r="C43">
        <v>2022</v>
      </c>
      <c r="D43" t="s">
        <v>99</v>
      </c>
      <c r="E43">
        <v>860</v>
      </c>
      <c r="F43">
        <v>18</v>
      </c>
      <c r="G43">
        <f t="shared" si="5"/>
        <v>878</v>
      </c>
      <c r="H43">
        <f t="shared" si="6"/>
        <v>645.69119999999998</v>
      </c>
      <c r="J43">
        <f t="shared" si="7"/>
        <v>-232.30880000000002</v>
      </c>
      <c r="K43">
        <f t="shared" si="8"/>
        <v>232.30880000000002</v>
      </c>
      <c r="L43">
        <f t="shared" si="9"/>
        <v>53967.37855744001</v>
      </c>
      <c r="M43" s="11">
        <f t="shared" si="10"/>
        <v>0.26458861047835991</v>
      </c>
    </row>
    <row r="44" spans="2:13" x14ac:dyDescent="0.35">
      <c r="B44">
        <v>9</v>
      </c>
      <c r="C44">
        <v>2022</v>
      </c>
      <c r="D44" t="s">
        <v>100</v>
      </c>
      <c r="E44">
        <v>542</v>
      </c>
      <c r="F44">
        <v>25</v>
      </c>
      <c r="G44">
        <f t="shared" si="5"/>
        <v>567</v>
      </c>
      <c r="H44">
        <f t="shared" si="6"/>
        <v>648.67259999999999</v>
      </c>
      <c r="J44">
        <f t="shared" si="7"/>
        <v>81.672599999999989</v>
      </c>
      <c r="K44">
        <f t="shared" si="8"/>
        <v>81.672599999999989</v>
      </c>
      <c r="L44">
        <f t="shared" si="9"/>
        <v>6670.4135907599984</v>
      </c>
      <c r="M44" s="11">
        <f t="shared" si="10"/>
        <v>0.14404338624338622</v>
      </c>
    </row>
    <row r="45" spans="2:13" x14ac:dyDescent="0.35">
      <c r="B45">
        <v>10</v>
      </c>
      <c r="C45">
        <v>2022</v>
      </c>
      <c r="D45" t="s">
        <v>101</v>
      </c>
      <c r="E45">
        <v>645</v>
      </c>
      <c r="F45">
        <v>28</v>
      </c>
      <c r="G45">
        <f t="shared" si="5"/>
        <v>673</v>
      </c>
      <c r="H45">
        <f t="shared" si="6"/>
        <v>651.654</v>
      </c>
      <c r="J45">
        <f t="shared" si="7"/>
        <v>-21.346000000000004</v>
      </c>
      <c r="K45">
        <f t="shared" si="8"/>
        <v>21.346000000000004</v>
      </c>
      <c r="L45">
        <f t="shared" si="9"/>
        <v>455.65171600000014</v>
      </c>
      <c r="M45" s="11">
        <f t="shared" si="10"/>
        <v>3.1717682020802385E-2</v>
      </c>
    </row>
    <row r="46" spans="2:13" x14ac:dyDescent="0.35">
      <c r="B46">
        <v>11</v>
      </c>
      <c r="C46">
        <v>2022</v>
      </c>
      <c r="D46" t="s">
        <v>102</v>
      </c>
      <c r="E46">
        <v>508</v>
      </c>
      <c r="F46">
        <v>30</v>
      </c>
      <c r="G46">
        <f t="shared" si="5"/>
        <v>538</v>
      </c>
      <c r="H46">
        <f t="shared" si="6"/>
        <v>654.6354</v>
      </c>
      <c r="J46">
        <f t="shared" si="7"/>
        <v>116.6354</v>
      </c>
      <c r="K46">
        <f t="shared" si="8"/>
        <v>116.6354</v>
      </c>
      <c r="L46">
        <f t="shared" si="9"/>
        <v>13603.816533160001</v>
      </c>
      <c r="M46" s="11">
        <f t="shared" si="10"/>
        <v>0.21679442379182157</v>
      </c>
    </row>
    <row r="47" spans="2:13" x14ac:dyDescent="0.35">
      <c r="B47">
        <v>12</v>
      </c>
      <c r="C47">
        <v>2022</v>
      </c>
      <c r="D47" t="s">
        <v>103</v>
      </c>
      <c r="E47">
        <v>897</v>
      </c>
      <c r="F47">
        <v>13</v>
      </c>
      <c r="G47">
        <f t="shared" si="5"/>
        <v>910</v>
      </c>
      <c r="H47">
        <f t="shared" si="6"/>
        <v>657.61680000000001</v>
      </c>
      <c r="J47">
        <f t="shared" si="7"/>
        <v>-252.38319999999999</v>
      </c>
      <c r="K47">
        <f t="shared" si="8"/>
        <v>252.38319999999999</v>
      </c>
      <c r="L47">
        <f t="shared" si="9"/>
        <v>63697.279642239992</v>
      </c>
      <c r="M47" s="11">
        <f t="shared" si="10"/>
        <v>0.27734417582417581</v>
      </c>
    </row>
    <row r="48" spans="2:13" x14ac:dyDescent="0.35">
      <c r="B48">
        <v>13</v>
      </c>
      <c r="C48">
        <v>2023</v>
      </c>
      <c r="D48" t="s">
        <v>92</v>
      </c>
      <c r="E48">
        <v>604</v>
      </c>
      <c r="F48">
        <v>19</v>
      </c>
      <c r="G48">
        <f t="shared" si="5"/>
        <v>623</v>
      </c>
      <c r="H48">
        <f t="shared" si="6"/>
        <v>660.59820000000002</v>
      </c>
      <c r="J48">
        <f t="shared" si="7"/>
        <v>37.59820000000002</v>
      </c>
      <c r="K48">
        <f t="shared" si="8"/>
        <v>37.59820000000002</v>
      </c>
      <c r="L48">
        <f t="shared" si="9"/>
        <v>1413.6246432400014</v>
      </c>
      <c r="M48" s="11">
        <f t="shared" si="10"/>
        <v>6.0350240770465524E-2</v>
      </c>
    </row>
    <row r="49" spans="2:16" x14ac:dyDescent="0.35">
      <c r="B49">
        <v>14</v>
      </c>
      <c r="C49">
        <v>2023</v>
      </c>
      <c r="D49" t="s">
        <v>93</v>
      </c>
      <c r="E49">
        <v>457</v>
      </c>
      <c r="F49">
        <v>31</v>
      </c>
      <c r="G49">
        <f t="shared" si="5"/>
        <v>488</v>
      </c>
      <c r="H49">
        <f t="shared" si="6"/>
        <v>663.57960000000003</v>
      </c>
      <c r="J49">
        <f t="shared" si="7"/>
        <v>175.57960000000003</v>
      </c>
      <c r="K49">
        <f t="shared" si="8"/>
        <v>175.57960000000003</v>
      </c>
      <c r="L49">
        <f t="shared" si="9"/>
        <v>30828.195936160009</v>
      </c>
      <c r="M49" s="11">
        <f t="shared" si="10"/>
        <v>0.35979426229508205</v>
      </c>
    </row>
    <row r="50" spans="2:16" x14ac:dyDescent="0.35">
      <c r="B50">
        <v>15</v>
      </c>
      <c r="C50">
        <v>2023</v>
      </c>
      <c r="D50" t="s">
        <v>94</v>
      </c>
      <c r="E50">
        <v>677</v>
      </c>
      <c r="F50">
        <v>12</v>
      </c>
      <c r="G50">
        <f t="shared" si="5"/>
        <v>689</v>
      </c>
      <c r="H50">
        <f t="shared" si="6"/>
        <v>666.56100000000004</v>
      </c>
      <c r="J50">
        <f t="shared" si="7"/>
        <v>-22.438999999999965</v>
      </c>
      <c r="K50">
        <f t="shared" si="8"/>
        <v>22.438999999999965</v>
      </c>
      <c r="L50">
        <f t="shared" si="9"/>
        <v>503.50872099999839</v>
      </c>
      <c r="M50" s="11">
        <f t="shared" si="10"/>
        <v>3.2567489114658878E-2</v>
      </c>
    </row>
    <row r="51" spans="2:16" x14ac:dyDescent="0.35">
      <c r="B51">
        <v>16</v>
      </c>
      <c r="C51">
        <v>2023</v>
      </c>
      <c r="D51" t="s">
        <v>95</v>
      </c>
      <c r="E51">
        <v>976</v>
      </c>
      <c r="F51">
        <v>13</v>
      </c>
      <c r="G51">
        <f t="shared" si="5"/>
        <v>989</v>
      </c>
      <c r="H51">
        <f t="shared" si="6"/>
        <v>669.54240000000004</v>
      </c>
      <c r="J51">
        <f t="shared" si="7"/>
        <v>-319.45759999999996</v>
      </c>
      <c r="K51">
        <f t="shared" si="8"/>
        <v>319.45759999999996</v>
      </c>
      <c r="L51">
        <f t="shared" si="9"/>
        <v>102053.15819775997</v>
      </c>
      <c r="M51" s="11">
        <f t="shared" si="10"/>
        <v>0.32301071789686547</v>
      </c>
    </row>
    <row r="52" spans="2:16" x14ac:dyDescent="0.35">
      <c r="B52">
        <v>17</v>
      </c>
      <c r="C52">
        <v>2023</v>
      </c>
      <c r="D52" t="s">
        <v>96</v>
      </c>
      <c r="E52">
        <v>456</v>
      </c>
      <c r="F52">
        <v>11</v>
      </c>
      <c r="G52">
        <f t="shared" si="5"/>
        <v>467</v>
      </c>
      <c r="H52">
        <f t="shared" si="6"/>
        <v>672.52380000000005</v>
      </c>
      <c r="J52">
        <f t="shared" si="7"/>
        <v>205.52380000000005</v>
      </c>
      <c r="K52">
        <f t="shared" si="8"/>
        <v>205.52380000000005</v>
      </c>
      <c r="L52">
        <f t="shared" si="9"/>
        <v>42240.03236644002</v>
      </c>
      <c r="M52" s="11">
        <f t="shared" si="10"/>
        <v>0.44009379014989303</v>
      </c>
    </row>
    <row r="53" spans="2:16" x14ac:dyDescent="0.35">
      <c r="B53">
        <v>18</v>
      </c>
      <c r="C53">
        <v>2023</v>
      </c>
      <c r="D53" t="s">
        <v>97</v>
      </c>
      <c r="E53">
        <v>602</v>
      </c>
      <c r="F53">
        <v>10</v>
      </c>
      <c r="G53">
        <f t="shared" si="5"/>
        <v>612</v>
      </c>
      <c r="H53">
        <f t="shared" si="6"/>
        <v>675.50520000000006</v>
      </c>
      <c r="J53">
        <f t="shared" si="7"/>
        <v>63.505200000000059</v>
      </c>
      <c r="K53">
        <f t="shared" si="8"/>
        <v>63.505200000000059</v>
      </c>
      <c r="L53">
        <f t="shared" si="9"/>
        <v>4032.9104270400076</v>
      </c>
      <c r="M53" s="11">
        <f t="shared" si="10"/>
        <v>0.10376666666666676</v>
      </c>
    </row>
    <row r="54" spans="2:16" x14ac:dyDescent="0.35">
      <c r="B54">
        <v>19</v>
      </c>
      <c r="C54">
        <v>2023</v>
      </c>
      <c r="D54" t="s">
        <v>98</v>
      </c>
      <c r="H54">
        <f t="shared" si="6"/>
        <v>678.48660000000007</v>
      </c>
      <c r="O54" t="s">
        <v>13</v>
      </c>
      <c r="P54">
        <f>AVERAGE(K36:K53)</f>
        <v>124.4817666666667</v>
      </c>
    </row>
    <row r="55" spans="2:16" x14ac:dyDescent="0.35">
      <c r="B55">
        <v>20</v>
      </c>
      <c r="C55">
        <v>2023</v>
      </c>
      <c r="D55" t="s">
        <v>99</v>
      </c>
      <c r="H55">
        <f t="shared" si="6"/>
        <v>681.46800000000007</v>
      </c>
      <c r="O55" t="s">
        <v>66</v>
      </c>
      <c r="P55">
        <f>AVERAGE(L36:L53)</f>
        <v>23654.324056757778</v>
      </c>
    </row>
    <row r="56" spans="2:16" x14ac:dyDescent="0.35">
      <c r="O56" t="s">
        <v>14</v>
      </c>
      <c r="P56" s="12">
        <f>AVERAGE(M36:M53)</f>
        <v>0.19302336934115613</v>
      </c>
    </row>
    <row r="59" spans="2:16" ht="15" thickBot="1" x14ac:dyDescent="0.4"/>
    <row r="60" spans="2:16" s="16" customFormat="1" ht="15" thickTop="1" x14ac:dyDescent="0.35"/>
    <row r="61" spans="2:16" ht="17" x14ac:dyDescent="0.5">
      <c r="C61" s="14" t="s">
        <v>61</v>
      </c>
      <c r="D61" s="14"/>
      <c r="E61" s="14"/>
      <c r="F61" s="14"/>
      <c r="G61" s="15"/>
    </row>
    <row r="63" spans="2:16" x14ac:dyDescent="0.35">
      <c r="C63" s="1" t="s">
        <v>0</v>
      </c>
      <c r="D63" s="1" t="s">
        <v>1</v>
      </c>
      <c r="E63" s="1" t="s">
        <v>91</v>
      </c>
      <c r="F63" s="1" t="s">
        <v>56</v>
      </c>
      <c r="G63" s="1" t="s">
        <v>78</v>
      </c>
      <c r="H63" s="1" t="s">
        <v>71</v>
      </c>
      <c r="I63" s="1" t="s">
        <v>74</v>
      </c>
      <c r="J63" s="1" t="s">
        <v>72</v>
      </c>
      <c r="K63" s="1" t="s">
        <v>73</v>
      </c>
    </row>
    <row r="64" spans="2:16" x14ac:dyDescent="0.35">
      <c r="C64">
        <v>1</v>
      </c>
      <c r="D64">
        <v>2022</v>
      </c>
      <c r="E64" t="s">
        <v>92</v>
      </c>
      <c r="F64">
        <v>417</v>
      </c>
      <c r="G64">
        <f>1.2456*C64+578.89</f>
        <v>580.13559999999995</v>
      </c>
      <c r="H64">
        <f>G64-F64</f>
        <v>163.13559999999995</v>
      </c>
      <c r="I64">
        <f>ABS(H64)</f>
        <v>163.13559999999995</v>
      </c>
      <c r="J64">
        <f>I64*I64</f>
        <v>26613.223987359986</v>
      </c>
      <c r="K64" s="11">
        <f>I64/F64</f>
        <v>0.39121247002398069</v>
      </c>
    </row>
    <row r="65" spans="3:15" x14ac:dyDescent="0.35">
      <c r="C65">
        <v>2</v>
      </c>
      <c r="D65">
        <v>2022</v>
      </c>
      <c r="E65" t="s">
        <v>93</v>
      </c>
      <c r="F65">
        <v>546</v>
      </c>
      <c r="G65">
        <f t="shared" ref="G65:G83" si="11">1.2456*C65+578.89</f>
        <v>581.38120000000004</v>
      </c>
      <c r="H65">
        <f t="shared" ref="H65:H81" si="12">G65-F65</f>
        <v>35.381200000000035</v>
      </c>
      <c r="I65">
        <f t="shared" ref="I65:I81" si="13">ABS(H65)</f>
        <v>35.381200000000035</v>
      </c>
      <c r="J65">
        <f t="shared" ref="J65:J81" si="14">I65*I65</f>
        <v>1251.8293134400026</v>
      </c>
      <c r="K65" s="11">
        <f t="shared" ref="K65:K81" si="15">I65/F65</f>
        <v>6.4800732600732672E-2</v>
      </c>
    </row>
    <row r="66" spans="3:15" x14ac:dyDescent="0.35">
      <c r="C66">
        <v>3</v>
      </c>
      <c r="D66">
        <v>2022</v>
      </c>
      <c r="E66" t="s">
        <v>94</v>
      </c>
      <c r="F66">
        <v>625</v>
      </c>
      <c r="G66">
        <f t="shared" si="11"/>
        <v>582.6268</v>
      </c>
      <c r="H66">
        <f t="shared" si="12"/>
        <v>-42.373199999999997</v>
      </c>
      <c r="I66">
        <f t="shared" si="13"/>
        <v>42.373199999999997</v>
      </c>
      <c r="J66">
        <f t="shared" si="14"/>
        <v>1795.4880782399998</v>
      </c>
      <c r="K66" s="11">
        <f t="shared" si="15"/>
        <v>6.7797119999999989E-2</v>
      </c>
    </row>
    <row r="67" spans="3:15" x14ac:dyDescent="0.35">
      <c r="C67">
        <v>4</v>
      </c>
      <c r="D67">
        <v>2022</v>
      </c>
      <c r="E67" t="s">
        <v>95</v>
      </c>
      <c r="F67">
        <v>780</v>
      </c>
      <c r="G67">
        <f t="shared" si="11"/>
        <v>583.87239999999997</v>
      </c>
      <c r="H67">
        <f t="shared" si="12"/>
        <v>-196.12760000000003</v>
      </c>
      <c r="I67">
        <f t="shared" si="13"/>
        <v>196.12760000000003</v>
      </c>
      <c r="J67">
        <f t="shared" si="14"/>
        <v>38466.035481760009</v>
      </c>
      <c r="K67" s="11">
        <f t="shared" si="15"/>
        <v>0.25144564102564104</v>
      </c>
    </row>
    <row r="68" spans="3:15" x14ac:dyDescent="0.35">
      <c r="C68">
        <v>5</v>
      </c>
      <c r="D68">
        <v>2022</v>
      </c>
      <c r="E68" t="s">
        <v>96</v>
      </c>
      <c r="F68">
        <v>424</v>
      </c>
      <c r="G68">
        <f t="shared" si="11"/>
        <v>585.11799999999994</v>
      </c>
      <c r="H68">
        <f t="shared" si="12"/>
        <v>161.11799999999994</v>
      </c>
      <c r="I68">
        <f t="shared" si="13"/>
        <v>161.11799999999994</v>
      </c>
      <c r="J68">
        <f t="shared" si="14"/>
        <v>25959.00992399998</v>
      </c>
      <c r="K68" s="11">
        <f t="shared" si="15"/>
        <v>0.37999528301886776</v>
      </c>
    </row>
    <row r="69" spans="3:15" x14ac:dyDescent="0.35">
      <c r="C69">
        <v>6</v>
      </c>
      <c r="D69">
        <v>2022</v>
      </c>
      <c r="E69" t="s">
        <v>97</v>
      </c>
      <c r="F69">
        <v>579</v>
      </c>
      <c r="G69">
        <f t="shared" si="11"/>
        <v>586.36360000000002</v>
      </c>
      <c r="H69">
        <f t="shared" si="12"/>
        <v>7.3636000000000195</v>
      </c>
      <c r="I69">
        <f t="shared" si="13"/>
        <v>7.3636000000000195</v>
      </c>
      <c r="J69">
        <f t="shared" si="14"/>
        <v>54.22260496000029</v>
      </c>
      <c r="K69" s="11">
        <f t="shared" si="15"/>
        <v>1.2717789291882589E-2</v>
      </c>
    </row>
    <row r="70" spans="3:15" x14ac:dyDescent="0.35">
      <c r="C70">
        <v>7</v>
      </c>
      <c r="D70">
        <v>2022</v>
      </c>
      <c r="E70" t="s">
        <v>98</v>
      </c>
      <c r="F70">
        <v>683</v>
      </c>
      <c r="G70">
        <f t="shared" si="11"/>
        <v>587.60919999999999</v>
      </c>
      <c r="H70">
        <f t="shared" si="12"/>
        <v>-95.390800000000013</v>
      </c>
      <c r="I70">
        <f t="shared" si="13"/>
        <v>95.390800000000013</v>
      </c>
      <c r="J70">
        <f t="shared" si="14"/>
        <v>9099.4047246400023</v>
      </c>
      <c r="K70" s="11">
        <f t="shared" si="15"/>
        <v>0.13966442166910689</v>
      </c>
    </row>
    <row r="71" spans="3:15" x14ac:dyDescent="0.35">
      <c r="C71">
        <v>8</v>
      </c>
      <c r="D71">
        <v>2022</v>
      </c>
      <c r="E71" t="s">
        <v>99</v>
      </c>
      <c r="F71">
        <v>793</v>
      </c>
      <c r="G71">
        <f t="shared" si="11"/>
        <v>588.85479999999995</v>
      </c>
      <c r="H71">
        <f t="shared" si="12"/>
        <v>-204.14520000000005</v>
      </c>
      <c r="I71">
        <f t="shared" si="13"/>
        <v>204.14520000000005</v>
      </c>
      <c r="J71">
        <f t="shared" si="14"/>
        <v>41675.262683040019</v>
      </c>
      <c r="K71" s="11">
        <f t="shared" si="15"/>
        <v>0.25743404791929386</v>
      </c>
    </row>
    <row r="72" spans="3:15" x14ac:dyDescent="0.35">
      <c r="C72">
        <v>9</v>
      </c>
      <c r="D72">
        <v>2022</v>
      </c>
      <c r="E72" t="s">
        <v>100</v>
      </c>
      <c r="F72">
        <v>401</v>
      </c>
      <c r="G72">
        <f t="shared" si="11"/>
        <v>590.10040000000004</v>
      </c>
      <c r="H72">
        <f t="shared" si="12"/>
        <v>189.10040000000004</v>
      </c>
      <c r="I72">
        <f t="shared" si="13"/>
        <v>189.10040000000004</v>
      </c>
      <c r="J72">
        <f t="shared" si="14"/>
        <v>35758.961280160016</v>
      </c>
      <c r="K72" s="11">
        <f t="shared" si="15"/>
        <v>0.47157206982543648</v>
      </c>
    </row>
    <row r="73" spans="3:15" x14ac:dyDescent="0.35">
      <c r="C73">
        <v>10</v>
      </c>
      <c r="D73">
        <v>2022</v>
      </c>
      <c r="E73" t="s">
        <v>101</v>
      </c>
      <c r="F73">
        <v>592</v>
      </c>
      <c r="G73">
        <f t="shared" si="11"/>
        <v>591.346</v>
      </c>
      <c r="H73">
        <f t="shared" si="12"/>
        <v>-0.65399999999999636</v>
      </c>
      <c r="I73">
        <f t="shared" si="13"/>
        <v>0.65399999999999636</v>
      </c>
      <c r="J73">
        <f t="shared" si="14"/>
        <v>0.42771599999999527</v>
      </c>
      <c r="K73" s="11">
        <f t="shared" si="15"/>
        <v>1.1047297297297235E-3</v>
      </c>
    </row>
    <row r="74" spans="3:15" x14ac:dyDescent="0.35">
      <c r="C74">
        <v>11</v>
      </c>
      <c r="D74">
        <v>2022</v>
      </c>
      <c r="E74" t="s">
        <v>102</v>
      </c>
      <c r="F74">
        <v>692</v>
      </c>
      <c r="G74">
        <f t="shared" si="11"/>
        <v>592.59159999999997</v>
      </c>
      <c r="H74">
        <f t="shared" si="12"/>
        <v>-99.408400000000029</v>
      </c>
      <c r="I74">
        <f t="shared" si="13"/>
        <v>99.408400000000029</v>
      </c>
      <c r="J74">
        <f t="shared" si="14"/>
        <v>9882.0299905600059</v>
      </c>
      <c r="K74" s="11">
        <f t="shared" si="15"/>
        <v>0.14365375722543355</v>
      </c>
    </row>
    <row r="75" spans="3:15" x14ac:dyDescent="0.35">
      <c r="C75">
        <v>12</v>
      </c>
      <c r="D75">
        <v>2022</v>
      </c>
      <c r="E75" t="s">
        <v>103</v>
      </c>
      <c r="F75">
        <v>720</v>
      </c>
      <c r="G75">
        <f t="shared" si="11"/>
        <v>593.83719999999994</v>
      </c>
      <c r="H75">
        <f t="shared" si="12"/>
        <v>-126.16280000000006</v>
      </c>
      <c r="I75">
        <f t="shared" si="13"/>
        <v>126.16280000000006</v>
      </c>
      <c r="J75">
        <f t="shared" si="14"/>
        <v>15917.052103840015</v>
      </c>
      <c r="K75" s="11">
        <f t="shared" si="15"/>
        <v>0.17522611111111119</v>
      </c>
    </row>
    <row r="76" spans="3:15" x14ac:dyDescent="0.35">
      <c r="C76">
        <v>13</v>
      </c>
      <c r="D76">
        <v>2023</v>
      </c>
      <c r="E76" t="s">
        <v>92</v>
      </c>
      <c r="F76">
        <v>493</v>
      </c>
      <c r="G76">
        <f t="shared" si="11"/>
        <v>595.08280000000002</v>
      </c>
      <c r="H76">
        <f t="shared" si="12"/>
        <v>102.08280000000002</v>
      </c>
      <c r="I76">
        <f t="shared" si="13"/>
        <v>102.08280000000002</v>
      </c>
      <c r="J76">
        <f t="shared" si="14"/>
        <v>10420.898055840004</v>
      </c>
      <c r="K76" s="11">
        <f t="shared" si="15"/>
        <v>0.20706450304259638</v>
      </c>
    </row>
    <row r="77" spans="3:15" x14ac:dyDescent="0.35">
      <c r="C77">
        <v>14</v>
      </c>
      <c r="D77">
        <v>2023</v>
      </c>
      <c r="E77" t="s">
        <v>93</v>
      </c>
      <c r="F77">
        <v>572</v>
      </c>
      <c r="G77">
        <f t="shared" si="11"/>
        <v>596.32839999999999</v>
      </c>
      <c r="H77">
        <f t="shared" si="12"/>
        <v>24.328399999999988</v>
      </c>
      <c r="I77">
        <f t="shared" si="13"/>
        <v>24.328399999999988</v>
      </c>
      <c r="J77">
        <f t="shared" si="14"/>
        <v>591.8710465599994</v>
      </c>
      <c r="K77" s="11">
        <f t="shared" si="15"/>
        <v>4.253216783216781E-2</v>
      </c>
    </row>
    <row r="78" spans="3:15" x14ac:dyDescent="0.35">
      <c r="C78">
        <v>15</v>
      </c>
      <c r="D78">
        <v>2023</v>
      </c>
      <c r="E78" t="s">
        <v>94</v>
      </c>
      <c r="F78">
        <v>682</v>
      </c>
      <c r="G78">
        <f t="shared" si="11"/>
        <v>597.57399999999996</v>
      </c>
      <c r="H78">
        <f t="shared" si="12"/>
        <v>-84.426000000000045</v>
      </c>
      <c r="I78">
        <f t="shared" si="13"/>
        <v>84.426000000000045</v>
      </c>
      <c r="J78">
        <f t="shared" si="14"/>
        <v>7127.7494760000072</v>
      </c>
      <c r="K78" s="11">
        <f t="shared" si="15"/>
        <v>0.12379178885630505</v>
      </c>
    </row>
    <row r="79" spans="3:15" x14ac:dyDescent="0.35">
      <c r="C79">
        <v>16</v>
      </c>
      <c r="D79">
        <v>2023</v>
      </c>
      <c r="E79" t="s">
        <v>95</v>
      </c>
      <c r="F79">
        <v>428</v>
      </c>
      <c r="G79">
        <f t="shared" si="11"/>
        <v>598.81960000000004</v>
      </c>
      <c r="H79">
        <f t="shared" si="12"/>
        <v>170.81960000000004</v>
      </c>
      <c r="I79">
        <f t="shared" si="13"/>
        <v>170.81960000000004</v>
      </c>
      <c r="J79">
        <f t="shared" si="14"/>
        <v>29179.335744160013</v>
      </c>
      <c r="K79" s="11">
        <f t="shared" si="15"/>
        <v>0.39911121495327112</v>
      </c>
    </row>
    <row r="80" spans="3:15" x14ac:dyDescent="0.35">
      <c r="C80">
        <v>17</v>
      </c>
      <c r="D80">
        <v>2023</v>
      </c>
      <c r="E80" t="s">
        <v>96</v>
      </c>
      <c r="F80">
        <v>590</v>
      </c>
      <c r="G80">
        <f t="shared" si="11"/>
        <v>600.0652</v>
      </c>
      <c r="H80">
        <f t="shared" si="12"/>
        <v>10.065200000000004</v>
      </c>
      <c r="I80">
        <f t="shared" si="13"/>
        <v>10.065200000000004</v>
      </c>
      <c r="J80">
        <f t="shared" si="14"/>
        <v>101.30825104000009</v>
      </c>
      <c r="K80" s="11">
        <f t="shared" si="15"/>
        <v>1.7059661016949161E-2</v>
      </c>
      <c r="O80" s="12"/>
    </row>
    <row r="81" spans="3:15" x14ac:dyDescent="0.35">
      <c r="C81">
        <v>18</v>
      </c>
      <c r="D81">
        <v>2023</v>
      </c>
      <c r="E81" t="s">
        <v>97</v>
      </c>
      <c r="F81">
        <v>616</v>
      </c>
      <c r="G81">
        <f t="shared" si="11"/>
        <v>601.31079999999997</v>
      </c>
      <c r="H81">
        <f t="shared" si="12"/>
        <v>-14.689200000000028</v>
      </c>
      <c r="I81">
        <f t="shared" si="13"/>
        <v>14.689200000000028</v>
      </c>
      <c r="J81">
        <f t="shared" si="14"/>
        <v>215.77259664000081</v>
      </c>
      <c r="K81" s="11">
        <f t="shared" si="15"/>
        <v>2.3846103896103941E-2</v>
      </c>
    </row>
    <row r="82" spans="3:15" x14ac:dyDescent="0.35">
      <c r="C82">
        <v>19</v>
      </c>
      <c r="D82">
        <v>2023</v>
      </c>
      <c r="E82" t="s">
        <v>98</v>
      </c>
      <c r="G82">
        <f t="shared" si="11"/>
        <v>602.55639999999994</v>
      </c>
      <c r="K82" s="11"/>
      <c r="N82" t="s">
        <v>13</v>
      </c>
      <c r="O82">
        <f>AVERAGE(I64:I81)</f>
        <v>95.931777777777768</v>
      </c>
    </row>
    <row r="83" spans="3:15" x14ac:dyDescent="0.35">
      <c r="C83">
        <v>20</v>
      </c>
      <c r="D83">
        <v>2023</v>
      </c>
      <c r="E83" t="s">
        <v>99</v>
      </c>
      <c r="G83">
        <f t="shared" si="11"/>
        <v>603.80200000000002</v>
      </c>
      <c r="K83" s="11"/>
      <c r="N83" t="s">
        <v>66</v>
      </c>
      <c r="O83">
        <f>AVERAGE(J64:J81)</f>
        <v>14117.215725457781</v>
      </c>
    </row>
    <row r="84" spans="3:15" x14ac:dyDescent="0.35">
      <c r="N84" t="s">
        <v>14</v>
      </c>
      <c r="O84" s="12">
        <f>AVERAGE(K64:K81)</f>
        <v>0.17611275627992279</v>
      </c>
    </row>
  </sheetData>
  <mergeCells count="3">
    <mergeCell ref="C2:J4"/>
    <mergeCell ref="B6:C6"/>
    <mergeCell ref="B33:D3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7B75-DDA0-4DA5-AD4F-F90F05E61B1F}">
  <dimension ref="B2:U25"/>
  <sheetViews>
    <sheetView zoomScale="69" workbookViewId="0">
      <selection activeCell="H10" sqref="H10"/>
    </sheetView>
  </sheetViews>
  <sheetFormatPr defaultRowHeight="14.5" x14ac:dyDescent="0.35"/>
  <cols>
    <col min="11" max="11" width="18.08984375" customWidth="1"/>
  </cols>
  <sheetData>
    <row r="2" spans="2:15" ht="24.5" x14ac:dyDescent="0.7">
      <c r="C2" s="10" t="s">
        <v>15</v>
      </c>
      <c r="D2" s="6"/>
      <c r="E2" s="6"/>
      <c r="F2" s="6"/>
      <c r="H2" s="26" t="s">
        <v>50</v>
      </c>
      <c r="I2" s="26"/>
      <c r="J2" s="26"/>
      <c r="K2" s="26"/>
      <c r="L2" s="26"/>
      <c r="M2" s="26"/>
      <c r="N2" s="26"/>
      <c r="O2" s="26"/>
    </row>
    <row r="4" spans="2:15" ht="87" x14ac:dyDescent="0.35">
      <c r="B4" s="1" t="s">
        <v>0</v>
      </c>
      <c r="C4" s="1" t="s">
        <v>1</v>
      </c>
      <c r="D4" s="1" t="s">
        <v>91</v>
      </c>
      <c r="E4" s="2" t="s">
        <v>109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  <c r="L4" s="2" t="s">
        <v>8</v>
      </c>
      <c r="M4" s="2" t="s">
        <v>9</v>
      </c>
    </row>
    <row r="5" spans="2:15" x14ac:dyDescent="0.35">
      <c r="B5">
        <v>1</v>
      </c>
      <c r="C5">
        <v>2022</v>
      </c>
      <c r="D5" t="s">
        <v>92</v>
      </c>
      <c r="E5">
        <v>809</v>
      </c>
      <c r="H5">
        <f>E5/AVERAGE(E5:E8)</f>
        <v>1.0578620464203987</v>
      </c>
    </row>
    <row r="6" spans="2:15" x14ac:dyDescent="0.35">
      <c r="B6">
        <v>2</v>
      </c>
      <c r="C6">
        <v>2022</v>
      </c>
      <c r="D6" t="s">
        <v>93</v>
      </c>
      <c r="E6">
        <v>715</v>
      </c>
      <c r="H6">
        <f t="shared" ref="H6:H8" si="0">E6/AVERAGE(E6:E9)</f>
        <v>0.95492487479131882</v>
      </c>
    </row>
    <row r="7" spans="2:15" x14ac:dyDescent="0.35">
      <c r="B7">
        <v>3</v>
      </c>
      <c r="C7">
        <v>2022</v>
      </c>
      <c r="D7" t="s">
        <v>94</v>
      </c>
      <c r="E7">
        <v>541</v>
      </c>
      <c r="H7">
        <f t="shared" si="0"/>
        <v>0.73530411145090047</v>
      </c>
    </row>
    <row r="8" spans="2:15" x14ac:dyDescent="0.35">
      <c r="B8">
        <v>4</v>
      </c>
      <c r="C8">
        <v>2022</v>
      </c>
      <c r="D8" t="s">
        <v>95</v>
      </c>
      <c r="E8">
        <v>994</v>
      </c>
      <c r="H8">
        <f t="shared" si="0"/>
        <v>1.3213692256563643</v>
      </c>
    </row>
    <row r="9" spans="2:15" x14ac:dyDescent="0.35">
      <c r="B9">
        <v>5</v>
      </c>
      <c r="C9">
        <v>2022</v>
      </c>
      <c r="D9" t="s">
        <v>96</v>
      </c>
      <c r="E9">
        <v>745</v>
      </c>
      <c r="F9">
        <f>E9/H5</f>
        <v>704.25061804697168</v>
      </c>
      <c r="G9">
        <f>F9-B8/H8</f>
        <v>701.22345506910449</v>
      </c>
      <c r="H9">
        <f t="shared" ref="H9:H22" si="1">$P$24*E9/F9+(1-$P$24)*H5</f>
        <v>1.0578620464203987</v>
      </c>
    </row>
    <row r="10" spans="2:15" x14ac:dyDescent="0.35">
      <c r="B10">
        <v>6</v>
      </c>
      <c r="C10">
        <v>2022</v>
      </c>
      <c r="D10" t="s">
        <v>97</v>
      </c>
      <c r="E10">
        <v>663</v>
      </c>
      <c r="F10">
        <f>$P$22*E10/H6+((1-$P$22)*(F9+G9))</f>
        <v>825.07099607140026</v>
      </c>
      <c r="G10">
        <f t="shared" ref="G10:G24" si="2">$P$23*(F10-F9)+(1-$P$23)*F9</f>
        <v>135.19047960352322</v>
      </c>
      <c r="H10">
        <f t="shared" si="1"/>
        <v>0.95492487479131882</v>
      </c>
      <c r="I10">
        <f>(F10+G10)*H6</f>
        <v>916.97756942580338</v>
      </c>
      <c r="J10">
        <f>I10-E10</f>
        <v>253.97756942580338</v>
      </c>
      <c r="K10">
        <f>ABS(J10)</f>
        <v>253.97756942580338</v>
      </c>
      <c r="L10">
        <f>K10*K10</f>
        <v>64504.605771438779</v>
      </c>
      <c r="M10" s="11">
        <f>K10/E10</f>
        <v>0.38307325705249379</v>
      </c>
    </row>
    <row r="11" spans="2:15" x14ac:dyDescent="0.35">
      <c r="B11">
        <v>7</v>
      </c>
      <c r="C11">
        <v>2022</v>
      </c>
      <c r="D11" t="s">
        <v>98</v>
      </c>
      <c r="E11">
        <v>607</v>
      </c>
      <c r="F11">
        <f>$P$22*E11/H7+(1-$P$22)*(F10+G10)</f>
        <v>850.28786687109357</v>
      </c>
      <c r="G11">
        <f t="shared" si="2"/>
        <v>44.917572340580534</v>
      </c>
      <c r="H11">
        <f t="shared" si="1"/>
        <v>0.73530411145090047</v>
      </c>
      <c r="I11">
        <f t="shared" ref="I11:I22" si="3">(F11+G11)*H7</f>
        <v>658.24824004555308</v>
      </c>
      <c r="J11">
        <f t="shared" ref="J11:J22" si="4">I11-E11</f>
        <v>51.248240045553075</v>
      </c>
      <c r="K11">
        <f t="shared" ref="K11:K22" si="5">ABS(J11)</f>
        <v>51.248240045553075</v>
      </c>
      <c r="L11">
        <f t="shared" ref="L11:L22" si="6">K11*K11</f>
        <v>2626.3821077666298</v>
      </c>
      <c r="M11" s="11">
        <f t="shared" ref="M11:M22" si="7">K11/E11</f>
        <v>8.4428731541273602E-2</v>
      </c>
    </row>
    <row r="12" spans="2:15" x14ac:dyDescent="0.35">
      <c r="B12">
        <v>8</v>
      </c>
      <c r="C12">
        <v>2022</v>
      </c>
      <c r="D12" t="s">
        <v>99</v>
      </c>
      <c r="E12">
        <v>976</v>
      </c>
      <c r="F12">
        <f t="shared" ref="F12:F22" si="8">$P$22*(E12/H8)+((1-$P$22)*(F11+G11))</f>
        <v>767.42015347966401</v>
      </c>
      <c r="G12">
        <f t="shared" si="2"/>
        <v>-59.883747944329443</v>
      </c>
      <c r="H12">
        <f t="shared" si="1"/>
        <v>1.3213692256563643</v>
      </c>
      <c r="I12">
        <f t="shared" si="3"/>
        <v>934.91683230591229</v>
      </c>
      <c r="J12">
        <f t="shared" si="4"/>
        <v>-41.083167694087706</v>
      </c>
      <c r="K12">
        <f t="shared" si="5"/>
        <v>41.083167694087706</v>
      </c>
      <c r="L12">
        <f t="shared" si="6"/>
        <v>1687.8266677805318</v>
      </c>
      <c r="M12" s="11">
        <f t="shared" si="7"/>
        <v>4.2093409522630847E-2</v>
      </c>
    </row>
    <row r="13" spans="2:15" x14ac:dyDescent="0.35">
      <c r="B13">
        <v>9</v>
      </c>
      <c r="C13">
        <v>2022</v>
      </c>
      <c r="D13" t="s">
        <v>100</v>
      </c>
      <c r="E13">
        <v>752</v>
      </c>
      <c r="F13">
        <f t="shared" si="8"/>
        <v>710.25515372675886</v>
      </c>
      <c r="G13">
        <f t="shared" si="2"/>
        <v>-36.855163889567841</v>
      </c>
      <c r="H13">
        <f t="shared" si="1"/>
        <v>1.0578620464203987</v>
      </c>
      <c r="I13">
        <f t="shared" si="3"/>
        <v>712.36429130864656</v>
      </c>
      <c r="J13">
        <f t="shared" si="4"/>
        <v>-39.635708691353443</v>
      </c>
      <c r="K13">
        <f t="shared" si="5"/>
        <v>39.635708691353443</v>
      </c>
      <c r="L13">
        <f t="shared" si="6"/>
        <v>1570.9894034658309</v>
      </c>
      <c r="M13" s="11">
        <f t="shared" si="7"/>
        <v>5.2707059429991279E-2</v>
      </c>
    </row>
    <row r="14" spans="2:15" x14ac:dyDescent="0.35">
      <c r="B14">
        <v>10</v>
      </c>
      <c r="C14">
        <v>2022</v>
      </c>
      <c r="D14" t="s">
        <v>101</v>
      </c>
      <c r="E14">
        <v>645</v>
      </c>
      <c r="F14">
        <f t="shared" si="8"/>
        <v>675.06960829561399</v>
      </c>
      <c r="G14">
        <f t="shared" si="2"/>
        <v>-16.825066605644665</v>
      </c>
      <c r="H14">
        <f t="shared" si="1"/>
        <v>0.95492487479131882</v>
      </c>
      <c r="I14">
        <f t="shared" si="3"/>
        <v>628.57408655536301</v>
      </c>
      <c r="J14">
        <f t="shared" si="4"/>
        <v>-16.42591344463699</v>
      </c>
      <c r="K14">
        <f t="shared" si="5"/>
        <v>16.42591344463699</v>
      </c>
      <c r="L14">
        <f t="shared" si="6"/>
        <v>269.81063249070621</v>
      </c>
      <c r="M14" s="11">
        <f t="shared" si="7"/>
        <v>2.546653247230541E-2</v>
      </c>
    </row>
    <row r="15" spans="2:15" x14ac:dyDescent="0.35">
      <c r="B15">
        <v>11</v>
      </c>
      <c r="C15">
        <v>2022</v>
      </c>
      <c r="D15" t="s">
        <v>102</v>
      </c>
      <c r="E15">
        <v>618</v>
      </c>
      <c r="F15">
        <f t="shared" si="8"/>
        <v>806.96019184488455</v>
      </c>
      <c r="G15">
        <f t="shared" si="2"/>
        <v>145.26928287918003</v>
      </c>
      <c r="H15">
        <f t="shared" si="1"/>
        <v>0.73530411145090047</v>
      </c>
      <c r="I15">
        <f t="shared" si="3"/>
        <v>700.17824780933597</v>
      </c>
      <c r="J15">
        <f t="shared" si="4"/>
        <v>82.178247809335971</v>
      </c>
      <c r="K15">
        <f t="shared" si="5"/>
        <v>82.178247809335971</v>
      </c>
      <c r="L15">
        <f t="shared" si="6"/>
        <v>6753.2644130126328</v>
      </c>
      <c r="M15" s="11">
        <f t="shared" si="7"/>
        <v>0.13297451101834298</v>
      </c>
    </row>
    <row r="16" spans="2:15" x14ac:dyDescent="0.35">
      <c r="B16">
        <v>12</v>
      </c>
      <c r="C16">
        <v>2022</v>
      </c>
      <c r="D16" t="s">
        <v>103</v>
      </c>
      <c r="E16">
        <v>943</v>
      </c>
      <c r="F16">
        <f t="shared" si="8"/>
        <v>757.52433824362186</v>
      </c>
      <c r="G16">
        <f t="shared" si="2"/>
        <v>-28.342503752751966</v>
      </c>
      <c r="H16">
        <f t="shared" si="1"/>
        <v>1.3213692256563643</v>
      </c>
      <c r="I16">
        <f t="shared" si="3"/>
        <v>963.51843600388781</v>
      </c>
      <c r="J16">
        <f t="shared" si="4"/>
        <v>20.518436003887814</v>
      </c>
      <c r="K16">
        <f t="shared" si="5"/>
        <v>20.518436003887814</v>
      </c>
      <c r="L16">
        <f t="shared" si="6"/>
        <v>421.00621604563975</v>
      </c>
      <c r="M16" s="11">
        <f t="shared" si="7"/>
        <v>2.1758680810061309E-2</v>
      </c>
    </row>
    <row r="17" spans="2:21" x14ac:dyDescent="0.35">
      <c r="B17">
        <v>13</v>
      </c>
      <c r="C17">
        <v>2023</v>
      </c>
      <c r="D17" t="s">
        <v>92</v>
      </c>
      <c r="E17">
        <v>740</v>
      </c>
      <c r="F17">
        <f t="shared" si="8"/>
        <v>704.97773486927235</v>
      </c>
      <c r="G17">
        <f t="shared" si="2"/>
        <v>-32.594257885926922</v>
      </c>
      <c r="H17">
        <f t="shared" si="1"/>
        <v>1.0578620464203987</v>
      </c>
      <c r="I17">
        <f t="shared" si="3"/>
        <v>711.28896094086485</v>
      </c>
      <c r="J17">
        <f t="shared" si="4"/>
        <v>-28.711039059135146</v>
      </c>
      <c r="K17">
        <f t="shared" si="5"/>
        <v>28.711039059135146</v>
      </c>
      <c r="L17">
        <f t="shared" si="6"/>
        <v>824.32376385518398</v>
      </c>
      <c r="M17" s="11">
        <f t="shared" si="7"/>
        <v>3.879870143126371E-2</v>
      </c>
    </row>
    <row r="18" spans="2:21" x14ac:dyDescent="0.35">
      <c r="B18">
        <v>14</v>
      </c>
      <c r="C18">
        <v>2023</v>
      </c>
      <c r="D18" t="s">
        <v>93</v>
      </c>
      <c r="E18">
        <v>686</v>
      </c>
      <c r="F18">
        <f t="shared" si="8"/>
        <v>709.92281266799353</v>
      </c>
      <c r="G18">
        <f t="shared" si="2"/>
        <v>22.187139832390621</v>
      </c>
      <c r="H18">
        <f t="shared" si="1"/>
        <v>0.95492487479131882</v>
      </c>
      <c r="I18">
        <f t="shared" si="3"/>
        <v>699.11000472490764</v>
      </c>
      <c r="J18">
        <f t="shared" si="4"/>
        <v>13.11000472490764</v>
      </c>
      <c r="K18">
        <f t="shared" si="5"/>
        <v>13.11000472490764</v>
      </c>
      <c r="L18">
        <f t="shared" si="6"/>
        <v>171.87222388710063</v>
      </c>
      <c r="M18" s="11">
        <f t="shared" si="7"/>
        <v>1.9110794059632129E-2</v>
      </c>
    </row>
    <row r="19" spans="2:21" x14ac:dyDescent="0.35">
      <c r="B19">
        <v>15</v>
      </c>
      <c r="C19">
        <v>2023</v>
      </c>
      <c r="D19" t="s">
        <v>94</v>
      </c>
      <c r="E19">
        <v>572</v>
      </c>
      <c r="F19">
        <f t="shared" si="8"/>
        <v>769.48756091685073</v>
      </c>
      <c r="G19">
        <f t="shared" si="2"/>
        <v>75.583306779737015</v>
      </c>
      <c r="H19">
        <f t="shared" si="1"/>
        <v>0.73530411145090047</v>
      </c>
      <c r="I19">
        <f t="shared" si="3"/>
        <v>621.3840834846809</v>
      </c>
      <c r="J19">
        <f t="shared" si="4"/>
        <v>49.3840834846809</v>
      </c>
      <c r="K19">
        <f t="shared" si="5"/>
        <v>49.3840834846809</v>
      </c>
      <c r="L19">
        <f t="shared" si="6"/>
        <v>2438.7877016219327</v>
      </c>
      <c r="M19" s="11">
        <f t="shared" si="7"/>
        <v>8.6335810287903672E-2</v>
      </c>
    </row>
    <row r="20" spans="2:21" x14ac:dyDescent="0.35">
      <c r="B20">
        <v>16</v>
      </c>
      <c r="C20">
        <v>2023</v>
      </c>
      <c r="D20" t="s">
        <v>95</v>
      </c>
      <c r="E20">
        <v>965</v>
      </c>
      <c r="F20">
        <f t="shared" si="8"/>
        <v>751.40721961729992</v>
      </c>
      <c r="G20">
        <f t="shared" si="2"/>
        <v>1.3177460447851139</v>
      </c>
      <c r="H20">
        <f t="shared" si="1"/>
        <v>1.3213692256563643</v>
      </c>
      <c r="I20">
        <f t="shared" si="3"/>
        <v>994.6276050091227</v>
      </c>
      <c r="J20">
        <f t="shared" si="4"/>
        <v>29.627605009122703</v>
      </c>
      <c r="K20">
        <f t="shared" si="5"/>
        <v>29.627605009122703</v>
      </c>
      <c r="L20">
        <f t="shared" si="6"/>
        <v>877.79497857659271</v>
      </c>
      <c r="M20" s="11">
        <f t="shared" si="7"/>
        <v>3.0702181356603839E-2</v>
      </c>
      <c r="P20" t="s">
        <v>17</v>
      </c>
    </row>
    <row r="21" spans="2:21" x14ac:dyDescent="0.35">
      <c r="B21">
        <v>17</v>
      </c>
      <c r="C21">
        <v>2023</v>
      </c>
      <c r="D21" t="s">
        <v>96</v>
      </c>
      <c r="E21">
        <v>760</v>
      </c>
      <c r="F21">
        <f t="shared" si="8"/>
        <v>724.73648314672607</v>
      </c>
      <c r="G21">
        <f t="shared" si="2"/>
        <v>-7.5063899927411839</v>
      </c>
      <c r="H21">
        <f t="shared" si="1"/>
        <v>1.0578620464203987</v>
      </c>
      <c r="I21">
        <f t="shared" si="3"/>
        <v>758.73049409816758</v>
      </c>
      <c r="J21">
        <f t="shared" si="4"/>
        <v>-1.2695059018324173</v>
      </c>
      <c r="K21">
        <f t="shared" si="5"/>
        <v>1.2695059018324173</v>
      </c>
      <c r="L21">
        <f t="shared" si="6"/>
        <v>1.6116452347873391</v>
      </c>
      <c r="M21" s="11">
        <f t="shared" si="7"/>
        <v>1.6704025024110753E-3</v>
      </c>
    </row>
    <row r="22" spans="2:21" x14ac:dyDescent="0.35">
      <c r="B22">
        <v>18</v>
      </c>
      <c r="C22">
        <v>2023</v>
      </c>
      <c r="D22" t="s">
        <v>97</v>
      </c>
      <c r="E22">
        <v>726</v>
      </c>
      <c r="F22">
        <f t="shared" si="8"/>
        <v>752.35495103489905</v>
      </c>
      <c r="G22">
        <f t="shared" si="2"/>
        <v>44.788741221099947</v>
      </c>
      <c r="H22">
        <f t="shared" si="1"/>
        <v>0.95492487479131882</v>
      </c>
      <c r="I22">
        <f t="shared" si="3"/>
        <v>761.21234051824945</v>
      </c>
      <c r="J22">
        <f t="shared" si="4"/>
        <v>35.212340518249448</v>
      </c>
      <c r="K22">
        <f t="shared" si="5"/>
        <v>35.212340518249448</v>
      </c>
      <c r="L22">
        <f t="shared" si="6"/>
        <v>1239.9089247731517</v>
      </c>
      <c r="M22" s="11">
        <f t="shared" si="7"/>
        <v>4.8501846443869762E-2</v>
      </c>
      <c r="O22" t="s">
        <v>12</v>
      </c>
      <c r="P22">
        <v>0.81611435142863564</v>
      </c>
      <c r="T22" t="s">
        <v>13</v>
      </c>
      <c r="U22">
        <f>AVERAGE(K10:K22)</f>
        <v>50.952450908660509</v>
      </c>
    </row>
    <row r="23" spans="2:21" x14ac:dyDescent="0.35">
      <c r="B23">
        <v>19</v>
      </c>
      <c r="C23">
        <v>2023</v>
      </c>
      <c r="D23" t="s">
        <v>98</v>
      </c>
      <c r="F23">
        <f>+F22+G22</f>
        <v>797.14369225599899</v>
      </c>
      <c r="G23">
        <f t="shared" si="2"/>
        <v>62.216357432022448</v>
      </c>
      <c r="H23">
        <f>H19</f>
        <v>0.73530411145090047</v>
      </c>
      <c r="I23">
        <f>(F22+G22)*H19</f>
        <v>586.14303433298733</v>
      </c>
      <c r="O23" t="s">
        <v>10</v>
      </c>
      <c r="P23">
        <v>0.97536963188857095</v>
      </c>
      <c r="T23" t="s">
        <v>66</v>
      </c>
      <c r="U23">
        <f>AVERAGE(L10:L22)</f>
        <v>6414.4757269191923</v>
      </c>
    </row>
    <row r="24" spans="2:21" x14ac:dyDescent="0.35">
      <c r="B24">
        <v>20</v>
      </c>
      <c r="C24">
        <v>2023</v>
      </c>
      <c r="D24" t="s">
        <v>99</v>
      </c>
      <c r="F24">
        <f>+F23+G23</f>
        <v>859.36004968802149</v>
      </c>
      <c r="G24">
        <f t="shared" si="2"/>
        <v>80.317888223888502</v>
      </c>
      <c r="H24">
        <f>H20</f>
        <v>1.3213692256563643</v>
      </c>
      <c r="I24">
        <f>(F23+G23)*H20</f>
        <v>1135.5319234162757</v>
      </c>
      <c r="O24" t="s">
        <v>11</v>
      </c>
      <c r="P24">
        <v>0</v>
      </c>
      <c r="T24" t="s">
        <v>14</v>
      </c>
      <c r="U24" s="11">
        <f>AVERAGE(M10:M22)</f>
        <v>7.4432455225291044E-2</v>
      </c>
    </row>
    <row r="25" spans="2:21" x14ac:dyDescent="0.35">
      <c r="G25">
        <f>SUM(E5:E24)</f>
        <v>13457</v>
      </c>
    </row>
  </sheetData>
  <mergeCells count="1">
    <mergeCell ref="H2:O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F29B-2203-4772-85D2-B25F1B3CCF18}">
  <dimension ref="B2:O37"/>
  <sheetViews>
    <sheetView tabSelected="1" zoomScale="65" zoomScaleNormal="85" workbookViewId="0">
      <selection activeCell="O12" sqref="O12"/>
    </sheetView>
  </sheetViews>
  <sheetFormatPr defaultRowHeight="14.5" x14ac:dyDescent="0.35"/>
  <cols>
    <col min="8" max="8" width="12" bestFit="1" customWidth="1"/>
    <col min="10" max="10" width="12" customWidth="1"/>
    <col min="11" max="11" width="32.1796875" customWidth="1"/>
  </cols>
  <sheetData>
    <row r="2" spans="2:15" ht="22" x14ac:dyDescent="0.65">
      <c r="C2" s="26" t="s">
        <v>50</v>
      </c>
      <c r="D2" s="26"/>
      <c r="E2" s="26"/>
      <c r="F2" s="26"/>
      <c r="G2" s="26"/>
      <c r="H2" s="26"/>
      <c r="I2" s="26"/>
      <c r="J2" s="26"/>
    </row>
    <row r="3" spans="2:15" x14ac:dyDescent="0.35">
      <c r="D3" t="s">
        <v>46</v>
      </c>
    </row>
    <row r="4" spans="2:15" ht="18" x14ac:dyDescent="0.5">
      <c r="C4" s="9" t="s">
        <v>45</v>
      </c>
      <c r="D4" s="6"/>
      <c r="E4" s="6"/>
      <c r="F4" s="6"/>
    </row>
    <row r="6" spans="2:15" x14ac:dyDescent="0.35">
      <c r="B6" s="1" t="s">
        <v>0</v>
      </c>
      <c r="C6" s="1" t="s">
        <v>1</v>
      </c>
      <c r="D6" s="1" t="s">
        <v>91</v>
      </c>
      <c r="E6" s="1" t="s">
        <v>54</v>
      </c>
      <c r="F6" s="1" t="s">
        <v>55</v>
      </c>
      <c r="G6" s="1" t="s">
        <v>56</v>
      </c>
      <c r="H6" s="1" t="s">
        <v>2</v>
      </c>
      <c r="I6" s="1" t="s">
        <v>3</v>
      </c>
      <c r="J6" s="1" t="s">
        <v>4</v>
      </c>
      <c r="K6" s="1" t="s">
        <v>5</v>
      </c>
      <c r="L6" s="1" t="s">
        <v>6</v>
      </c>
      <c r="M6" s="1" t="s">
        <v>7</v>
      </c>
      <c r="N6" s="1" t="s">
        <v>8</v>
      </c>
      <c r="O6" s="1" t="s">
        <v>9</v>
      </c>
    </row>
    <row r="7" spans="2:15" x14ac:dyDescent="0.35">
      <c r="B7">
        <v>1</v>
      </c>
      <c r="C7">
        <v>2022</v>
      </c>
      <c r="D7" t="s">
        <v>92</v>
      </c>
      <c r="E7">
        <v>555</v>
      </c>
      <c r="F7">
        <v>15</v>
      </c>
      <c r="G7">
        <f>E7+F7</f>
        <v>570</v>
      </c>
      <c r="J7">
        <f>G7/AVERAGE(G7:G10)</f>
        <v>0.890625</v>
      </c>
    </row>
    <row r="8" spans="2:15" x14ac:dyDescent="0.35">
      <c r="B8">
        <v>2</v>
      </c>
      <c r="C8">
        <v>2022</v>
      </c>
      <c r="D8" t="s">
        <v>93</v>
      </c>
      <c r="E8">
        <v>670</v>
      </c>
      <c r="F8">
        <v>19</v>
      </c>
      <c r="G8">
        <f t="shared" ref="G8:G24" si="0">E8+F8</f>
        <v>689</v>
      </c>
      <c r="J8">
        <f t="shared" ref="J8:J10" si="1">G8/AVERAGE(G8:G11)</f>
        <v>1.0769831965611567</v>
      </c>
    </row>
    <row r="9" spans="2:15" x14ac:dyDescent="0.35">
      <c r="B9">
        <v>3</v>
      </c>
      <c r="C9">
        <v>2022</v>
      </c>
      <c r="D9" t="s">
        <v>94</v>
      </c>
      <c r="E9">
        <v>440</v>
      </c>
      <c r="F9">
        <v>16</v>
      </c>
      <c r="G9">
        <f t="shared" si="0"/>
        <v>456</v>
      </c>
      <c r="J9">
        <f t="shared" si="1"/>
        <v>0.72727272727272729</v>
      </c>
    </row>
    <row r="10" spans="2:15" x14ac:dyDescent="0.35">
      <c r="B10">
        <v>4</v>
      </c>
      <c r="C10">
        <v>2022</v>
      </c>
      <c r="D10" t="s">
        <v>95</v>
      </c>
      <c r="E10">
        <v>828</v>
      </c>
      <c r="F10">
        <v>17</v>
      </c>
      <c r="G10">
        <f t="shared" si="0"/>
        <v>845</v>
      </c>
      <c r="J10">
        <f t="shared" si="1"/>
        <v>1.3234142521534846</v>
      </c>
    </row>
    <row r="11" spans="2:15" x14ac:dyDescent="0.35">
      <c r="B11">
        <v>5</v>
      </c>
      <c r="C11">
        <v>2022</v>
      </c>
      <c r="D11" t="s">
        <v>96</v>
      </c>
      <c r="E11">
        <v>549</v>
      </c>
      <c r="F11">
        <v>20</v>
      </c>
      <c r="G11">
        <f t="shared" si="0"/>
        <v>569</v>
      </c>
      <c r="H11">
        <f>G11/J7</f>
        <v>638.87719298245611</v>
      </c>
      <c r="I11">
        <f>H11-B10/J10</f>
        <v>635.85470777535556</v>
      </c>
      <c r="J11">
        <f>$C$35*G11/H11+(1-$C$35)*J7</f>
        <v>0.890625</v>
      </c>
    </row>
    <row r="12" spans="2:15" x14ac:dyDescent="0.35">
      <c r="B12">
        <v>6</v>
      </c>
      <c r="C12">
        <v>2022</v>
      </c>
      <c r="D12" t="s">
        <v>97</v>
      </c>
      <c r="E12">
        <v>600</v>
      </c>
      <c r="F12">
        <v>38</v>
      </c>
      <c r="G12">
        <f t="shared" si="0"/>
        <v>638</v>
      </c>
      <c r="H12">
        <f>$C$33*G12/J8+((1-$C$33)*(H11+I11))</f>
        <v>683.88298933338785</v>
      </c>
      <c r="I12">
        <f>$C$34*(H12-H11)+(1-$C$34)*H11</f>
        <v>60.982224440369819</v>
      </c>
      <c r="J12">
        <f t="shared" ref="J12:J24" si="2">$C$35*G12/H12+(1-$C$35)*J8</f>
        <v>0.94514547796633153</v>
      </c>
      <c r="K12">
        <f>(H12+I12)*J8</f>
        <v>802.20731893727088</v>
      </c>
      <c r="L12">
        <f>K12-G12</f>
        <v>164.20731893727088</v>
      </c>
      <c r="M12">
        <f>ABS(L12)</f>
        <v>164.20731893727088</v>
      </c>
      <c r="N12">
        <f>M12*M12</f>
        <v>26964.043592566602</v>
      </c>
      <c r="O12" s="11">
        <f>M12/G12</f>
        <v>0.25737824284838695</v>
      </c>
    </row>
    <row r="13" spans="2:15" x14ac:dyDescent="0.35">
      <c r="B13">
        <v>7</v>
      </c>
      <c r="C13">
        <v>2022</v>
      </c>
      <c r="D13" t="s">
        <v>98</v>
      </c>
      <c r="E13">
        <v>488</v>
      </c>
      <c r="F13">
        <v>14</v>
      </c>
      <c r="G13">
        <f t="shared" si="0"/>
        <v>502</v>
      </c>
      <c r="H13">
        <f t="shared" ref="H13" si="3">$C$33*G13/J9+(1-$C$33)*(H12+I12)</f>
        <v>697.57279378280043</v>
      </c>
      <c r="I13">
        <f t="shared" ref="I13:I26" si="4">$C$34*(H13-H12)+(1-$C$34)*H12</f>
        <v>31.719454109360413</v>
      </c>
      <c r="J13">
        <f t="shared" si="2"/>
        <v>0.72028661728480847</v>
      </c>
      <c r="K13">
        <f t="shared" ref="K13:K24" si="5">(H13+I13)*J9</f>
        <v>530.39436210338977</v>
      </c>
      <c r="L13">
        <f t="shared" ref="L13:L24" si="6">K13-G13</f>
        <v>28.394362103389767</v>
      </c>
      <c r="M13">
        <f t="shared" ref="M13:M24" si="7">ABS(L13)</f>
        <v>28.394362103389767</v>
      </c>
      <c r="N13">
        <f t="shared" ref="N13:N24" si="8">M13*M13</f>
        <v>806.23979925841695</v>
      </c>
      <c r="O13" s="11">
        <f t="shared" ref="O13:O24" si="9">M13/G13</f>
        <v>5.6562474309541366E-2</v>
      </c>
    </row>
    <row r="14" spans="2:15" x14ac:dyDescent="0.35">
      <c r="B14">
        <v>8</v>
      </c>
      <c r="C14">
        <v>2022</v>
      </c>
      <c r="D14" t="s">
        <v>99</v>
      </c>
      <c r="E14">
        <v>860</v>
      </c>
      <c r="F14">
        <v>18</v>
      </c>
      <c r="G14">
        <f t="shared" si="0"/>
        <v>878</v>
      </c>
      <c r="H14">
        <f>$C$33*(G14/J10)+((1-$C$33)*(H13+I13))</f>
        <v>672.26555834118517</v>
      </c>
      <c r="I14">
        <f t="shared" si="4"/>
        <v>-5.8601954432222527</v>
      </c>
      <c r="J14">
        <f t="shared" si="2"/>
        <v>1.3075079502940996</v>
      </c>
      <c r="K14">
        <f t="shared" si="5"/>
        <v>881.93035497067922</v>
      </c>
      <c r="L14">
        <f t="shared" si="6"/>
        <v>3.9303549706792182</v>
      </c>
      <c r="M14">
        <f t="shared" si="7"/>
        <v>3.9303549706792182</v>
      </c>
      <c r="N14">
        <f t="shared" si="8"/>
        <v>15.447690195542839</v>
      </c>
      <c r="O14" s="11">
        <f t="shared" si="9"/>
        <v>4.4764862991790643E-3</v>
      </c>
    </row>
    <row r="15" spans="2:15" x14ac:dyDescent="0.35">
      <c r="B15">
        <v>9</v>
      </c>
      <c r="C15">
        <v>2022</v>
      </c>
      <c r="D15" t="s">
        <v>100</v>
      </c>
      <c r="E15">
        <v>542</v>
      </c>
      <c r="F15">
        <v>25</v>
      </c>
      <c r="G15">
        <f t="shared" si="0"/>
        <v>567</v>
      </c>
      <c r="H15">
        <f t="shared" ref="H15:H24" si="10">$C$33*(G15/J11)+((1-$C$33)*(H14+I14))</f>
        <v>640.62364022368297</v>
      </c>
      <c r="I15">
        <f t="shared" si="4"/>
        <v>-12.705280921220911</v>
      </c>
      <c r="J15">
        <f t="shared" si="2"/>
        <v>0.88554644726209997</v>
      </c>
      <c r="K15">
        <f t="shared" si="5"/>
        <v>559.23978875375519</v>
      </c>
      <c r="L15">
        <f t="shared" si="6"/>
        <v>-7.7602112462448076</v>
      </c>
      <c r="M15">
        <f t="shared" si="7"/>
        <v>7.7602112462448076</v>
      </c>
      <c r="N15">
        <f t="shared" si="8"/>
        <v>60.220878586344391</v>
      </c>
      <c r="O15" s="11">
        <f t="shared" si="9"/>
        <v>1.3686439587733346E-2</v>
      </c>
    </row>
    <row r="16" spans="2:15" x14ac:dyDescent="0.35">
      <c r="B16">
        <v>10</v>
      </c>
      <c r="C16">
        <v>2022</v>
      </c>
      <c r="D16" t="s">
        <v>101</v>
      </c>
      <c r="E16">
        <v>645</v>
      </c>
      <c r="F16">
        <v>28</v>
      </c>
      <c r="G16">
        <f t="shared" si="0"/>
        <v>673</v>
      </c>
      <c r="H16">
        <f t="shared" si="10"/>
        <v>700.77804569491275</v>
      </c>
      <c r="I16">
        <f t="shared" si="4"/>
        <v>75.770286350079033</v>
      </c>
      <c r="J16">
        <f t="shared" si="2"/>
        <v>0.95906875883942988</v>
      </c>
      <c r="K16">
        <f t="shared" si="5"/>
        <v>733.95114445462127</v>
      </c>
      <c r="L16">
        <f t="shared" si="6"/>
        <v>60.951144454621272</v>
      </c>
      <c r="M16">
        <f t="shared" si="7"/>
        <v>60.951144454621272</v>
      </c>
      <c r="N16">
        <f t="shared" si="8"/>
        <v>3715.0420103281094</v>
      </c>
      <c r="O16" s="11">
        <f t="shared" si="9"/>
        <v>9.056633648532135E-2</v>
      </c>
    </row>
    <row r="17" spans="2:15" x14ac:dyDescent="0.35">
      <c r="B17">
        <v>11</v>
      </c>
      <c r="C17">
        <v>2022</v>
      </c>
      <c r="D17" t="s">
        <v>102</v>
      </c>
      <c r="E17">
        <v>508</v>
      </c>
      <c r="F17">
        <v>30</v>
      </c>
      <c r="G17">
        <f t="shared" si="0"/>
        <v>538</v>
      </c>
      <c r="H17">
        <f t="shared" si="10"/>
        <v>750.89679060643959</v>
      </c>
      <c r="I17">
        <f t="shared" si="4"/>
        <v>67.622890739482386</v>
      </c>
      <c r="J17">
        <f t="shared" si="2"/>
        <v>0.71680023762867706</v>
      </c>
      <c r="K17">
        <f t="shared" si="5"/>
        <v>589.56877245769351</v>
      </c>
      <c r="L17">
        <f t="shared" si="6"/>
        <v>51.568772457693512</v>
      </c>
      <c r="M17">
        <f t="shared" si="7"/>
        <v>51.568772457693512</v>
      </c>
      <c r="N17">
        <f t="shared" si="8"/>
        <v>2659.338292793369</v>
      </c>
      <c r="O17" s="11">
        <f t="shared" si="9"/>
        <v>9.5852736910210984E-2</v>
      </c>
    </row>
    <row r="18" spans="2:15" x14ac:dyDescent="0.35">
      <c r="B18">
        <v>12</v>
      </c>
      <c r="C18">
        <v>2022</v>
      </c>
      <c r="D18" t="s">
        <v>103</v>
      </c>
      <c r="E18">
        <v>897</v>
      </c>
      <c r="F18">
        <v>13</v>
      </c>
      <c r="G18">
        <f t="shared" si="0"/>
        <v>910</v>
      </c>
      <c r="H18">
        <f t="shared" si="10"/>
        <v>712.41049734016917</v>
      </c>
      <c r="I18">
        <f t="shared" si="4"/>
        <v>-17.250176918447377</v>
      </c>
      <c r="J18">
        <f t="shared" si="2"/>
        <v>1.2799146837401771</v>
      </c>
      <c r="K18">
        <f t="shared" si="5"/>
        <v>908.92764568039502</v>
      </c>
      <c r="L18">
        <f t="shared" si="6"/>
        <v>-1.0723543196049832</v>
      </c>
      <c r="M18">
        <f t="shared" si="7"/>
        <v>1.0723543196049832</v>
      </c>
      <c r="N18">
        <f t="shared" si="8"/>
        <v>1.1499437867754665</v>
      </c>
      <c r="O18" s="11">
        <f t="shared" si="9"/>
        <v>1.1784113402252563E-3</v>
      </c>
    </row>
    <row r="19" spans="2:15" x14ac:dyDescent="0.35">
      <c r="B19">
        <v>13</v>
      </c>
      <c r="C19">
        <v>2023</v>
      </c>
      <c r="D19" t="s">
        <v>92</v>
      </c>
      <c r="E19">
        <v>604</v>
      </c>
      <c r="F19">
        <v>19</v>
      </c>
      <c r="G19">
        <f t="shared" si="0"/>
        <v>623</v>
      </c>
      <c r="H19">
        <f t="shared" si="10"/>
        <v>702.39949168501221</v>
      </c>
      <c r="I19">
        <f t="shared" si="4"/>
        <v>9.4236989935833719</v>
      </c>
      <c r="J19">
        <f t="shared" si="2"/>
        <v>0.88683960684080942</v>
      </c>
      <c r="K19">
        <f t="shared" si="5"/>
        <v>630.35249758420264</v>
      </c>
      <c r="L19">
        <f t="shared" si="6"/>
        <v>7.3524975842026379</v>
      </c>
      <c r="M19">
        <f t="shared" si="7"/>
        <v>7.3524975842026379</v>
      </c>
      <c r="N19">
        <f t="shared" si="8"/>
        <v>54.059220725705629</v>
      </c>
      <c r="O19" s="11">
        <f t="shared" si="9"/>
        <v>1.1801761772395888E-2</v>
      </c>
    </row>
    <row r="20" spans="2:15" x14ac:dyDescent="0.35">
      <c r="B20">
        <v>14</v>
      </c>
      <c r="C20">
        <v>2023</v>
      </c>
      <c r="D20" t="s">
        <v>93</v>
      </c>
      <c r="E20">
        <v>457</v>
      </c>
      <c r="F20">
        <v>31</v>
      </c>
      <c r="G20">
        <f t="shared" si="0"/>
        <v>488</v>
      </c>
      <c r="H20">
        <f t="shared" si="10"/>
        <v>536.04460526626713</v>
      </c>
      <c r="I20">
        <f t="shared" si="4"/>
        <v>-142.98351017822387</v>
      </c>
      <c r="J20">
        <f t="shared" si="2"/>
        <v>0.9145081728638339</v>
      </c>
      <c r="K20">
        <f t="shared" si="5"/>
        <v>376.97261661415678</v>
      </c>
      <c r="L20">
        <f t="shared" si="6"/>
        <v>-111.02738338584322</v>
      </c>
      <c r="M20">
        <f t="shared" si="7"/>
        <v>111.02738338584322</v>
      </c>
      <c r="N20">
        <f t="shared" si="8"/>
        <v>12327.079861507016</v>
      </c>
      <c r="O20" s="11">
        <f t="shared" si="9"/>
        <v>0.227515129889023</v>
      </c>
    </row>
    <row r="21" spans="2:15" x14ac:dyDescent="0.35">
      <c r="B21">
        <v>15</v>
      </c>
      <c r="C21">
        <v>2023</v>
      </c>
      <c r="D21" t="s">
        <v>94</v>
      </c>
      <c r="E21">
        <v>677</v>
      </c>
      <c r="F21">
        <v>12</v>
      </c>
      <c r="G21">
        <f t="shared" si="0"/>
        <v>689</v>
      </c>
      <c r="H21">
        <f t="shared" si="10"/>
        <v>885.03810931405155</v>
      </c>
      <c r="I21">
        <f t="shared" si="4"/>
        <v>354.02558419951043</v>
      </c>
      <c r="J21">
        <f t="shared" si="2"/>
        <v>0.77325714636008192</v>
      </c>
      <c r="K21">
        <f t="shared" si="5"/>
        <v>888.16114994758743</v>
      </c>
      <c r="L21">
        <f t="shared" si="6"/>
        <v>199.16114994758743</v>
      </c>
      <c r="M21">
        <f t="shared" si="7"/>
        <v>199.16114994758743</v>
      </c>
      <c r="N21">
        <f t="shared" si="8"/>
        <v>39665.163648445407</v>
      </c>
      <c r="O21" s="11">
        <f t="shared" si="9"/>
        <v>0.28905827278314578</v>
      </c>
    </row>
    <row r="22" spans="2:15" x14ac:dyDescent="0.35">
      <c r="B22">
        <v>16</v>
      </c>
      <c r="C22">
        <v>2023</v>
      </c>
      <c r="D22" t="s">
        <v>95</v>
      </c>
      <c r="E22">
        <v>976</v>
      </c>
      <c r="F22">
        <v>13</v>
      </c>
      <c r="G22">
        <f t="shared" si="0"/>
        <v>989</v>
      </c>
      <c r="H22">
        <f t="shared" si="10"/>
        <v>835.23663774642012</v>
      </c>
      <c r="I22">
        <f t="shared" si="4"/>
        <v>-24.652260098900758</v>
      </c>
      <c r="J22">
        <f t="shared" si="2"/>
        <v>1.1922341850792999</v>
      </c>
      <c r="K22">
        <f t="shared" si="5"/>
        <v>1037.4788473614531</v>
      </c>
      <c r="L22">
        <f t="shared" si="6"/>
        <v>48.478847361453063</v>
      </c>
      <c r="M22">
        <f t="shared" si="7"/>
        <v>48.478847361453063</v>
      </c>
      <c r="N22">
        <f t="shared" si="8"/>
        <v>2350.1986414950647</v>
      </c>
      <c r="O22" s="11">
        <f t="shared" si="9"/>
        <v>4.9018045865978833E-2</v>
      </c>
    </row>
    <row r="23" spans="2:15" x14ac:dyDescent="0.35">
      <c r="B23">
        <v>17</v>
      </c>
      <c r="C23">
        <v>2023</v>
      </c>
      <c r="D23" t="s">
        <v>96</v>
      </c>
      <c r="E23">
        <v>456</v>
      </c>
      <c r="F23">
        <v>11</v>
      </c>
      <c r="G23">
        <f t="shared" si="0"/>
        <v>467</v>
      </c>
      <c r="H23">
        <f t="shared" si="10"/>
        <v>564.66704486228264</v>
      </c>
      <c r="I23">
        <f t="shared" si="4"/>
        <v>-240.82100787948985</v>
      </c>
      <c r="J23">
        <f t="shared" si="2"/>
        <v>0.83211559958041859</v>
      </c>
      <c r="K23">
        <f t="shared" si="5"/>
        <v>287.19949211477416</v>
      </c>
      <c r="L23">
        <f t="shared" si="6"/>
        <v>-179.80050788522584</v>
      </c>
      <c r="M23">
        <f t="shared" si="7"/>
        <v>179.80050788522584</v>
      </c>
      <c r="N23">
        <f t="shared" si="8"/>
        <v>32328.222635785161</v>
      </c>
      <c r="O23" s="11">
        <f t="shared" si="9"/>
        <v>0.38501179418677911</v>
      </c>
    </row>
    <row r="24" spans="2:15" x14ac:dyDescent="0.35">
      <c r="B24">
        <v>18</v>
      </c>
      <c r="C24">
        <v>2023</v>
      </c>
      <c r="D24" t="s">
        <v>97</v>
      </c>
      <c r="E24">
        <v>602</v>
      </c>
      <c r="F24">
        <v>10</v>
      </c>
      <c r="G24">
        <f t="shared" si="0"/>
        <v>612</v>
      </c>
      <c r="H24">
        <f t="shared" si="10"/>
        <v>622.90556901528851</v>
      </c>
      <c r="I24">
        <f t="shared" si="4"/>
        <v>71.862549302970081</v>
      </c>
      <c r="J24">
        <f t="shared" si="2"/>
        <v>0.97671802086576232</v>
      </c>
      <c r="K24">
        <f t="shared" si="5"/>
        <v>635.37112244727462</v>
      </c>
      <c r="L24">
        <f t="shared" si="6"/>
        <v>23.371122447274615</v>
      </c>
      <c r="M24">
        <f t="shared" si="7"/>
        <v>23.371122447274615</v>
      </c>
      <c r="N24">
        <f t="shared" si="8"/>
        <v>546.20936444550341</v>
      </c>
      <c r="O24" s="11">
        <f t="shared" si="9"/>
        <v>3.8188108573978127E-2</v>
      </c>
    </row>
    <row r="25" spans="2:15" x14ac:dyDescent="0.35">
      <c r="B25">
        <v>19</v>
      </c>
      <c r="C25">
        <v>2023</v>
      </c>
      <c r="D25" t="s">
        <v>98</v>
      </c>
      <c r="H25">
        <f>+H24+I24</f>
        <v>694.76811831825853</v>
      </c>
      <c r="I25">
        <f t="shared" si="4"/>
        <v>86.686801200865432</v>
      </c>
      <c r="J25">
        <f>J21</f>
        <v>0.77325714636008192</v>
      </c>
      <c r="K25">
        <f>(H24+I24)*J21</f>
        <v>537.23441255274031</v>
      </c>
    </row>
    <row r="26" spans="2:15" x14ac:dyDescent="0.35">
      <c r="B26">
        <v>20</v>
      </c>
      <c r="C26">
        <v>2023</v>
      </c>
      <c r="D26" t="s">
        <v>99</v>
      </c>
      <c r="H26">
        <f>+H25+I25</f>
        <v>781.45491951912391</v>
      </c>
      <c r="I26">
        <f t="shared" si="4"/>
        <v>103.04550695864513</v>
      </c>
      <c r="J26">
        <f>J22</f>
        <v>1.1922341850792999</v>
      </c>
      <c r="K26">
        <f>(H25+I25)*J22</f>
        <v>931.67726914909258</v>
      </c>
    </row>
    <row r="27" spans="2:15" x14ac:dyDescent="0.35">
      <c r="G27">
        <f>SUM(G7:G26)</f>
        <v>11703</v>
      </c>
    </row>
    <row r="33" spans="2:8" x14ac:dyDescent="0.35">
      <c r="B33" t="s">
        <v>12</v>
      </c>
      <c r="C33">
        <v>0.86592025780334814</v>
      </c>
      <c r="G33" t="s">
        <v>13</v>
      </c>
      <c r="H33">
        <f>AVERAGE(M12:M26)</f>
        <v>68.236617469314709</v>
      </c>
    </row>
    <row r="34" spans="2:8" x14ac:dyDescent="0.35">
      <c r="B34" t="s">
        <v>10</v>
      </c>
      <c r="C34">
        <v>0.97309783198844502</v>
      </c>
      <c r="G34" t="s">
        <v>66</v>
      </c>
      <c r="H34">
        <f>AVERAGE(N12:N26)</f>
        <v>9345.5704292245391</v>
      </c>
    </row>
    <row r="35" spans="2:8" x14ac:dyDescent="0.35">
      <c r="B35" t="s">
        <v>11</v>
      </c>
      <c r="C35">
        <v>0.91506268767462373</v>
      </c>
      <c r="G35" t="s">
        <v>14</v>
      </c>
      <c r="H35" s="11">
        <f>AVERAGE(O12:O26)</f>
        <v>0.11694571083476148</v>
      </c>
    </row>
    <row r="37" spans="2:8" x14ac:dyDescent="0.35">
      <c r="C37" t="s">
        <v>17</v>
      </c>
    </row>
  </sheetData>
  <mergeCells count="1">
    <mergeCell ref="C2:J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E29C2-53B2-4E71-9F93-F5725702DEC1}">
  <dimension ref="B2:M37"/>
  <sheetViews>
    <sheetView zoomScale="59" zoomScaleNormal="85" workbookViewId="0">
      <selection activeCell="M12" sqref="M12"/>
    </sheetView>
  </sheetViews>
  <sheetFormatPr defaultRowHeight="14.5" x14ac:dyDescent="0.35"/>
  <cols>
    <col min="13" max="13" width="10.08984375" bestFit="1" customWidth="1"/>
  </cols>
  <sheetData>
    <row r="2" spans="2:13" ht="22" x14ac:dyDescent="0.65">
      <c r="C2" s="26" t="s">
        <v>50</v>
      </c>
      <c r="D2" s="26"/>
      <c r="E2" s="26"/>
      <c r="F2" s="26"/>
      <c r="G2" s="26"/>
      <c r="H2" s="26"/>
      <c r="I2" s="26"/>
      <c r="J2" s="26"/>
    </row>
    <row r="4" spans="2:13" ht="22" x14ac:dyDescent="0.65">
      <c r="C4" s="7" t="s">
        <v>16</v>
      </c>
      <c r="D4" s="7"/>
      <c r="E4" s="6"/>
    </row>
    <row r="6" spans="2:13" x14ac:dyDescent="0.35">
      <c r="B6" s="1" t="s">
        <v>0</v>
      </c>
      <c r="C6" s="1" t="s">
        <v>1</v>
      </c>
      <c r="D6" s="1" t="s">
        <v>91</v>
      </c>
      <c r="E6" s="1" t="s">
        <v>56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7</v>
      </c>
      <c r="L6" s="1" t="s">
        <v>8</v>
      </c>
      <c r="M6" s="1" t="s">
        <v>9</v>
      </c>
    </row>
    <row r="7" spans="2:13" x14ac:dyDescent="0.35">
      <c r="B7">
        <v>1</v>
      </c>
      <c r="C7">
        <v>2022</v>
      </c>
      <c r="D7" t="s">
        <v>92</v>
      </c>
      <c r="E7">
        <v>417</v>
      </c>
      <c r="H7">
        <f>E7/AVERAGE(E7:E10)</f>
        <v>0.70439189189189189</v>
      </c>
    </row>
    <row r="8" spans="2:13" x14ac:dyDescent="0.35">
      <c r="B8">
        <v>2</v>
      </c>
      <c r="C8">
        <v>2022</v>
      </c>
      <c r="D8" t="s">
        <v>93</v>
      </c>
      <c r="E8">
        <v>546</v>
      </c>
      <c r="H8">
        <f t="shared" ref="H8:H10" si="0">E8/AVERAGE(E8:E11)</f>
        <v>0.91957894736842105</v>
      </c>
    </row>
    <row r="9" spans="2:13" x14ac:dyDescent="0.35">
      <c r="B9">
        <v>3</v>
      </c>
      <c r="C9">
        <v>2022</v>
      </c>
      <c r="D9" t="s">
        <v>94</v>
      </c>
      <c r="E9">
        <v>625</v>
      </c>
      <c r="H9">
        <f t="shared" si="0"/>
        <v>1.0382059800664452</v>
      </c>
    </row>
    <row r="10" spans="2:13" x14ac:dyDescent="0.35">
      <c r="B10">
        <v>4</v>
      </c>
      <c r="C10">
        <v>2022</v>
      </c>
      <c r="D10" t="s">
        <v>95</v>
      </c>
      <c r="E10">
        <v>780</v>
      </c>
      <c r="H10">
        <f t="shared" si="0"/>
        <v>1.2652068126520681</v>
      </c>
    </row>
    <row r="11" spans="2:13" x14ac:dyDescent="0.35">
      <c r="B11">
        <v>5</v>
      </c>
      <c r="C11">
        <v>2022</v>
      </c>
      <c r="D11" t="s">
        <v>96</v>
      </c>
      <c r="E11">
        <v>424</v>
      </c>
      <c r="F11">
        <f>E11/H7</f>
        <v>601.93764988009593</v>
      </c>
      <c r="G11">
        <f>F11-B10/H10</f>
        <v>598.77611141855743</v>
      </c>
      <c r="H11">
        <f>$C$35*E11/F11+(1-$C$35)*H7</f>
        <v>0.70439189189189189</v>
      </c>
    </row>
    <row r="12" spans="2:13" x14ac:dyDescent="0.35">
      <c r="B12">
        <v>6</v>
      </c>
      <c r="C12">
        <v>2022</v>
      </c>
      <c r="D12" t="s">
        <v>97</v>
      </c>
      <c r="E12">
        <v>579</v>
      </c>
      <c r="F12">
        <f>$C$33*E12/H8+((1-$C$33)*(F11+G11))</f>
        <v>733.77185669419396</v>
      </c>
      <c r="G12">
        <f>$C$34*(F12-F11)+(1-$C$34)*F11</f>
        <v>146.76278593285772</v>
      </c>
      <c r="H12">
        <f t="shared" ref="H12:H24" si="1">$C$35*E12/F12+(1-$C$35)*H8</f>
        <v>0.91957894736842105</v>
      </c>
      <c r="I12">
        <f>(F12+G12)*H8</f>
        <v>809.72111978841292</v>
      </c>
      <c r="J12">
        <f>I12-E12</f>
        <v>230.72111978841292</v>
      </c>
      <c r="K12">
        <f>ABS(J12)</f>
        <v>230.72111978841292</v>
      </c>
      <c r="L12">
        <f>K12*K12</f>
        <v>53232.235116419186</v>
      </c>
      <c r="M12" s="11">
        <f>K12/E12</f>
        <v>0.39848207217342474</v>
      </c>
    </row>
    <row r="13" spans="2:13" x14ac:dyDescent="0.35">
      <c r="B13">
        <v>7</v>
      </c>
      <c r="C13">
        <v>2022</v>
      </c>
      <c r="D13" t="s">
        <v>98</v>
      </c>
      <c r="E13">
        <v>683</v>
      </c>
      <c r="F13">
        <f t="shared" ref="F13" si="2">$C$33*E13/H9+(1-$C$33)*(F12+G12)</f>
        <v>698.46923594133432</v>
      </c>
      <c r="G13">
        <f t="shared" ref="G13:G26" si="3">$C$34*(F13-F12)+(1-$C$34)*F12</f>
        <v>-10.879933886524004</v>
      </c>
      <c r="H13">
        <f t="shared" si="1"/>
        <v>1.0382059800664452</v>
      </c>
      <c r="I13">
        <f t="shared" ref="I13:I24" si="4">(F13+G13)*H9</f>
        <v>713.85932522301732</v>
      </c>
      <c r="J13">
        <f t="shared" ref="J13:J24" si="5">I13-E13</f>
        <v>30.859325223017322</v>
      </c>
      <c r="K13">
        <f t="shared" ref="K13:K24" si="6">ABS(J13)</f>
        <v>30.859325223017322</v>
      </c>
      <c r="L13">
        <f t="shared" ref="L13:L24" si="7">K13*K13</f>
        <v>952.29795321995311</v>
      </c>
      <c r="M13" s="11">
        <f t="shared" ref="M13:M24" si="8">K13/E13</f>
        <v>4.5182028144974115E-2</v>
      </c>
    </row>
    <row r="14" spans="2:13" x14ac:dyDescent="0.35">
      <c r="B14">
        <v>8</v>
      </c>
      <c r="C14">
        <v>2022</v>
      </c>
      <c r="D14" t="s">
        <v>99</v>
      </c>
      <c r="E14">
        <v>793</v>
      </c>
      <c r="F14">
        <f>$C$33*(E14/H10)+((1-$C$33)*(F13+G13))</f>
        <v>637.86447050531706</v>
      </c>
      <c r="G14">
        <f t="shared" si="3"/>
        <v>-36.499653138500193</v>
      </c>
      <c r="H14">
        <f t="shared" si="1"/>
        <v>1.2652068126520681</v>
      </c>
      <c r="I14">
        <f t="shared" si="4"/>
        <v>760.85086382176337</v>
      </c>
      <c r="J14">
        <f t="shared" si="5"/>
        <v>-32.149136178236631</v>
      </c>
      <c r="K14">
        <f t="shared" si="6"/>
        <v>32.149136178236631</v>
      </c>
      <c r="L14">
        <f t="shared" si="7"/>
        <v>1033.5669570068035</v>
      </c>
      <c r="M14" s="11">
        <f t="shared" si="8"/>
        <v>4.0541155331950351E-2</v>
      </c>
    </row>
    <row r="15" spans="2:13" x14ac:dyDescent="0.35">
      <c r="B15">
        <v>9</v>
      </c>
      <c r="C15">
        <v>2022</v>
      </c>
      <c r="D15" t="s">
        <v>100</v>
      </c>
      <c r="E15">
        <v>401</v>
      </c>
      <c r="F15">
        <f t="shared" ref="F15:F24" si="9">$C$33*(E15/H11)+((1-$C$33)*(F14+G14))</f>
        <v>575.13504940179507</v>
      </c>
      <c r="G15">
        <f t="shared" si="3"/>
        <v>-40.481399959941498</v>
      </c>
      <c r="H15">
        <f t="shared" si="1"/>
        <v>0.70439189189189189</v>
      </c>
      <c r="I15">
        <f t="shared" si="4"/>
        <v>376.60569563725153</v>
      </c>
      <c r="J15">
        <f t="shared" si="5"/>
        <v>-24.394304362748471</v>
      </c>
      <c r="K15">
        <f t="shared" si="6"/>
        <v>24.394304362748471</v>
      </c>
      <c r="L15">
        <f t="shared" si="7"/>
        <v>595.08208534240907</v>
      </c>
      <c r="M15" s="11">
        <f t="shared" si="8"/>
        <v>6.0833676715083468E-2</v>
      </c>
    </row>
    <row r="16" spans="2:13" x14ac:dyDescent="0.35">
      <c r="B16">
        <v>10</v>
      </c>
      <c r="C16">
        <v>2022</v>
      </c>
      <c r="D16" t="s">
        <v>101</v>
      </c>
      <c r="E16">
        <v>592</v>
      </c>
      <c r="F16">
        <f t="shared" si="9"/>
        <v>623.87503092344525</v>
      </c>
      <c r="G16">
        <f t="shared" si="3"/>
        <v>65.456154386332628</v>
      </c>
      <c r="H16">
        <f t="shared" si="1"/>
        <v>0.91957894736842105</v>
      </c>
      <c r="I16">
        <f t="shared" si="4"/>
        <v>633.89444577539155</v>
      </c>
      <c r="J16">
        <f t="shared" si="5"/>
        <v>41.894445775391546</v>
      </c>
      <c r="K16">
        <f t="shared" si="6"/>
        <v>41.894445775391546</v>
      </c>
      <c r="L16">
        <f t="shared" si="7"/>
        <v>1755.1445868272226</v>
      </c>
      <c r="M16" s="11">
        <f t="shared" si="8"/>
        <v>7.0767644890864095E-2</v>
      </c>
    </row>
    <row r="17" spans="2:13" x14ac:dyDescent="0.35">
      <c r="B17">
        <v>11</v>
      </c>
      <c r="C17">
        <v>2022</v>
      </c>
      <c r="D17" t="s">
        <v>102</v>
      </c>
      <c r="E17">
        <v>692</v>
      </c>
      <c r="F17">
        <f t="shared" si="9"/>
        <v>670.6913872508112</v>
      </c>
      <c r="G17">
        <f t="shared" si="3"/>
        <v>65.141399904348987</v>
      </c>
      <c r="H17">
        <f t="shared" si="1"/>
        <v>1.0382059800664452</v>
      </c>
      <c r="I17">
        <f t="shared" si="4"/>
        <v>763.94599995344697</v>
      </c>
      <c r="J17">
        <f t="shared" si="5"/>
        <v>71.945999953446972</v>
      </c>
      <c r="K17">
        <f t="shared" si="6"/>
        <v>71.945999953446972</v>
      </c>
      <c r="L17">
        <f t="shared" si="7"/>
        <v>5176.226909301392</v>
      </c>
      <c r="M17" s="11">
        <f t="shared" si="8"/>
        <v>0.10396820802521238</v>
      </c>
    </row>
    <row r="18" spans="2:13" x14ac:dyDescent="0.35">
      <c r="B18">
        <v>12</v>
      </c>
      <c r="C18">
        <v>2022</v>
      </c>
      <c r="D18" t="s">
        <v>103</v>
      </c>
      <c r="E18">
        <v>720</v>
      </c>
      <c r="F18">
        <f t="shared" si="9"/>
        <v>599.48480697597029</v>
      </c>
      <c r="G18">
        <f t="shared" si="3"/>
        <v>-47.646909164968136</v>
      </c>
      <c r="H18">
        <f t="shared" si="1"/>
        <v>1.2652068126520681</v>
      </c>
      <c r="I18">
        <f t="shared" si="4"/>
        <v>698.18906779007568</v>
      </c>
      <c r="J18">
        <f t="shared" si="5"/>
        <v>-21.810932209924317</v>
      </c>
      <c r="K18">
        <f t="shared" si="6"/>
        <v>21.810932209924317</v>
      </c>
      <c r="L18">
        <f t="shared" si="7"/>
        <v>475.71676386591406</v>
      </c>
      <c r="M18" s="11">
        <f t="shared" si="8"/>
        <v>3.0292961402672663E-2</v>
      </c>
    </row>
    <row r="19" spans="2:13" x14ac:dyDescent="0.35">
      <c r="B19">
        <v>13</v>
      </c>
      <c r="C19">
        <v>2023</v>
      </c>
      <c r="D19" t="s">
        <v>92</v>
      </c>
      <c r="E19">
        <v>493</v>
      </c>
      <c r="F19">
        <f t="shared" si="9"/>
        <v>672.89640838826256</v>
      </c>
      <c r="G19">
        <f t="shared" si="3"/>
        <v>90.117553234930469</v>
      </c>
      <c r="H19">
        <f t="shared" si="1"/>
        <v>0.70439189189189189</v>
      </c>
      <c r="I19">
        <f t="shared" si="4"/>
        <v>537.46084796768832</v>
      </c>
      <c r="J19">
        <f t="shared" si="5"/>
        <v>44.460847967688323</v>
      </c>
      <c r="K19">
        <f t="shared" si="6"/>
        <v>44.460847967688323</v>
      </c>
      <c r="L19">
        <f t="shared" si="7"/>
        <v>1976.7670020058949</v>
      </c>
      <c r="M19" s="11">
        <f t="shared" si="8"/>
        <v>9.0184275796528046E-2</v>
      </c>
    </row>
    <row r="20" spans="2:13" x14ac:dyDescent="0.35">
      <c r="B20">
        <v>14</v>
      </c>
      <c r="C20">
        <v>2023</v>
      </c>
      <c r="D20" t="s">
        <v>93</v>
      </c>
      <c r="E20">
        <v>572</v>
      </c>
      <c r="F20">
        <f t="shared" si="9"/>
        <v>647.73332324703074</v>
      </c>
      <c r="G20">
        <f t="shared" si="3"/>
        <v>-2.9955462038635829</v>
      </c>
      <c r="H20">
        <f t="shared" si="1"/>
        <v>0.91957894736842105</v>
      </c>
      <c r="I20">
        <f t="shared" si="4"/>
        <v>592.88728634201141</v>
      </c>
      <c r="J20">
        <f t="shared" si="5"/>
        <v>20.887286342011407</v>
      </c>
      <c r="K20">
        <f t="shared" si="6"/>
        <v>20.887286342011407</v>
      </c>
      <c r="L20">
        <f t="shared" si="7"/>
        <v>436.27873073317625</v>
      </c>
      <c r="M20" s="11">
        <f t="shared" si="8"/>
        <v>3.6516234863656308E-2</v>
      </c>
    </row>
    <row r="21" spans="2:13" x14ac:dyDescent="0.35">
      <c r="B21">
        <v>15</v>
      </c>
      <c r="C21">
        <v>2023</v>
      </c>
      <c r="D21" t="s">
        <v>94</v>
      </c>
      <c r="E21">
        <v>682</v>
      </c>
      <c r="F21">
        <f t="shared" si="9"/>
        <v>654.68418449920352</v>
      </c>
      <c r="G21">
        <f t="shared" si="3"/>
        <v>27.299513921923381</v>
      </c>
      <c r="H21">
        <f t="shared" si="1"/>
        <v>1.0382059800664452</v>
      </c>
      <c r="I21">
        <f t="shared" si="4"/>
        <v>708.03955400864493</v>
      </c>
      <c r="J21">
        <f t="shared" si="5"/>
        <v>26.039554008644927</v>
      </c>
      <c r="K21">
        <f t="shared" si="6"/>
        <v>26.039554008644927</v>
      </c>
      <c r="L21">
        <f t="shared" si="7"/>
        <v>678.05837296913614</v>
      </c>
      <c r="M21" s="11">
        <f t="shared" si="8"/>
        <v>3.818116423554975E-2</v>
      </c>
    </row>
    <row r="22" spans="2:13" x14ac:dyDescent="0.35">
      <c r="B22">
        <v>16</v>
      </c>
      <c r="C22">
        <v>2023</v>
      </c>
      <c r="D22" t="s">
        <v>95</v>
      </c>
      <c r="E22">
        <v>428</v>
      </c>
      <c r="F22">
        <f t="shared" si="9"/>
        <v>400.95804441785066</v>
      </c>
      <c r="G22">
        <f t="shared" si="3"/>
        <v>-224.87871170611515</v>
      </c>
      <c r="H22">
        <f t="shared" si="1"/>
        <v>1.2652068126520681</v>
      </c>
      <c r="I22">
        <f t="shared" si="4"/>
        <v>222.77677131411792</v>
      </c>
      <c r="J22">
        <f t="shared" si="5"/>
        <v>-205.22322868588208</v>
      </c>
      <c r="K22">
        <f t="shared" si="6"/>
        <v>205.22322868588208</v>
      </c>
      <c r="L22">
        <f t="shared" si="7"/>
        <v>42116.573592257853</v>
      </c>
      <c r="M22" s="11">
        <f t="shared" si="8"/>
        <v>0.4794935249670142</v>
      </c>
    </row>
    <row r="23" spans="2:13" x14ac:dyDescent="0.35">
      <c r="B23">
        <v>17</v>
      </c>
      <c r="C23">
        <v>2023</v>
      </c>
      <c r="D23" t="s">
        <v>96</v>
      </c>
      <c r="E23">
        <v>590</v>
      </c>
      <c r="F23">
        <f t="shared" si="9"/>
        <v>716.973465034936</v>
      </c>
      <c r="G23">
        <f t="shared" si="3"/>
        <v>318.71285391324341</v>
      </c>
      <c r="H23">
        <f t="shared" si="1"/>
        <v>0.70439189189189189</v>
      </c>
      <c r="I23">
        <f t="shared" si="4"/>
        <v>729.5290456104575</v>
      </c>
      <c r="J23">
        <f t="shared" si="5"/>
        <v>139.5290456104575</v>
      </c>
      <c r="K23">
        <f t="shared" si="6"/>
        <v>139.5290456104575</v>
      </c>
      <c r="L23">
        <f t="shared" si="7"/>
        <v>19468.354568965129</v>
      </c>
      <c r="M23" s="11">
        <f t="shared" si="8"/>
        <v>0.23648990781433474</v>
      </c>
    </row>
    <row r="24" spans="2:13" x14ac:dyDescent="0.35">
      <c r="B24">
        <v>18</v>
      </c>
      <c r="C24">
        <v>2023</v>
      </c>
      <c r="D24" t="s">
        <v>97</v>
      </c>
      <c r="E24">
        <v>616</v>
      </c>
      <c r="F24">
        <f t="shared" si="9"/>
        <v>736.57796822400155</v>
      </c>
      <c r="G24">
        <f t="shared" si="3"/>
        <v>41.750113640214337</v>
      </c>
      <c r="H24">
        <f t="shared" si="1"/>
        <v>0.91957894736842105</v>
      </c>
      <c r="I24">
        <f t="shared" si="4"/>
        <v>715.73411822797789</v>
      </c>
      <c r="J24">
        <f t="shared" si="5"/>
        <v>99.734118227977888</v>
      </c>
      <c r="K24">
        <f t="shared" si="6"/>
        <v>99.734118227977888</v>
      </c>
      <c r="L24">
        <f t="shared" si="7"/>
        <v>9946.8943387122708</v>
      </c>
      <c r="M24" s="11">
        <f t="shared" si="8"/>
        <v>0.1619060360843797</v>
      </c>
    </row>
    <row r="25" spans="2:13" x14ac:dyDescent="0.35">
      <c r="B25">
        <v>19</v>
      </c>
      <c r="C25">
        <v>2023</v>
      </c>
      <c r="D25" t="s">
        <v>98</v>
      </c>
      <c r="F25">
        <f>+F24+G24</f>
        <v>778.32808186421585</v>
      </c>
      <c r="G25">
        <f t="shared" si="3"/>
        <v>63.815028828712258</v>
      </c>
      <c r="H25">
        <f>H21</f>
        <v>1.0382059800664452</v>
      </c>
      <c r="I25">
        <f>(F24+G24)*H21</f>
        <v>808.0648690450746</v>
      </c>
    </row>
    <row r="26" spans="2:13" x14ac:dyDescent="0.35">
      <c r="B26">
        <v>20</v>
      </c>
      <c r="C26">
        <v>2023</v>
      </c>
      <c r="D26" t="s">
        <v>99</v>
      </c>
      <c r="F26">
        <f>+F25+G25</f>
        <v>842.14311069292808</v>
      </c>
      <c r="G26">
        <f t="shared" si="3"/>
        <v>86.505066098083091</v>
      </c>
      <c r="H26">
        <f>H22</f>
        <v>1.2652068126520681</v>
      </c>
      <c r="I26">
        <f>(F25+G25)*H22</f>
        <v>1065.4852008766973</v>
      </c>
    </row>
    <row r="27" spans="2:13" x14ac:dyDescent="0.35">
      <c r="E27">
        <f>SUM(E7:E26)</f>
        <v>10633</v>
      </c>
    </row>
    <row r="33" spans="2:6" x14ac:dyDescent="0.35">
      <c r="B33" t="s">
        <v>12</v>
      </c>
      <c r="C33">
        <v>0.81765028733993617</v>
      </c>
      <c r="E33" t="s">
        <v>13</v>
      </c>
      <c r="F33">
        <f>AVERAGE(K12:K26)</f>
        <v>76.126872641064637</v>
      </c>
    </row>
    <row r="34" spans="2:6" x14ac:dyDescent="0.35">
      <c r="B34" t="s">
        <v>10</v>
      </c>
      <c r="C34">
        <v>0.96824405492247401</v>
      </c>
      <c r="E34" t="s">
        <v>66</v>
      </c>
      <c r="F34">
        <f>AVERAGE(L12:L26)</f>
        <v>10603.322844432794</v>
      </c>
    </row>
    <row r="35" spans="2:6" x14ac:dyDescent="0.35">
      <c r="B35" t="s">
        <v>11</v>
      </c>
      <c r="C35">
        <v>0</v>
      </c>
      <c r="E35" t="s">
        <v>14</v>
      </c>
      <c r="F35" s="11">
        <f>AVERAGE(M12:M26)</f>
        <v>0.1379106838804342</v>
      </c>
    </row>
    <row r="37" spans="2:6" x14ac:dyDescent="0.35">
      <c r="C37" t="s">
        <v>17</v>
      </c>
    </row>
  </sheetData>
  <mergeCells count="1">
    <mergeCell ref="C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INDEX_PAGE</vt:lpstr>
      <vt:lpstr>NAIVE</vt:lpstr>
      <vt:lpstr>SIMPLE MOVING AVERAGE</vt:lpstr>
      <vt:lpstr>WEIGHTED MOVING AVERAGE</vt:lpstr>
      <vt:lpstr>SIMPLE EXPONENTIAL SMOOTHING </vt:lpstr>
      <vt:lpstr>LINEAR TREND</vt:lpstr>
      <vt:lpstr>HOOKAH_TES</vt:lpstr>
      <vt:lpstr>WHISKEY_TES</vt:lpstr>
      <vt:lpstr>CHICKEN_TES</vt:lpstr>
      <vt:lpstr>HOOKAH_REGRESSION</vt:lpstr>
      <vt:lpstr>WHISKEY_REGRESSION</vt:lpstr>
      <vt:lpstr>CHICKEN_REGRESSION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PADHY</dc:creator>
  <cp:lastModifiedBy>Abhishek Padhy</cp:lastModifiedBy>
  <cp:lastPrinted>2023-08-09T19:34:17Z</cp:lastPrinted>
  <dcterms:created xsi:type="dcterms:W3CDTF">2023-08-07T18:41:30Z</dcterms:created>
  <dcterms:modified xsi:type="dcterms:W3CDTF">2024-11-10T11:14:39Z</dcterms:modified>
</cp:coreProperties>
</file>