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c1bf5ee15d3e3043/Desktop/"/>
    </mc:Choice>
  </mc:AlternateContent>
  <xr:revisionPtr revIDLastSave="6774" documentId="8_{89A50993-E230-498D-9722-3E9B4D8C33C7}" xr6:coauthVersionLast="47" xr6:coauthVersionMax="47" xr10:uidLastSave="{78EF5558-1754-46F8-91E1-78A7C473DB3E}"/>
  <bookViews>
    <workbookView xWindow="-110" yWindow="-110" windowWidth="19420" windowHeight="10300" firstSheet="7" activeTab="11" xr2:uid="{00000000-000D-0000-FFFF-FFFF00000000}"/>
  </bookViews>
  <sheets>
    <sheet name="Problem 1 - Data" sheetId="2" r:id="rId1"/>
    <sheet name="Naive forecast" sheetId="3" r:id="rId2"/>
    <sheet name="Moving avg n -3" sheetId="4" r:id="rId3"/>
    <sheet name="weighted avg" sheetId="5" r:id="rId4"/>
    <sheet name="Exp smotng" sheetId="6" r:id="rId5"/>
    <sheet name="Linear " sheetId="7" r:id="rId6"/>
    <sheet name="LR " sheetId="11" r:id="rId7"/>
    <sheet name="Problem 2 - Solution Q1" sheetId="1" r:id="rId8"/>
    <sheet name="q2 Solution" sheetId="12" r:id="rId9"/>
    <sheet name="q3 solution" sheetId="13" r:id="rId10"/>
    <sheet name="q4 solution" sheetId="17" r:id="rId11"/>
    <sheet name="q5 solution" sheetId="19" r:id="rId12"/>
  </sheets>
  <definedNames>
    <definedName name="solver_adj" localSheetId="10" hidden="1">'q4 solution'!$A$2</definedName>
    <definedName name="solver_adj" localSheetId="11" hidden="1">'q5 solution'!$B$2:$B$3</definedName>
    <definedName name="solver_cvg" localSheetId="10" hidden="1">0.0001</definedName>
    <definedName name="solver_cvg" localSheetId="11" hidden="1">0.0001</definedName>
    <definedName name="solver_drv" localSheetId="10" hidden="1">1</definedName>
    <definedName name="solver_drv" localSheetId="11" hidden="1">1</definedName>
    <definedName name="solver_eng" localSheetId="10" hidden="1">1</definedName>
    <definedName name="solver_eng" localSheetId="11" hidden="1">1</definedName>
    <definedName name="solver_est" localSheetId="10" hidden="1">1</definedName>
    <definedName name="solver_est" localSheetId="11" hidden="1">1</definedName>
    <definedName name="solver_itr" localSheetId="10" hidden="1">2147483647</definedName>
    <definedName name="solver_itr" localSheetId="11" hidden="1">2147483647</definedName>
    <definedName name="solver_lhs1" localSheetId="10" hidden="1">'q4 solution'!$A$2</definedName>
    <definedName name="solver_lhs1" localSheetId="11" hidden="1">'q5 solution'!$B$10</definedName>
    <definedName name="solver_lhs2" localSheetId="10" hidden="1">'q4 solution'!$A$2</definedName>
    <definedName name="solver_lhs2" localSheetId="11" hidden="1">'q5 solution'!$B$15</definedName>
    <definedName name="solver_lhs3" localSheetId="10" hidden="1">'q4 solution'!$B$2</definedName>
    <definedName name="solver_lhs3" localSheetId="11" hidden="1">'q5 solution'!$B$2</definedName>
    <definedName name="solver_lhs4" localSheetId="10" hidden="1">'q4 solution'!$C$2</definedName>
    <definedName name="solver_lhs4" localSheetId="11" hidden="1">'q5 solution'!$B$2</definedName>
    <definedName name="solver_lhs5" localSheetId="10" hidden="1">'q4 solution'!$J$2</definedName>
    <definedName name="solver_lhs5" localSheetId="11" hidden="1">'q5 solution'!$B$3</definedName>
    <definedName name="solver_lhs6" localSheetId="10" hidden="1">'q4 solution'!$L$2</definedName>
    <definedName name="solver_lhs6" localSheetId="11" hidden="1">'q5 solution'!$B$3</definedName>
    <definedName name="solver_lhs7" localSheetId="11" hidden="1">'q5 solution'!$B$4</definedName>
    <definedName name="solver_lhs8" localSheetId="11" hidden="1">'q5 solution'!$B$5</definedName>
    <definedName name="solver_mip" localSheetId="10" hidden="1">2147483647</definedName>
    <definedName name="solver_mip" localSheetId="11" hidden="1">2147483647</definedName>
    <definedName name="solver_mni" localSheetId="10" hidden="1">30</definedName>
    <definedName name="solver_mni" localSheetId="11" hidden="1">30</definedName>
    <definedName name="solver_mrt" localSheetId="10" hidden="1">0.075</definedName>
    <definedName name="solver_mrt" localSheetId="11" hidden="1">0.075</definedName>
    <definedName name="solver_msl" localSheetId="10" hidden="1">2</definedName>
    <definedName name="solver_msl" localSheetId="11" hidden="1">2</definedName>
    <definedName name="solver_neg" localSheetId="10" hidden="1">1</definedName>
    <definedName name="solver_neg" localSheetId="11" hidden="1">1</definedName>
    <definedName name="solver_nod" localSheetId="10" hidden="1">2147483647</definedName>
    <definedName name="solver_nod" localSheetId="11" hidden="1">2147483647</definedName>
    <definedName name="solver_num" localSheetId="10" hidden="1">6</definedName>
    <definedName name="solver_num" localSheetId="11" hidden="1">8</definedName>
    <definedName name="solver_nwt" localSheetId="10" hidden="1">1</definedName>
    <definedName name="solver_nwt" localSheetId="11" hidden="1">1</definedName>
    <definedName name="solver_opt" localSheetId="10" hidden="1">'q4 solution'!$J$2</definedName>
    <definedName name="solver_opt" localSheetId="11" hidden="1">'q5 solution'!$B$15</definedName>
    <definedName name="solver_pre" localSheetId="10" hidden="1">0.000001</definedName>
    <definedName name="solver_pre" localSheetId="11" hidden="1">0.000001</definedName>
    <definedName name="solver_rbv" localSheetId="10" hidden="1">1</definedName>
    <definedName name="solver_rbv" localSheetId="11" hidden="1">1</definedName>
    <definedName name="solver_rel1" localSheetId="10" hidden="1">1</definedName>
    <definedName name="solver_rel1" localSheetId="11" hidden="1">1</definedName>
    <definedName name="solver_rel2" localSheetId="10" hidden="1">3</definedName>
    <definedName name="solver_rel2" localSheetId="11" hidden="1">3</definedName>
    <definedName name="solver_rel3" localSheetId="10" hidden="1">3</definedName>
    <definedName name="solver_rel3" localSheetId="11" hidden="1">1</definedName>
    <definedName name="solver_rel4" localSheetId="10" hidden="1">3</definedName>
    <definedName name="solver_rel4" localSheetId="11" hidden="1">3</definedName>
    <definedName name="solver_rel5" localSheetId="10" hidden="1">3</definedName>
    <definedName name="solver_rel5" localSheetId="11" hidden="1">1</definedName>
    <definedName name="solver_rel6" localSheetId="10" hidden="1">1</definedName>
    <definedName name="solver_rel6" localSheetId="11" hidden="1">3</definedName>
    <definedName name="solver_rel7" localSheetId="11" hidden="1">3</definedName>
    <definedName name="solver_rel8" localSheetId="11" hidden="1">3</definedName>
    <definedName name="solver_rhs1" localSheetId="10" hidden="1">7000</definedName>
    <definedName name="solver_rhs1" localSheetId="11" hidden="1">40</definedName>
    <definedName name="solver_rhs2" localSheetId="10" hidden="1">5000</definedName>
    <definedName name="solver_rhs2" localSheetId="11" hidden="1">0</definedName>
    <definedName name="solver_rhs3" localSheetId="10" hidden="1">0</definedName>
    <definedName name="solver_rhs3" localSheetId="11" hidden="1">7500</definedName>
    <definedName name="solver_rhs4" localSheetId="10" hidden="1">0</definedName>
    <definedName name="solver_rhs4" localSheetId="11" hidden="1">5000</definedName>
    <definedName name="solver_rhs5" localSheetId="10" hidden="1">0</definedName>
    <definedName name="solver_rhs5" localSheetId="11" hidden="1">7500</definedName>
    <definedName name="solver_rhs6" localSheetId="10" hidden="1">40</definedName>
    <definedName name="solver_rhs6" localSheetId="11" hidden="1">5000</definedName>
    <definedName name="solver_rhs7" localSheetId="11" hidden="1">0</definedName>
    <definedName name="solver_rhs8" localSheetId="11" hidden="1">0</definedName>
    <definedName name="solver_rlx" localSheetId="10" hidden="1">2</definedName>
    <definedName name="solver_rlx" localSheetId="11" hidden="1">2</definedName>
    <definedName name="solver_rsd" localSheetId="10" hidden="1">0</definedName>
    <definedName name="solver_rsd" localSheetId="11" hidden="1">0</definedName>
    <definedName name="solver_scl" localSheetId="10" hidden="1">1</definedName>
    <definedName name="solver_scl" localSheetId="11" hidden="1">1</definedName>
    <definedName name="solver_sho" localSheetId="10" hidden="1">2</definedName>
    <definedName name="solver_sho" localSheetId="11" hidden="1">2</definedName>
    <definedName name="solver_ssz" localSheetId="10" hidden="1">100</definedName>
    <definedName name="solver_ssz" localSheetId="11" hidden="1">100</definedName>
    <definedName name="solver_tim" localSheetId="10" hidden="1">2147483647</definedName>
    <definedName name="solver_tim" localSheetId="11" hidden="1">2147483647</definedName>
    <definedName name="solver_tol" localSheetId="10" hidden="1">0.01</definedName>
    <definedName name="solver_tol" localSheetId="11" hidden="1">0.01</definedName>
    <definedName name="solver_typ" localSheetId="10" hidden="1">1</definedName>
    <definedName name="solver_typ" localSheetId="11" hidden="1">1</definedName>
    <definedName name="solver_val" localSheetId="10" hidden="1">0</definedName>
    <definedName name="solver_val" localSheetId="11" hidden="1">0</definedName>
    <definedName name="solver_ver" localSheetId="10" hidden="1">3</definedName>
    <definedName name="solver_ver" localSheetId="1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7" i="19" l="1"/>
  <c r="N2" i="17"/>
  <c r="B16" i="19"/>
  <c r="M2" i="17"/>
  <c r="B8" i="19"/>
  <c r="B7" i="19"/>
  <c r="B5" i="19"/>
  <c r="F2" i="17"/>
  <c r="G2" i="17"/>
  <c r="B4" i="19"/>
  <c r="C2" i="17"/>
  <c r="B2" i="17"/>
  <c r="L2" i="17" s="1"/>
  <c r="B14" i="19" l="1"/>
  <c r="B12" i="19"/>
  <c r="B13" i="19"/>
  <c r="B10" i="19"/>
  <c r="B6" i="19"/>
  <c r="D2" i="17"/>
  <c r="E2" i="17"/>
  <c r="I2" i="17"/>
  <c r="H2" i="17"/>
  <c r="B15" i="19" l="1"/>
  <c r="J2" i="17"/>
  <c r="C17" i="12" l="1"/>
  <c r="B17" i="12"/>
  <c r="C15" i="12"/>
  <c r="B15" i="12"/>
  <c r="B16" i="12" s="1"/>
  <c r="C17" i="13"/>
  <c r="B17" i="13"/>
  <c r="C15" i="13"/>
  <c r="B15" i="13"/>
  <c r="B16" i="13" s="1"/>
  <c r="C17" i="1"/>
  <c r="B17" i="1"/>
  <c r="C15" i="1"/>
  <c r="B15" i="1"/>
  <c r="B16" i="1" s="1"/>
  <c r="O9" i="7" a="1"/>
  <c r="O9" i="7" s="1"/>
  <c r="N9" i="7" a="1"/>
  <c r="N9" i="7" s="1"/>
  <c r="M9" i="7" a="1"/>
  <c r="M9" i="7" s="1"/>
  <c r="K10" i="7"/>
  <c r="K11" i="7"/>
  <c r="K12" i="7"/>
  <c r="K13" i="7"/>
  <c r="K22" i="7"/>
  <c r="K23" i="7"/>
  <c r="K24" i="7"/>
  <c r="K25" i="7"/>
  <c r="K34" i="7"/>
  <c r="K35" i="7"/>
  <c r="K36" i="7"/>
  <c r="K37" i="7"/>
  <c r="K46" i="7"/>
  <c r="K47" i="7"/>
  <c r="K48" i="7"/>
  <c r="K49" i="7"/>
  <c r="K58" i="7"/>
  <c r="K59" i="7"/>
  <c r="K60" i="7"/>
  <c r="K61" i="7"/>
  <c r="K70" i="7"/>
  <c r="K71" i="7"/>
  <c r="K72" i="7"/>
  <c r="K73" i="7"/>
  <c r="K82" i="7"/>
  <c r="K83" i="7"/>
  <c r="K84" i="7"/>
  <c r="K85" i="7"/>
  <c r="K94" i="7"/>
  <c r="K95" i="7"/>
  <c r="K96" i="7"/>
  <c r="K97" i="7"/>
  <c r="K106" i="7"/>
  <c r="K107" i="7"/>
  <c r="K108" i="7"/>
  <c r="K109" i="7"/>
  <c r="K118" i="7"/>
  <c r="K119" i="7"/>
  <c r="K120" i="7"/>
  <c r="K121" i="7"/>
  <c r="K130" i="7"/>
  <c r="K131" i="7"/>
  <c r="K132" i="7"/>
  <c r="K133" i="7"/>
  <c r="K142" i="7"/>
  <c r="K143" i="7"/>
  <c r="K144" i="7"/>
  <c r="J4" i="7"/>
  <c r="H4" i="7"/>
  <c r="I4" i="7" s="1"/>
  <c r="H3" i="7"/>
  <c r="I3" i="7" s="1"/>
  <c r="J3" i="7" s="1"/>
  <c r="H2" i="7"/>
  <c r="I2" i="7" s="1"/>
  <c r="J2" i="7" s="1"/>
  <c r="H5" i="7"/>
  <c r="I5" i="7" s="1"/>
  <c r="J5" i="7" s="1"/>
  <c r="H6" i="7"/>
  <c r="I6" i="7" s="1"/>
  <c r="J6" i="7" s="1"/>
  <c r="H7" i="7"/>
  <c r="I7" i="7" s="1"/>
  <c r="J7" i="7" s="1"/>
  <c r="H8" i="7"/>
  <c r="I8" i="7" s="1"/>
  <c r="J8" i="7" s="1"/>
  <c r="H9" i="7"/>
  <c r="I9" i="7" s="1"/>
  <c r="J9" i="7" s="1"/>
  <c r="H10" i="7"/>
  <c r="I10" i="7" s="1"/>
  <c r="J10" i="7" s="1"/>
  <c r="H11" i="7"/>
  <c r="I11" i="7" s="1"/>
  <c r="J11" i="7" s="1"/>
  <c r="H12" i="7"/>
  <c r="I12" i="7" s="1"/>
  <c r="J12" i="7" s="1"/>
  <c r="H13" i="7"/>
  <c r="I13" i="7" s="1"/>
  <c r="J13" i="7" s="1"/>
  <c r="H14" i="7"/>
  <c r="I14" i="7" s="1"/>
  <c r="J14" i="7" s="1"/>
  <c r="H15" i="7"/>
  <c r="I15" i="7" s="1"/>
  <c r="J15" i="7" s="1"/>
  <c r="H16" i="7"/>
  <c r="I16" i="7" s="1"/>
  <c r="J16" i="7" s="1"/>
  <c r="H17" i="7"/>
  <c r="I17" i="7" s="1"/>
  <c r="J17" i="7" s="1"/>
  <c r="H18" i="7"/>
  <c r="I18" i="7" s="1"/>
  <c r="J18" i="7" s="1"/>
  <c r="H19" i="7"/>
  <c r="I19" i="7" s="1"/>
  <c r="J19" i="7" s="1"/>
  <c r="H20" i="7"/>
  <c r="I20" i="7" s="1"/>
  <c r="J20" i="7" s="1"/>
  <c r="H21" i="7"/>
  <c r="I21" i="7" s="1"/>
  <c r="J21" i="7" s="1"/>
  <c r="H22" i="7"/>
  <c r="I22" i="7" s="1"/>
  <c r="J22" i="7" s="1"/>
  <c r="H23" i="7"/>
  <c r="I23" i="7" s="1"/>
  <c r="J23" i="7" s="1"/>
  <c r="H24" i="7"/>
  <c r="I24" i="7" s="1"/>
  <c r="J24" i="7" s="1"/>
  <c r="H25" i="7"/>
  <c r="I25" i="7" s="1"/>
  <c r="J25" i="7" s="1"/>
  <c r="H26" i="7"/>
  <c r="I26" i="7" s="1"/>
  <c r="J26" i="7" s="1"/>
  <c r="H27" i="7"/>
  <c r="I27" i="7" s="1"/>
  <c r="J27" i="7" s="1"/>
  <c r="H28" i="7"/>
  <c r="I28" i="7" s="1"/>
  <c r="J28" i="7" s="1"/>
  <c r="H29" i="7"/>
  <c r="I29" i="7" s="1"/>
  <c r="J29" i="7" s="1"/>
  <c r="H30" i="7"/>
  <c r="I30" i="7" s="1"/>
  <c r="J30" i="7" s="1"/>
  <c r="H31" i="7"/>
  <c r="I31" i="7" s="1"/>
  <c r="J31" i="7" s="1"/>
  <c r="H32" i="7"/>
  <c r="I32" i="7" s="1"/>
  <c r="J32" i="7" s="1"/>
  <c r="H33" i="7"/>
  <c r="I33" i="7" s="1"/>
  <c r="J33" i="7" s="1"/>
  <c r="H34" i="7"/>
  <c r="I34" i="7" s="1"/>
  <c r="J34" i="7" s="1"/>
  <c r="H35" i="7"/>
  <c r="I35" i="7" s="1"/>
  <c r="J35" i="7" s="1"/>
  <c r="H36" i="7"/>
  <c r="I36" i="7" s="1"/>
  <c r="J36" i="7" s="1"/>
  <c r="H37" i="7"/>
  <c r="I37" i="7" s="1"/>
  <c r="J37" i="7" s="1"/>
  <c r="H38" i="7"/>
  <c r="I38" i="7" s="1"/>
  <c r="J38" i="7" s="1"/>
  <c r="H39" i="7"/>
  <c r="I39" i="7" s="1"/>
  <c r="J39" i="7" s="1"/>
  <c r="H40" i="7"/>
  <c r="I40" i="7" s="1"/>
  <c r="J40" i="7" s="1"/>
  <c r="H41" i="7"/>
  <c r="I41" i="7" s="1"/>
  <c r="J41" i="7" s="1"/>
  <c r="H42" i="7"/>
  <c r="I42" i="7" s="1"/>
  <c r="J42" i="7" s="1"/>
  <c r="H43" i="7"/>
  <c r="I43" i="7" s="1"/>
  <c r="J43" i="7" s="1"/>
  <c r="H44" i="7"/>
  <c r="I44" i="7" s="1"/>
  <c r="J44" i="7" s="1"/>
  <c r="H45" i="7"/>
  <c r="I45" i="7" s="1"/>
  <c r="J45" i="7" s="1"/>
  <c r="H46" i="7"/>
  <c r="I46" i="7" s="1"/>
  <c r="J46" i="7" s="1"/>
  <c r="H47" i="7"/>
  <c r="I47" i="7" s="1"/>
  <c r="J47" i="7" s="1"/>
  <c r="H48" i="7"/>
  <c r="I48" i="7" s="1"/>
  <c r="J48" i="7" s="1"/>
  <c r="H49" i="7"/>
  <c r="I49" i="7" s="1"/>
  <c r="J49" i="7" s="1"/>
  <c r="H50" i="7"/>
  <c r="I50" i="7" s="1"/>
  <c r="J50" i="7" s="1"/>
  <c r="H51" i="7"/>
  <c r="I51" i="7" s="1"/>
  <c r="J51" i="7" s="1"/>
  <c r="H52" i="7"/>
  <c r="I52" i="7" s="1"/>
  <c r="J52" i="7" s="1"/>
  <c r="H53" i="7"/>
  <c r="I53" i="7" s="1"/>
  <c r="J53" i="7" s="1"/>
  <c r="H54" i="7"/>
  <c r="I54" i="7" s="1"/>
  <c r="J54" i="7" s="1"/>
  <c r="H55" i="7"/>
  <c r="I55" i="7" s="1"/>
  <c r="J55" i="7" s="1"/>
  <c r="H56" i="7"/>
  <c r="I56" i="7" s="1"/>
  <c r="J56" i="7" s="1"/>
  <c r="H57" i="7"/>
  <c r="I57" i="7" s="1"/>
  <c r="J57" i="7" s="1"/>
  <c r="H58" i="7"/>
  <c r="I58" i="7" s="1"/>
  <c r="J58" i="7" s="1"/>
  <c r="H59" i="7"/>
  <c r="I59" i="7" s="1"/>
  <c r="J59" i="7" s="1"/>
  <c r="H60" i="7"/>
  <c r="I60" i="7" s="1"/>
  <c r="J60" i="7" s="1"/>
  <c r="H61" i="7"/>
  <c r="I61" i="7" s="1"/>
  <c r="J61" i="7" s="1"/>
  <c r="H62" i="7"/>
  <c r="I62" i="7" s="1"/>
  <c r="J62" i="7" s="1"/>
  <c r="H63" i="7"/>
  <c r="I63" i="7" s="1"/>
  <c r="J63" i="7" s="1"/>
  <c r="H64" i="7"/>
  <c r="I64" i="7" s="1"/>
  <c r="J64" i="7" s="1"/>
  <c r="H65" i="7"/>
  <c r="I65" i="7" s="1"/>
  <c r="J65" i="7" s="1"/>
  <c r="H66" i="7"/>
  <c r="I66" i="7" s="1"/>
  <c r="J66" i="7" s="1"/>
  <c r="H67" i="7"/>
  <c r="I67" i="7" s="1"/>
  <c r="J67" i="7" s="1"/>
  <c r="H68" i="7"/>
  <c r="I68" i="7" s="1"/>
  <c r="J68" i="7" s="1"/>
  <c r="H69" i="7"/>
  <c r="I69" i="7" s="1"/>
  <c r="J69" i="7" s="1"/>
  <c r="H70" i="7"/>
  <c r="I70" i="7" s="1"/>
  <c r="J70" i="7" s="1"/>
  <c r="H71" i="7"/>
  <c r="I71" i="7" s="1"/>
  <c r="J71" i="7" s="1"/>
  <c r="H72" i="7"/>
  <c r="I72" i="7" s="1"/>
  <c r="J72" i="7" s="1"/>
  <c r="H73" i="7"/>
  <c r="I73" i="7" s="1"/>
  <c r="J73" i="7" s="1"/>
  <c r="H74" i="7"/>
  <c r="I74" i="7" s="1"/>
  <c r="J74" i="7" s="1"/>
  <c r="H75" i="7"/>
  <c r="I75" i="7" s="1"/>
  <c r="J75" i="7" s="1"/>
  <c r="H76" i="7"/>
  <c r="I76" i="7" s="1"/>
  <c r="J76" i="7" s="1"/>
  <c r="H77" i="7"/>
  <c r="I77" i="7" s="1"/>
  <c r="J77" i="7" s="1"/>
  <c r="H78" i="7"/>
  <c r="I78" i="7" s="1"/>
  <c r="J78" i="7" s="1"/>
  <c r="H79" i="7"/>
  <c r="I79" i="7" s="1"/>
  <c r="J79" i="7" s="1"/>
  <c r="H80" i="7"/>
  <c r="I80" i="7" s="1"/>
  <c r="J80" i="7" s="1"/>
  <c r="H81" i="7"/>
  <c r="I81" i="7" s="1"/>
  <c r="J81" i="7" s="1"/>
  <c r="H82" i="7"/>
  <c r="I82" i="7" s="1"/>
  <c r="J82" i="7" s="1"/>
  <c r="H83" i="7"/>
  <c r="I83" i="7" s="1"/>
  <c r="J83" i="7" s="1"/>
  <c r="H84" i="7"/>
  <c r="I84" i="7" s="1"/>
  <c r="J84" i="7" s="1"/>
  <c r="H85" i="7"/>
  <c r="I85" i="7" s="1"/>
  <c r="J85" i="7" s="1"/>
  <c r="H86" i="7"/>
  <c r="I86" i="7" s="1"/>
  <c r="J86" i="7" s="1"/>
  <c r="H87" i="7"/>
  <c r="I87" i="7" s="1"/>
  <c r="J87" i="7" s="1"/>
  <c r="H88" i="7"/>
  <c r="I88" i="7" s="1"/>
  <c r="J88" i="7" s="1"/>
  <c r="H89" i="7"/>
  <c r="I89" i="7" s="1"/>
  <c r="J89" i="7" s="1"/>
  <c r="H90" i="7"/>
  <c r="I90" i="7" s="1"/>
  <c r="J90" i="7" s="1"/>
  <c r="H91" i="7"/>
  <c r="I91" i="7" s="1"/>
  <c r="J91" i="7" s="1"/>
  <c r="H92" i="7"/>
  <c r="I92" i="7" s="1"/>
  <c r="J92" i="7" s="1"/>
  <c r="H93" i="7"/>
  <c r="I93" i="7" s="1"/>
  <c r="J93" i="7" s="1"/>
  <c r="H94" i="7"/>
  <c r="I94" i="7" s="1"/>
  <c r="J94" i="7" s="1"/>
  <c r="H95" i="7"/>
  <c r="I95" i="7" s="1"/>
  <c r="J95" i="7" s="1"/>
  <c r="H96" i="7"/>
  <c r="I96" i="7" s="1"/>
  <c r="J96" i="7" s="1"/>
  <c r="H97" i="7"/>
  <c r="I97" i="7" s="1"/>
  <c r="J97" i="7" s="1"/>
  <c r="H98" i="7"/>
  <c r="I98" i="7" s="1"/>
  <c r="J98" i="7" s="1"/>
  <c r="H99" i="7"/>
  <c r="I99" i="7" s="1"/>
  <c r="J99" i="7" s="1"/>
  <c r="H100" i="7"/>
  <c r="I100" i="7" s="1"/>
  <c r="J100" i="7" s="1"/>
  <c r="H101" i="7"/>
  <c r="I101" i="7" s="1"/>
  <c r="J101" i="7" s="1"/>
  <c r="H102" i="7"/>
  <c r="I102" i="7" s="1"/>
  <c r="J102" i="7" s="1"/>
  <c r="H103" i="7"/>
  <c r="I103" i="7" s="1"/>
  <c r="J103" i="7" s="1"/>
  <c r="H104" i="7"/>
  <c r="I104" i="7" s="1"/>
  <c r="J104" i="7" s="1"/>
  <c r="H105" i="7"/>
  <c r="I105" i="7" s="1"/>
  <c r="J105" i="7" s="1"/>
  <c r="H106" i="7"/>
  <c r="I106" i="7" s="1"/>
  <c r="J106" i="7" s="1"/>
  <c r="H107" i="7"/>
  <c r="I107" i="7" s="1"/>
  <c r="J107" i="7" s="1"/>
  <c r="H108" i="7"/>
  <c r="I108" i="7" s="1"/>
  <c r="J108" i="7" s="1"/>
  <c r="H109" i="7"/>
  <c r="I109" i="7" s="1"/>
  <c r="J109" i="7" s="1"/>
  <c r="H110" i="7"/>
  <c r="I110" i="7" s="1"/>
  <c r="J110" i="7" s="1"/>
  <c r="H111" i="7"/>
  <c r="I111" i="7" s="1"/>
  <c r="J111" i="7" s="1"/>
  <c r="H112" i="7"/>
  <c r="I112" i="7" s="1"/>
  <c r="J112" i="7" s="1"/>
  <c r="H113" i="7"/>
  <c r="I113" i="7" s="1"/>
  <c r="J113" i="7" s="1"/>
  <c r="H114" i="7"/>
  <c r="I114" i="7" s="1"/>
  <c r="J114" i="7" s="1"/>
  <c r="H115" i="7"/>
  <c r="I115" i="7" s="1"/>
  <c r="J115" i="7" s="1"/>
  <c r="H116" i="7"/>
  <c r="I116" i="7" s="1"/>
  <c r="J116" i="7" s="1"/>
  <c r="H117" i="7"/>
  <c r="I117" i="7" s="1"/>
  <c r="J117" i="7" s="1"/>
  <c r="H118" i="7"/>
  <c r="I118" i="7" s="1"/>
  <c r="J118" i="7" s="1"/>
  <c r="H119" i="7"/>
  <c r="I119" i="7" s="1"/>
  <c r="J119" i="7" s="1"/>
  <c r="H120" i="7"/>
  <c r="I120" i="7" s="1"/>
  <c r="J120" i="7" s="1"/>
  <c r="H121" i="7"/>
  <c r="I121" i="7" s="1"/>
  <c r="J121" i="7" s="1"/>
  <c r="H122" i="7"/>
  <c r="I122" i="7" s="1"/>
  <c r="J122" i="7" s="1"/>
  <c r="H123" i="7"/>
  <c r="I123" i="7" s="1"/>
  <c r="J123" i="7" s="1"/>
  <c r="H124" i="7"/>
  <c r="I124" i="7" s="1"/>
  <c r="J124" i="7" s="1"/>
  <c r="H125" i="7"/>
  <c r="I125" i="7" s="1"/>
  <c r="J125" i="7" s="1"/>
  <c r="H126" i="7"/>
  <c r="I126" i="7" s="1"/>
  <c r="J126" i="7" s="1"/>
  <c r="H127" i="7"/>
  <c r="I127" i="7" s="1"/>
  <c r="J127" i="7" s="1"/>
  <c r="H128" i="7"/>
  <c r="I128" i="7" s="1"/>
  <c r="J128" i="7" s="1"/>
  <c r="H129" i="7"/>
  <c r="I129" i="7" s="1"/>
  <c r="J129" i="7" s="1"/>
  <c r="H130" i="7"/>
  <c r="I130" i="7" s="1"/>
  <c r="J130" i="7" s="1"/>
  <c r="H131" i="7"/>
  <c r="I131" i="7" s="1"/>
  <c r="J131" i="7" s="1"/>
  <c r="H132" i="7"/>
  <c r="I132" i="7" s="1"/>
  <c r="J132" i="7" s="1"/>
  <c r="H133" i="7"/>
  <c r="I133" i="7" s="1"/>
  <c r="J133" i="7" s="1"/>
  <c r="H134" i="7"/>
  <c r="I134" i="7" s="1"/>
  <c r="J134" i="7" s="1"/>
  <c r="H135" i="7"/>
  <c r="I135" i="7" s="1"/>
  <c r="J135" i="7" s="1"/>
  <c r="H136" i="7"/>
  <c r="I136" i="7" s="1"/>
  <c r="J136" i="7" s="1"/>
  <c r="H137" i="7"/>
  <c r="I137" i="7" s="1"/>
  <c r="J137" i="7" s="1"/>
  <c r="H138" i="7"/>
  <c r="I138" i="7" s="1"/>
  <c r="J138" i="7" s="1"/>
  <c r="H139" i="7"/>
  <c r="I139" i="7" s="1"/>
  <c r="J139" i="7" s="1"/>
  <c r="H140" i="7"/>
  <c r="I140" i="7" s="1"/>
  <c r="J140" i="7" s="1"/>
  <c r="H141" i="7"/>
  <c r="I141" i="7" s="1"/>
  <c r="J141" i="7" s="1"/>
  <c r="H142" i="7"/>
  <c r="I142" i="7" s="1"/>
  <c r="J142" i="7" s="1"/>
  <c r="H143" i="7"/>
  <c r="I143" i="7" s="1"/>
  <c r="J143" i="7" s="1"/>
  <c r="H144" i="7"/>
  <c r="I144" i="7" s="1"/>
  <c r="J144" i="7" s="1"/>
  <c r="B18" i="1" l="1"/>
  <c r="B18" i="12"/>
  <c r="C16" i="12"/>
  <c r="C18" i="12" s="1"/>
  <c r="C16" i="13"/>
  <c r="B18" i="13"/>
  <c r="C16" i="1"/>
  <c r="C18" i="1" s="1"/>
  <c r="K129" i="7"/>
  <c r="K105" i="7"/>
  <c r="K81" i="7"/>
  <c r="K57" i="7"/>
  <c r="K21" i="7"/>
  <c r="K128" i="7"/>
  <c r="K104" i="7"/>
  <c r="K80" i="7"/>
  <c r="K56" i="7"/>
  <c r="K32" i="7"/>
  <c r="K20" i="7"/>
  <c r="K139" i="7"/>
  <c r="K115" i="7"/>
  <c r="K91" i="7"/>
  <c r="K67" i="7"/>
  <c r="K43" i="7"/>
  <c r="K19" i="7"/>
  <c r="K126" i="7"/>
  <c r="K102" i="7"/>
  <c r="K78" i="7"/>
  <c r="K54" i="7"/>
  <c r="K18" i="7"/>
  <c r="K17" i="7"/>
  <c r="K141" i="7"/>
  <c r="K117" i="7"/>
  <c r="K93" i="7"/>
  <c r="K69" i="7"/>
  <c r="K45" i="7"/>
  <c r="K33" i="7"/>
  <c r="K9" i="7"/>
  <c r="K140" i="7"/>
  <c r="K116" i="7"/>
  <c r="K92" i="7"/>
  <c r="K68" i="7"/>
  <c r="K44" i="7"/>
  <c r="K8" i="7"/>
  <c r="K127" i="7"/>
  <c r="K103" i="7"/>
  <c r="K79" i="7"/>
  <c r="K55" i="7"/>
  <c r="K31" i="7"/>
  <c r="K7" i="7"/>
  <c r="K138" i="7"/>
  <c r="K114" i="7"/>
  <c r="K90" i="7"/>
  <c r="K66" i="7"/>
  <c r="K42" i="7"/>
  <c r="K30" i="7"/>
  <c r="K6" i="7"/>
  <c r="K137" i="7"/>
  <c r="K125" i="7"/>
  <c r="K113" i="7"/>
  <c r="K101" i="7"/>
  <c r="K89" i="7"/>
  <c r="K77" i="7"/>
  <c r="K65" i="7"/>
  <c r="K53" i="7"/>
  <c r="K41" i="7"/>
  <c r="K29" i="7"/>
  <c r="K5" i="7"/>
  <c r="K136" i="7"/>
  <c r="K124" i="7"/>
  <c r="K112" i="7"/>
  <c r="K100" i="7"/>
  <c r="K88" i="7"/>
  <c r="K76" i="7"/>
  <c r="K64" i="7"/>
  <c r="K52" i="7"/>
  <c r="K40" i="7"/>
  <c r="K28" i="7"/>
  <c r="K16" i="7"/>
  <c r="K4" i="7"/>
  <c r="K135" i="7"/>
  <c r="K123" i="7"/>
  <c r="K111" i="7"/>
  <c r="K99" i="7"/>
  <c r="K87" i="7"/>
  <c r="K75" i="7"/>
  <c r="K63" i="7"/>
  <c r="K51" i="7"/>
  <c r="K39" i="7"/>
  <c r="K27" i="7"/>
  <c r="K15" i="7"/>
  <c r="K3" i="7"/>
  <c r="K134" i="7"/>
  <c r="K122" i="7"/>
  <c r="K110" i="7"/>
  <c r="K98" i="7"/>
  <c r="K86" i="7"/>
  <c r="K74" i="7"/>
  <c r="K62" i="7"/>
  <c r="K50" i="7"/>
  <c r="K38" i="7"/>
  <c r="K26" i="7"/>
  <c r="K14" i="7"/>
  <c r="K2" i="7"/>
  <c r="B20" i="12" l="1"/>
  <c r="I14" i="12" s="1"/>
  <c r="C18" i="13"/>
  <c r="B20" i="13" s="1"/>
  <c r="B20" i="1"/>
  <c r="M17" i="5"/>
  <c r="L17" i="5"/>
  <c r="K17" i="5"/>
  <c r="L18" i="4"/>
  <c r="K18" i="4"/>
  <c r="J18" i="4"/>
  <c r="L18" i="3"/>
  <c r="K18" i="3"/>
  <c r="J18" i="3"/>
  <c r="E2" i="6"/>
  <c r="C3" i="6"/>
  <c r="C4" i="6"/>
  <c r="C5" i="4"/>
  <c r="C5" i="5"/>
  <c r="B22" i="13" l="1"/>
  <c r="L17" i="6"/>
  <c r="K17" i="6"/>
  <c r="J17"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3" i="6"/>
  <c r="C5" i="6"/>
  <c r="C6" i="6"/>
  <c r="C7" i="6"/>
  <c r="C8" i="6"/>
  <c r="C9" i="6"/>
  <c r="C10" i="6"/>
  <c r="C11" i="6"/>
  <c r="C12" i="6"/>
  <c r="C13" i="6"/>
  <c r="C14" i="6"/>
  <c r="C15" i="6"/>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127" i="6" s="1"/>
  <c r="C128" i="6" s="1"/>
  <c r="C129" i="6" s="1"/>
  <c r="C130" i="6" s="1"/>
  <c r="C131" i="6" s="1"/>
  <c r="C132" i="6" s="1"/>
  <c r="C133" i="6" s="1"/>
  <c r="C134" i="6" s="1"/>
  <c r="C135" i="6" s="1"/>
  <c r="C136" i="6" s="1"/>
  <c r="C137" i="6" s="1"/>
  <c r="C138" i="6" s="1"/>
  <c r="C139" i="6" s="1"/>
  <c r="C140" i="6" s="1"/>
  <c r="C141" i="6" s="1"/>
  <c r="C142" i="6" s="1"/>
  <c r="C143" i="6" s="1"/>
  <c r="C144" i="6" s="1"/>
  <c r="C7" i="4"/>
  <c r="E7" i="4" s="1"/>
  <c r="F7" i="4" s="1"/>
  <c r="C6" i="4"/>
  <c r="C8" i="4"/>
  <c r="C9" i="4"/>
  <c r="D9" i="4" s="1"/>
  <c r="C10" i="4"/>
  <c r="D10" i="4" s="1"/>
  <c r="C11" i="4"/>
  <c r="D11" i="4" s="1"/>
  <c r="C12" i="4"/>
  <c r="E12" i="4" s="1"/>
  <c r="F12" i="4" s="1"/>
  <c r="C13" i="4"/>
  <c r="C14" i="4"/>
  <c r="C15" i="4"/>
  <c r="C16" i="4"/>
  <c r="G16" i="4" s="1"/>
  <c r="C17" i="4"/>
  <c r="C18" i="4"/>
  <c r="C19" i="4"/>
  <c r="E19" i="4" s="1"/>
  <c r="C20" i="4"/>
  <c r="C21" i="4"/>
  <c r="C22" i="4"/>
  <c r="D22" i="4" s="1"/>
  <c r="C23" i="4"/>
  <c r="D23" i="4" s="1"/>
  <c r="C24" i="4"/>
  <c r="D24" i="4" s="1"/>
  <c r="C25" i="4"/>
  <c r="G25" i="4" s="1"/>
  <c r="C26" i="4"/>
  <c r="G26" i="4" s="1"/>
  <c r="C27" i="4"/>
  <c r="G27" i="4" s="1"/>
  <c r="C28" i="4"/>
  <c r="G28" i="4" s="1"/>
  <c r="C29" i="4"/>
  <c r="C30" i="4"/>
  <c r="C31" i="4"/>
  <c r="E31" i="4" s="1"/>
  <c r="F31" i="4" s="1"/>
  <c r="C32" i="4"/>
  <c r="C33" i="4"/>
  <c r="C34" i="4"/>
  <c r="C35" i="4"/>
  <c r="C36" i="4"/>
  <c r="C37" i="4"/>
  <c r="D37" i="4" s="1"/>
  <c r="C38" i="4"/>
  <c r="D38" i="4" s="1"/>
  <c r="C39" i="4"/>
  <c r="C40" i="4"/>
  <c r="G40" i="4" s="1"/>
  <c r="C41" i="4"/>
  <c r="C42" i="4"/>
  <c r="C43" i="4"/>
  <c r="E43" i="4" s="1"/>
  <c r="C44" i="4"/>
  <c r="C45" i="4"/>
  <c r="G45" i="4" s="1"/>
  <c r="C46" i="4"/>
  <c r="C47" i="4"/>
  <c r="C48" i="4"/>
  <c r="C49" i="4"/>
  <c r="C50" i="4"/>
  <c r="C51" i="4"/>
  <c r="C52" i="4"/>
  <c r="C53" i="4"/>
  <c r="C54" i="4"/>
  <c r="C55" i="4"/>
  <c r="E55" i="4" s="1"/>
  <c r="C56" i="4"/>
  <c r="C57" i="4"/>
  <c r="G57" i="4" s="1"/>
  <c r="C58" i="4"/>
  <c r="C59" i="4"/>
  <c r="G59" i="4" s="1"/>
  <c r="C60" i="4"/>
  <c r="G60" i="4" s="1"/>
  <c r="C61" i="4"/>
  <c r="E61" i="4" s="1"/>
  <c r="F61" i="4" s="1"/>
  <c r="C62" i="4"/>
  <c r="E62" i="4" s="1"/>
  <c r="F62" i="4" s="1"/>
  <c r="C63" i="4"/>
  <c r="C64" i="4"/>
  <c r="C65" i="4"/>
  <c r="C66" i="4"/>
  <c r="C67" i="4"/>
  <c r="E67" i="4" s="1"/>
  <c r="C68" i="4"/>
  <c r="C69" i="4"/>
  <c r="C70" i="4"/>
  <c r="C71" i="4"/>
  <c r="C72" i="4"/>
  <c r="C73" i="4"/>
  <c r="G73" i="4" s="1"/>
  <c r="C74" i="4"/>
  <c r="G74" i="4" s="1"/>
  <c r="C75" i="4"/>
  <c r="C76" i="4"/>
  <c r="C77" i="4"/>
  <c r="C78" i="4"/>
  <c r="C79" i="4"/>
  <c r="E79" i="4" s="1"/>
  <c r="C80" i="4"/>
  <c r="E80" i="4" s="1"/>
  <c r="C81" i="4"/>
  <c r="C82" i="4"/>
  <c r="D82" i="4" s="1"/>
  <c r="C83" i="4"/>
  <c r="G83" i="4" s="1"/>
  <c r="C84" i="4"/>
  <c r="C85" i="4"/>
  <c r="C86" i="4"/>
  <c r="C87" i="4"/>
  <c r="C88" i="4"/>
  <c r="G88" i="4" s="1"/>
  <c r="C89" i="4"/>
  <c r="C90" i="4"/>
  <c r="C91" i="4"/>
  <c r="E91" i="4" s="1"/>
  <c r="C92" i="4"/>
  <c r="E92" i="4" s="1"/>
  <c r="C93" i="4"/>
  <c r="E93" i="4" s="1"/>
  <c r="C94" i="4"/>
  <c r="D94" i="4" s="1"/>
  <c r="C95" i="4"/>
  <c r="D95" i="4" s="1"/>
  <c r="C96" i="4"/>
  <c r="D96" i="4" s="1"/>
  <c r="C97" i="4"/>
  <c r="D97" i="4" s="1"/>
  <c r="C98" i="4"/>
  <c r="D98" i="4" s="1"/>
  <c r="C99" i="4"/>
  <c r="C100" i="4"/>
  <c r="G100" i="4" s="1"/>
  <c r="C101" i="4"/>
  <c r="C102" i="4"/>
  <c r="C103" i="4"/>
  <c r="E103" i="4" s="1"/>
  <c r="F103" i="4" s="1"/>
  <c r="C104" i="4"/>
  <c r="C105" i="4"/>
  <c r="C106" i="4"/>
  <c r="C107" i="4"/>
  <c r="E107" i="4" s="1"/>
  <c r="F107" i="4" s="1"/>
  <c r="C108" i="4"/>
  <c r="E108" i="4" s="1"/>
  <c r="F108" i="4" s="1"/>
  <c r="C109" i="4"/>
  <c r="D109" i="4" s="1"/>
  <c r="C110" i="4"/>
  <c r="D110" i="4" s="1"/>
  <c r="C111" i="4"/>
  <c r="C112" i="4"/>
  <c r="G112" i="4" s="1"/>
  <c r="C113" i="4"/>
  <c r="C114" i="4"/>
  <c r="C115" i="4"/>
  <c r="E115" i="4" s="1"/>
  <c r="C116" i="4"/>
  <c r="C117" i="4"/>
  <c r="G117" i="4" s="1"/>
  <c r="C118" i="4"/>
  <c r="C119" i="4"/>
  <c r="C120" i="4"/>
  <c r="C121" i="4"/>
  <c r="C122" i="4"/>
  <c r="C123" i="4"/>
  <c r="C124" i="4"/>
  <c r="G124" i="4" s="1"/>
  <c r="C125" i="4"/>
  <c r="C126" i="4"/>
  <c r="C127" i="4"/>
  <c r="E127" i="4" s="1"/>
  <c r="C128" i="4"/>
  <c r="C129" i="4"/>
  <c r="D129" i="4" s="1"/>
  <c r="C130" i="4"/>
  <c r="C131" i="4"/>
  <c r="G131" i="4" s="1"/>
  <c r="C132" i="4"/>
  <c r="G132" i="4" s="1"/>
  <c r="C133" i="4"/>
  <c r="E133" i="4" s="1"/>
  <c r="F133" i="4" s="1"/>
  <c r="C134" i="4"/>
  <c r="E134" i="4" s="1"/>
  <c r="F134" i="4" s="1"/>
  <c r="C135" i="4"/>
  <c r="C136" i="4"/>
  <c r="G136" i="4" s="1"/>
  <c r="C137" i="4"/>
  <c r="C138" i="4"/>
  <c r="C139" i="4"/>
  <c r="E139" i="4" s="1"/>
  <c r="C140" i="4"/>
  <c r="C141" i="4"/>
  <c r="C142" i="4"/>
  <c r="C143" i="4"/>
  <c r="C144" i="4"/>
  <c r="E5" i="4"/>
  <c r="F5" i="4" s="1"/>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G5" i="4"/>
  <c r="G6" i="4"/>
  <c r="G7" i="4"/>
  <c r="G8" i="4"/>
  <c r="G9" i="4"/>
  <c r="G10" i="4"/>
  <c r="G11" i="4"/>
  <c r="G12" i="4"/>
  <c r="G17" i="4"/>
  <c r="G18" i="4"/>
  <c r="G19" i="4"/>
  <c r="G29" i="4"/>
  <c r="G30" i="4"/>
  <c r="G31" i="4"/>
  <c r="G41" i="4"/>
  <c r="G42" i="4"/>
  <c r="G43" i="4"/>
  <c r="G47" i="4"/>
  <c r="G53" i="4"/>
  <c r="G54" i="4"/>
  <c r="G55" i="4"/>
  <c r="G56" i="4"/>
  <c r="G65" i="4"/>
  <c r="G66" i="4"/>
  <c r="G67" i="4"/>
  <c r="G71" i="4"/>
  <c r="G77" i="4"/>
  <c r="G78" i="4"/>
  <c r="G79" i="4"/>
  <c r="G80" i="4"/>
  <c r="G81" i="4"/>
  <c r="G89" i="4"/>
  <c r="G90" i="4"/>
  <c r="G91" i="4"/>
  <c r="G92" i="4"/>
  <c r="G93" i="4"/>
  <c r="G94" i="4"/>
  <c r="G95" i="4"/>
  <c r="G96" i="4"/>
  <c r="G97" i="4"/>
  <c r="G98" i="4"/>
  <c r="G101" i="4"/>
  <c r="G102" i="4"/>
  <c r="G103" i="4"/>
  <c r="G113" i="4"/>
  <c r="G114" i="4"/>
  <c r="G115" i="4"/>
  <c r="G125" i="4"/>
  <c r="G126" i="4"/>
  <c r="G127" i="4"/>
  <c r="G137" i="4"/>
  <c r="G138" i="4"/>
  <c r="G139" i="4"/>
  <c r="G142" i="4"/>
  <c r="G143" i="4"/>
  <c r="F19" i="4"/>
  <c r="F28" i="4"/>
  <c r="F40" i="4"/>
  <c r="F43" i="4"/>
  <c r="F52" i="4"/>
  <c r="F55" i="4"/>
  <c r="F64" i="4"/>
  <c r="F67" i="4"/>
  <c r="F79" i="4"/>
  <c r="F80" i="4"/>
  <c r="F91" i="4"/>
  <c r="F92" i="4"/>
  <c r="F93" i="4"/>
  <c r="F115" i="4"/>
  <c r="F127" i="4"/>
  <c r="F139" i="4"/>
  <c r="E6" i="4"/>
  <c r="F6" i="4" s="1"/>
  <c r="E9" i="4"/>
  <c r="F9" i="4" s="1"/>
  <c r="E10" i="4"/>
  <c r="F10" i="4" s="1"/>
  <c r="E11" i="4"/>
  <c r="F11" i="4" s="1"/>
  <c r="E16" i="4"/>
  <c r="F16" i="4" s="1"/>
  <c r="E17" i="4"/>
  <c r="F17" i="4" s="1"/>
  <c r="E18" i="4"/>
  <c r="F18" i="4" s="1"/>
  <c r="E28" i="4"/>
  <c r="E29" i="4"/>
  <c r="F29" i="4" s="1"/>
  <c r="E30" i="4"/>
  <c r="F30" i="4" s="1"/>
  <c r="E40" i="4"/>
  <c r="E41" i="4"/>
  <c r="F41" i="4" s="1"/>
  <c r="E42" i="4"/>
  <c r="F42" i="4" s="1"/>
  <c r="E45" i="4"/>
  <c r="F45" i="4" s="1"/>
  <c r="E46" i="4"/>
  <c r="F46" i="4" s="1"/>
  <c r="E52" i="4"/>
  <c r="E53" i="4"/>
  <c r="F53" i="4" s="1"/>
  <c r="E54" i="4"/>
  <c r="F54" i="4" s="1"/>
  <c r="E64" i="4"/>
  <c r="E65" i="4"/>
  <c r="F65" i="4" s="1"/>
  <c r="E66" i="4"/>
  <c r="F66" i="4" s="1"/>
  <c r="E77" i="4"/>
  <c r="F77" i="4" s="1"/>
  <c r="E78" i="4"/>
  <c r="F78" i="4" s="1"/>
  <c r="E81" i="4"/>
  <c r="F81" i="4" s="1"/>
  <c r="E88" i="4"/>
  <c r="F88" i="4" s="1"/>
  <c r="E89" i="4"/>
  <c r="F89" i="4" s="1"/>
  <c r="E90" i="4"/>
  <c r="F90" i="4" s="1"/>
  <c r="E94" i="4"/>
  <c r="F94" i="4" s="1"/>
  <c r="E95" i="4"/>
  <c r="F95" i="4" s="1"/>
  <c r="E96" i="4"/>
  <c r="F96" i="4" s="1"/>
  <c r="E97" i="4"/>
  <c r="F97" i="4" s="1"/>
  <c r="E98" i="4"/>
  <c r="F98" i="4" s="1"/>
  <c r="E99" i="4"/>
  <c r="F99" i="4" s="1"/>
  <c r="E100" i="4"/>
  <c r="F100" i="4" s="1"/>
  <c r="E101" i="4"/>
  <c r="F101" i="4" s="1"/>
  <c r="E102" i="4"/>
  <c r="F102" i="4" s="1"/>
  <c r="E112" i="4"/>
  <c r="F112" i="4" s="1"/>
  <c r="E113" i="4"/>
  <c r="F113" i="4" s="1"/>
  <c r="E114" i="4"/>
  <c r="F114" i="4" s="1"/>
  <c r="E117" i="4"/>
  <c r="F117" i="4" s="1"/>
  <c r="E118" i="4"/>
  <c r="F118" i="4" s="1"/>
  <c r="E124" i="4"/>
  <c r="F124" i="4" s="1"/>
  <c r="E125" i="4"/>
  <c r="F125" i="4" s="1"/>
  <c r="E126" i="4"/>
  <c r="F126" i="4" s="1"/>
  <c r="E136" i="4"/>
  <c r="F136" i="4" s="1"/>
  <c r="E137" i="4"/>
  <c r="F137" i="4" s="1"/>
  <c r="E138" i="4"/>
  <c r="F138" i="4" s="1"/>
  <c r="D5" i="4"/>
  <c r="D6" i="4"/>
  <c r="D7" i="4"/>
  <c r="D16" i="4"/>
  <c r="D17" i="4"/>
  <c r="D18" i="4"/>
  <c r="D19" i="4"/>
  <c r="D25" i="4"/>
  <c r="D26" i="4"/>
  <c r="D27" i="4"/>
  <c r="D28" i="4"/>
  <c r="D29" i="4"/>
  <c r="D30" i="4"/>
  <c r="D31" i="4"/>
  <c r="D40" i="4"/>
  <c r="D41" i="4"/>
  <c r="D42" i="4"/>
  <c r="D43" i="4"/>
  <c r="D44" i="4"/>
  <c r="D45" i="4"/>
  <c r="D48" i="4"/>
  <c r="D49" i="4"/>
  <c r="D53" i="4"/>
  <c r="D54" i="4"/>
  <c r="D55" i="4"/>
  <c r="D65" i="4"/>
  <c r="D66" i="4"/>
  <c r="D67" i="4"/>
  <c r="D68" i="4"/>
  <c r="D77" i="4"/>
  <c r="D78" i="4"/>
  <c r="D79" i="4"/>
  <c r="D80" i="4"/>
  <c r="D81" i="4"/>
  <c r="D83" i="4"/>
  <c r="D88" i="4"/>
  <c r="D89" i="4"/>
  <c r="D90" i="4"/>
  <c r="D91" i="4"/>
  <c r="D100" i="4"/>
  <c r="D101" i="4"/>
  <c r="D102" i="4"/>
  <c r="D103" i="4"/>
  <c r="D104" i="4"/>
  <c r="D105" i="4"/>
  <c r="D112" i="4"/>
  <c r="D113" i="4"/>
  <c r="D114" i="4"/>
  <c r="D115" i="4"/>
  <c r="D117" i="4"/>
  <c r="D119" i="4"/>
  <c r="D120" i="4"/>
  <c r="D121" i="4"/>
  <c r="D122" i="4"/>
  <c r="D124" i="4"/>
  <c r="D125" i="4"/>
  <c r="D126" i="4"/>
  <c r="D127" i="4"/>
  <c r="D136" i="4"/>
  <c r="D137" i="4"/>
  <c r="D138" i="4"/>
  <c r="D139" i="4"/>
  <c r="G21" i="3"/>
  <c r="G22" i="3"/>
  <c r="G23" i="3"/>
  <c r="G24" i="3"/>
  <c r="G25" i="3"/>
  <c r="G26" i="3"/>
  <c r="G44" i="3"/>
  <c r="G45" i="3"/>
  <c r="G46" i="3"/>
  <c r="G47" i="3"/>
  <c r="G48" i="3"/>
  <c r="G49" i="3"/>
  <c r="G68" i="3"/>
  <c r="G69" i="3"/>
  <c r="G70" i="3"/>
  <c r="G71" i="3"/>
  <c r="G92" i="3"/>
  <c r="G93" i="3"/>
  <c r="G104" i="3"/>
  <c r="G105" i="3"/>
  <c r="G106" i="3"/>
  <c r="G107" i="3"/>
  <c r="G108" i="3"/>
  <c r="G109" i="3"/>
  <c r="G110" i="3"/>
  <c r="G128" i="3"/>
  <c r="G129" i="3"/>
  <c r="G130" i="3"/>
  <c r="G131" i="3"/>
  <c r="G132" i="3"/>
  <c r="F49" i="3"/>
  <c r="F50" i="3"/>
  <c r="F66" i="3"/>
  <c r="F67" i="3"/>
  <c r="F114" i="3"/>
  <c r="F115" i="3"/>
  <c r="F116" i="3"/>
  <c r="F121" i="3"/>
  <c r="E15" i="3"/>
  <c r="E51" i="3"/>
  <c r="E99" i="3"/>
  <c r="E111" i="3"/>
  <c r="E123" i="3"/>
  <c r="D25" i="3"/>
  <c r="D39" i="3"/>
  <c r="D65" i="3"/>
  <c r="D66" i="3"/>
  <c r="D111" i="3"/>
  <c r="D131" i="3"/>
  <c r="D132" i="3"/>
  <c r="D133" i="3"/>
  <c r="C4" i="3"/>
  <c r="G4" i="3" s="1"/>
  <c r="C5" i="3"/>
  <c r="G5" i="3" s="1"/>
  <c r="C6" i="3"/>
  <c r="E6" i="3" s="1"/>
  <c r="C7" i="3"/>
  <c r="D7" i="3" s="1"/>
  <c r="C8" i="3"/>
  <c r="C9" i="3"/>
  <c r="G9" i="3" s="1"/>
  <c r="C10" i="3"/>
  <c r="G10" i="3" s="1"/>
  <c r="C11" i="3"/>
  <c r="G11" i="3" s="1"/>
  <c r="C12" i="3"/>
  <c r="G12" i="3" s="1"/>
  <c r="C13" i="3"/>
  <c r="C14" i="3"/>
  <c r="C15" i="3"/>
  <c r="F15" i="3" s="1"/>
  <c r="C16" i="3"/>
  <c r="G16" i="3" s="1"/>
  <c r="C17" i="3"/>
  <c r="G17" i="3" s="1"/>
  <c r="C18" i="3"/>
  <c r="E18" i="3" s="1"/>
  <c r="C19" i="3"/>
  <c r="D19" i="3" s="1"/>
  <c r="C20" i="3"/>
  <c r="C21" i="3"/>
  <c r="C22" i="3"/>
  <c r="C23" i="3"/>
  <c r="C24" i="3"/>
  <c r="C25" i="3"/>
  <c r="C26" i="3"/>
  <c r="D26" i="3" s="1"/>
  <c r="C27" i="3"/>
  <c r="G27" i="3" s="1"/>
  <c r="C28" i="3"/>
  <c r="G28" i="3" s="1"/>
  <c r="C29" i="3"/>
  <c r="G29" i="3" s="1"/>
  <c r="C30" i="3"/>
  <c r="E30" i="3" s="1"/>
  <c r="C31" i="3"/>
  <c r="D31" i="3" s="1"/>
  <c r="C32" i="3"/>
  <c r="C33" i="3"/>
  <c r="G33" i="3" s="1"/>
  <c r="C34" i="3"/>
  <c r="G34" i="3" s="1"/>
  <c r="C35" i="3"/>
  <c r="G35" i="3" s="1"/>
  <c r="C36" i="3"/>
  <c r="G36" i="3" s="1"/>
  <c r="C37" i="3"/>
  <c r="E37" i="3" s="1"/>
  <c r="C38" i="3"/>
  <c r="E38" i="3" s="1"/>
  <c r="C39" i="3"/>
  <c r="F39" i="3" s="1"/>
  <c r="C40" i="3"/>
  <c r="D40" i="3" s="1"/>
  <c r="C41" i="3"/>
  <c r="D41" i="3" s="1"/>
  <c r="C42" i="3"/>
  <c r="E42" i="3" s="1"/>
  <c r="C43" i="3"/>
  <c r="D43" i="3" s="1"/>
  <c r="C44" i="3"/>
  <c r="D44" i="3" s="1"/>
  <c r="C45" i="3"/>
  <c r="C46" i="3"/>
  <c r="C47" i="3"/>
  <c r="C48" i="3"/>
  <c r="C49" i="3"/>
  <c r="D49" i="3" s="1"/>
  <c r="C50" i="3"/>
  <c r="D50" i="3" s="1"/>
  <c r="C51" i="3"/>
  <c r="F51" i="3" s="1"/>
  <c r="C52" i="3"/>
  <c r="G52" i="3" s="1"/>
  <c r="C53" i="3"/>
  <c r="G53" i="3" s="1"/>
  <c r="C54" i="3"/>
  <c r="E54" i="3" s="1"/>
  <c r="C55" i="3"/>
  <c r="D55" i="3" s="1"/>
  <c r="C56" i="3"/>
  <c r="D56" i="3" s="1"/>
  <c r="C57" i="3"/>
  <c r="G57" i="3" s="1"/>
  <c r="C58" i="3"/>
  <c r="G58" i="3" s="1"/>
  <c r="C59" i="3"/>
  <c r="G59" i="3" s="1"/>
  <c r="C60" i="3"/>
  <c r="G60" i="3" s="1"/>
  <c r="C61" i="3"/>
  <c r="C62" i="3"/>
  <c r="C63" i="3"/>
  <c r="E63" i="3" s="1"/>
  <c r="C64" i="3"/>
  <c r="G64" i="3" s="1"/>
  <c r="C65" i="3"/>
  <c r="G65" i="3" s="1"/>
  <c r="C66" i="3"/>
  <c r="E66" i="3" s="1"/>
  <c r="C67" i="3"/>
  <c r="D67" i="3" s="1"/>
  <c r="C68" i="3"/>
  <c r="C69" i="3"/>
  <c r="C70" i="3"/>
  <c r="C71" i="3"/>
  <c r="E71" i="3" s="1"/>
  <c r="C72" i="3"/>
  <c r="G72" i="3" s="1"/>
  <c r="C73" i="3"/>
  <c r="C74" i="3"/>
  <c r="C75" i="3"/>
  <c r="F75" i="3" s="1"/>
  <c r="C76" i="3"/>
  <c r="G76" i="3" s="1"/>
  <c r="C77" i="3"/>
  <c r="G77" i="3" s="1"/>
  <c r="C78" i="3"/>
  <c r="E78" i="3" s="1"/>
  <c r="C79" i="3"/>
  <c r="D79" i="3" s="1"/>
  <c r="C80" i="3"/>
  <c r="D80" i="3" s="1"/>
  <c r="C81" i="3"/>
  <c r="G81" i="3" s="1"/>
  <c r="C82" i="3"/>
  <c r="G82" i="3" s="1"/>
  <c r="C83" i="3"/>
  <c r="G83" i="3" s="1"/>
  <c r="C84" i="3"/>
  <c r="G84" i="3" s="1"/>
  <c r="C85" i="3"/>
  <c r="E85" i="3" s="1"/>
  <c r="C86" i="3"/>
  <c r="E86" i="3" s="1"/>
  <c r="C87" i="3"/>
  <c r="F87" i="3" s="1"/>
  <c r="C88" i="3"/>
  <c r="D88" i="3" s="1"/>
  <c r="C89" i="3"/>
  <c r="D89" i="3" s="1"/>
  <c r="C90" i="3"/>
  <c r="E90" i="3" s="1"/>
  <c r="C91" i="3"/>
  <c r="D91" i="3" s="1"/>
  <c r="C92" i="3"/>
  <c r="D92" i="3" s="1"/>
  <c r="C93" i="3"/>
  <c r="C94" i="3"/>
  <c r="G94" i="3" s="1"/>
  <c r="C95" i="3"/>
  <c r="G95" i="3" s="1"/>
  <c r="C96" i="3"/>
  <c r="F96" i="3" s="1"/>
  <c r="C97" i="3"/>
  <c r="C98" i="3"/>
  <c r="D98" i="3" s="1"/>
  <c r="C99" i="3"/>
  <c r="G99" i="3" s="1"/>
  <c r="C100" i="3"/>
  <c r="G100" i="3" s="1"/>
  <c r="C101" i="3"/>
  <c r="G101" i="3" s="1"/>
  <c r="C102" i="3"/>
  <c r="E102" i="3" s="1"/>
  <c r="C103" i="3"/>
  <c r="D103" i="3" s="1"/>
  <c r="C104" i="3"/>
  <c r="D104" i="3" s="1"/>
  <c r="C105" i="3"/>
  <c r="C106" i="3"/>
  <c r="C107" i="3"/>
  <c r="C108" i="3"/>
  <c r="C109" i="3"/>
  <c r="E109" i="3" s="1"/>
  <c r="C110" i="3"/>
  <c r="E110" i="3" s="1"/>
  <c r="C111" i="3"/>
  <c r="F111" i="3" s="1"/>
  <c r="C112" i="3"/>
  <c r="G112" i="3" s="1"/>
  <c r="C113" i="3"/>
  <c r="G113" i="3" s="1"/>
  <c r="C114" i="3"/>
  <c r="D114" i="3" s="1"/>
  <c r="C115" i="3"/>
  <c r="D115" i="3" s="1"/>
  <c r="C116" i="3"/>
  <c r="D116" i="3" s="1"/>
  <c r="C117" i="3"/>
  <c r="G117" i="3" s="1"/>
  <c r="C118" i="3"/>
  <c r="G118" i="3" s="1"/>
  <c r="C119" i="3"/>
  <c r="G119" i="3" s="1"/>
  <c r="C120" i="3"/>
  <c r="G120" i="3" s="1"/>
  <c r="C121" i="3"/>
  <c r="C122" i="3"/>
  <c r="C123" i="3"/>
  <c r="F123" i="3" s="1"/>
  <c r="C124" i="3"/>
  <c r="G124" i="3" s="1"/>
  <c r="C125" i="3"/>
  <c r="G125" i="3" s="1"/>
  <c r="C126" i="3"/>
  <c r="F126" i="3" s="1"/>
  <c r="C127" i="3"/>
  <c r="D127" i="3" s="1"/>
  <c r="C128" i="3"/>
  <c r="D128" i="3" s="1"/>
  <c r="C129" i="3"/>
  <c r="C130" i="3"/>
  <c r="C131" i="3"/>
  <c r="C132" i="3"/>
  <c r="F132" i="3" s="1"/>
  <c r="C133" i="3"/>
  <c r="F133" i="3" s="1"/>
  <c r="C134" i="3"/>
  <c r="D134" i="3" s="1"/>
  <c r="C135" i="3"/>
  <c r="G135" i="3" s="1"/>
  <c r="C136" i="3"/>
  <c r="G136" i="3" s="1"/>
  <c r="C137" i="3"/>
  <c r="G137" i="3" s="1"/>
  <c r="C138" i="3"/>
  <c r="D138" i="3" s="1"/>
  <c r="C139" i="3"/>
  <c r="D139" i="3" s="1"/>
  <c r="C140" i="3"/>
  <c r="D140" i="3" s="1"/>
  <c r="C141" i="3"/>
  <c r="G141" i="3" s="1"/>
  <c r="C142" i="3"/>
  <c r="G142" i="3" s="1"/>
  <c r="C143" i="3"/>
  <c r="G143" i="3" s="1"/>
  <c r="C144" i="3"/>
  <c r="G144" i="3" s="1"/>
  <c r="C3" i="3"/>
  <c r="G135" i="4" l="1"/>
  <c r="E135" i="4"/>
  <c r="F135" i="4" s="1"/>
  <c r="G123" i="4"/>
  <c r="E123" i="4"/>
  <c r="F123" i="4" s="1"/>
  <c r="G111" i="4"/>
  <c r="D111" i="4"/>
  <c r="G99" i="4"/>
  <c r="D99" i="4"/>
  <c r="G87" i="4"/>
  <c r="E87" i="4"/>
  <c r="F87" i="4" s="1"/>
  <c r="G75" i="4"/>
  <c r="E75" i="4"/>
  <c r="F75" i="4" s="1"/>
  <c r="G63" i="4"/>
  <c r="D63" i="4"/>
  <c r="E63" i="4"/>
  <c r="F63" i="4" s="1"/>
  <c r="G51" i="4"/>
  <c r="D51" i="4"/>
  <c r="E51" i="4"/>
  <c r="F51" i="4" s="1"/>
  <c r="G39" i="4"/>
  <c r="D39" i="4"/>
  <c r="G15" i="4"/>
  <c r="D15" i="4"/>
  <c r="E15" i="4"/>
  <c r="F15" i="4" s="1"/>
  <c r="D135" i="4"/>
  <c r="D87" i="4"/>
  <c r="E27" i="4"/>
  <c r="F27" i="4" s="1"/>
  <c r="E122" i="4"/>
  <c r="F122" i="4" s="1"/>
  <c r="G122" i="4"/>
  <c r="G86" i="4"/>
  <c r="E86" i="4"/>
  <c r="F86" i="4" s="1"/>
  <c r="D86" i="4"/>
  <c r="D50" i="4"/>
  <c r="E50" i="4"/>
  <c r="F50" i="4" s="1"/>
  <c r="G50" i="4"/>
  <c r="G14" i="4"/>
  <c r="E14" i="4"/>
  <c r="F14" i="4" s="1"/>
  <c r="D134" i="4"/>
  <c r="E74" i="4"/>
  <c r="F74" i="4" s="1"/>
  <c r="E26" i="4"/>
  <c r="F26" i="4" s="1"/>
  <c r="E121" i="4"/>
  <c r="F121" i="4" s="1"/>
  <c r="G121" i="4"/>
  <c r="E85" i="4"/>
  <c r="F85" i="4" s="1"/>
  <c r="G85" i="4"/>
  <c r="D85" i="4"/>
  <c r="E49" i="4"/>
  <c r="F49" i="4" s="1"/>
  <c r="G49" i="4"/>
  <c r="G13" i="4"/>
  <c r="E13" i="4"/>
  <c r="F13" i="4" s="1"/>
  <c r="D133" i="4"/>
  <c r="D62" i="4"/>
  <c r="E73" i="4"/>
  <c r="F73" i="4" s="1"/>
  <c r="E25" i="4"/>
  <c r="F25" i="4" s="1"/>
  <c r="G110" i="4"/>
  <c r="G144" i="4"/>
  <c r="D144" i="4"/>
  <c r="E144" i="4"/>
  <c r="F144" i="4" s="1"/>
  <c r="E120" i="4"/>
  <c r="F120" i="4" s="1"/>
  <c r="G120" i="4"/>
  <c r="G84" i="4"/>
  <c r="D84" i="4"/>
  <c r="G72" i="4"/>
  <c r="D72" i="4"/>
  <c r="E72" i="4"/>
  <c r="F72" i="4" s="1"/>
  <c r="E48" i="4"/>
  <c r="F48" i="4" s="1"/>
  <c r="G48" i="4"/>
  <c r="D36" i="4"/>
  <c r="E36" i="4"/>
  <c r="F36" i="4" s="1"/>
  <c r="D132" i="4"/>
  <c r="D61" i="4"/>
  <c r="E24" i="4"/>
  <c r="F24" i="4" s="1"/>
  <c r="G109" i="4"/>
  <c r="G24" i="4"/>
  <c r="D143" i="4"/>
  <c r="E143" i="4"/>
  <c r="F143" i="4" s="1"/>
  <c r="E119" i="4"/>
  <c r="F119" i="4" s="1"/>
  <c r="G119" i="4"/>
  <c r="D71" i="4"/>
  <c r="E71" i="4"/>
  <c r="F71" i="4" s="1"/>
  <c r="D47" i="4"/>
  <c r="E47" i="4"/>
  <c r="F47" i="4" s="1"/>
  <c r="D35" i="4"/>
  <c r="E35" i="4"/>
  <c r="F35" i="4" s="1"/>
  <c r="D131" i="4"/>
  <c r="D60" i="4"/>
  <c r="E132" i="4"/>
  <c r="F132" i="4" s="1"/>
  <c r="E111" i="4"/>
  <c r="F111" i="4" s="1"/>
  <c r="E23" i="4"/>
  <c r="F23" i="4" s="1"/>
  <c r="G134" i="4"/>
  <c r="G108" i="4"/>
  <c r="G23" i="4"/>
  <c r="D142" i="4"/>
  <c r="E142" i="4"/>
  <c r="F142" i="4" s="1"/>
  <c r="D130" i="4"/>
  <c r="G130" i="4"/>
  <c r="D118" i="4"/>
  <c r="G118" i="4"/>
  <c r="D106" i="4"/>
  <c r="E106" i="4"/>
  <c r="F106" i="4" s="1"/>
  <c r="D70" i="4"/>
  <c r="E70" i="4"/>
  <c r="F70" i="4" s="1"/>
  <c r="G70" i="4"/>
  <c r="D58" i="4"/>
  <c r="G58" i="4"/>
  <c r="D46" i="4"/>
  <c r="G46" i="4"/>
  <c r="D34" i="4"/>
  <c r="E34" i="4"/>
  <c r="F34" i="4" s="1"/>
  <c r="G34" i="4"/>
  <c r="D59" i="4"/>
  <c r="D14" i="4"/>
  <c r="E131" i="4"/>
  <c r="F131" i="4" s="1"/>
  <c r="E110" i="4"/>
  <c r="F110" i="4" s="1"/>
  <c r="E22" i="4"/>
  <c r="F22" i="4" s="1"/>
  <c r="G133" i="4"/>
  <c r="G107" i="4"/>
  <c r="G22" i="4"/>
  <c r="D141" i="4"/>
  <c r="E141" i="4"/>
  <c r="F141" i="4" s="1"/>
  <c r="G141" i="4"/>
  <c r="E105" i="4"/>
  <c r="F105" i="4" s="1"/>
  <c r="G105" i="4"/>
  <c r="E69" i="4"/>
  <c r="F69" i="4" s="1"/>
  <c r="D69" i="4"/>
  <c r="G69" i="4"/>
  <c r="E33" i="4"/>
  <c r="F33" i="4" s="1"/>
  <c r="D33" i="4"/>
  <c r="G33" i="4"/>
  <c r="D21" i="4"/>
  <c r="E21" i="4"/>
  <c r="F21" i="4" s="1"/>
  <c r="D93" i="4"/>
  <c r="D57" i="4"/>
  <c r="D13" i="4"/>
  <c r="E130" i="4"/>
  <c r="F130" i="4" s="1"/>
  <c r="E109" i="4"/>
  <c r="F109" i="4" s="1"/>
  <c r="E60" i="4"/>
  <c r="F60" i="4" s="1"/>
  <c r="E39" i="4"/>
  <c r="F39" i="4" s="1"/>
  <c r="G129" i="4"/>
  <c r="G106" i="4"/>
  <c r="G38" i="4"/>
  <c r="G21" i="4"/>
  <c r="E140" i="4"/>
  <c r="F140" i="4" s="1"/>
  <c r="D140" i="4"/>
  <c r="G140" i="4"/>
  <c r="E128" i="4"/>
  <c r="F128" i="4" s="1"/>
  <c r="D128" i="4"/>
  <c r="E116" i="4"/>
  <c r="F116" i="4" s="1"/>
  <c r="G116" i="4"/>
  <c r="D116" i="4"/>
  <c r="E104" i="4"/>
  <c r="F104" i="4" s="1"/>
  <c r="G104" i="4"/>
  <c r="E68" i="4"/>
  <c r="F68" i="4" s="1"/>
  <c r="G68" i="4"/>
  <c r="E56" i="4"/>
  <c r="F56" i="4" s="1"/>
  <c r="D56" i="4"/>
  <c r="E44" i="4"/>
  <c r="F44" i="4" s="1"/>
  <c r="G44" i="4"/>
  <c r="E32" i="4"/>
  <c r="F32" i="4" s="1"/>
  <c r="G32" i="4"/>
  <c r="D32" i="4"/>
  <c r="E20" i="4"/>
  <c r="F20" i="4" s="1"/>
  <c r="D20" i="4"/>
  <c r="E8" i="4"/>
  <c r="F8" i="4" s="1"/>
  <c r="D8" i="4"/>
  <c r="D92" i="4"/>
  <c r="D75" i="4"/>
  <c r="D12" i="4"/>
  <c r="E129" i="4"/>
  <c r="F129" i="4" s="1"/>
  <c r="E84" i="4"/>
  <c r="F84" i="4" s="1"/>
  <c r="E59" i="4"/>
  <c r="F59" i="4" s="1"/>
  <c r="E38" i="4"/>
  <c r="F38" i="4" s="1"/>
  <c r="G128" i="4"/>
  <c r="G62" i="4"/>
  <c r="G37" i="4"/>
  <c r="G20" i="4"/>
  <c r="D108" i="4"/>
  <c r="D74" i="4"/>
  <c r="E83" i="4"/>
  <c r="F83" i="4" s="1"/>
  <c r="E58" i="4"/>
  <c r="F58" i="4" s="1"/>
  <c r="E37" i="4"/>
  <c r="F37" i="4" s="1"/>
  <c r="G61" i="4"/>
  <c r="G36" i="4"/>
  <c r="D123" i="4"/>
  <c r="D107" i="4"/>
  <c r="D73" i="4"/>
  <c r="E82" i="4"/>
  <c r="F82" i="4" s="1"/>
  <c r="E57" i="4"/>
  <c r="F57" i="4" s="1"/>
  <c r="G82" i="4"/>
  <c r="G35" i="4"/>
  <c r="G76" i="4"/>
  <c r="D76" i="4"/>
  <c r="E76" i="4"/>
  <c r="F76" i="4" s="1"/>
  <c r="G64" i="4"/>
  <c r="D64" i="4"/>
  <c r="G52" i="4"/>
  <c r="D52" i="4"/>
  <c r="D122" i="3"/>
  <c r="F122" i="3"/>
  <c r="D74" i="3"/>
  <c r="F74" i="3"/>
  <c r="E62" i="3"/>
  <c r="D62" i="3"/>
  <c r="D14" i="3"/>
  <c r="F14" i="3"/>
  <c r="E14" i="3"/>
  <c r="F3" i="3"/>
  <c r="G3" i="3"/>
  <c r="D3" i="3"/>
  <c r="E3" i="3"/>
  <c r="D121" i="3"/>
  <c r="E121" i="3"/>
  <c r="D97" i="3"/>
  <c r="F97" i="3"/>
  <c r="D73" i="3"/>
  <c r="F73" i="3"/>
  <c r="E61" i="3"/>
  <c r="D61" i="3"/>
  <c r="E25" i="3"/>
  <c r="F25" i="3"/>
  <c r="D13" i="3"/>
  <c r="E13" i="3"/>
  <c r="F26" i="3"/>
  <c r="G86" i="3"/>
  <c r="E122" i="3"/>
  <c r="F13" i="3"/>
  <c r="G85" i="3"/>
  <c r="D110" i="3"/>
  <c r="G62" i="3"/>
  <c r="D109" i="3"/>
  <c r="F110" i="3"/>
  <c r="G122" i="3"/>
  <c r="G61" i="3"/>
  <c r="D85" i="3"/>
  <c r="E98" i="3"/>
  <c r="F109" i="3"/>
  <c r="G121" i="3"/>
  <c r="G38" i="3"/>
  <c r="G14" i="3"/>
  <c r="D68" i="3"/>
  <c r="F68" i="3"/>
  <c r="D32" i="3"/>
  <c r="G32" i="3"/>
  <c r="D20" i="3"/>
  <c r="F20" i="3"/>
  <c r="G20" i="3"/>
  <c r="D8" i="3"/>
  <c r="G8" i="3"/>
  <c r="E97" i="3"/>
  <c r="F98" i="3"/>
  <c r="G98" i="3"/>
  <c r="G37" i="3"/>
  <c r="G13" i="3"/>
  <c r="G97" i="3"/>
  <c r="G80" i="3"/>
  <c r="E50" i="3"/>
  <c r="G140" i="3"/>
  <c r="G96" i="3"/>
  <c r="G74" i="3"/>
  <c r="D38" i="3"/>
  <c r="E49" i="3"/>
  <c r="F62" i="3"/>
  <c r="G134" i="3"/>
  <c r="G73" i="3"/>
  <c r="G56" i="3"/>
  <c r="D37" i="3"/>
  <c r="F61" i="3"/>
  <c r="G133" i="3"/>
  <c r="G116" i="3"/>
  <c r="G50" i="3"/>
  <c r="G139" i="3"/>
  <c r="G127" i="3"/>
  <c r="G115" i="3"/>
  <c r="G103" i="3"/>
  <c r="G91" i="3"/>
  <c r="G79" i="3"/>
  <c r="G67" i="3"/>
  <c r="G55" i="3"/>
  <c r="G43" i="3"/>
  <c r="G31" i="3"/>
  <c r="G19" i="3"/>
  <c r="G7" i="3"/>
  <c r="E114" i="3"/>
  <c r="G138" i="3"/>
  <c r="G126" i="3"/>
  <c r="G114" i="3"/>
  <c r="G102" i="3"/>
  <c r="G90" i="3"/>
  <c r="G78" i="3"/>
  <c r="G66" i="3"/>
  <c r="G54" i="3"/>
  <c r="G42" i="3"/>
  <c r="G30" i="3"/>
  <c r="G18" i="3"/>
  <c r="G6" i="3"/>
  <c r="F19" i="3"/>
  <c r="G89" i="3"/>
  <c r="G41" i="3"/>
  <c r="F18" i="3"/>
  <c r="G88" i="3"/>
  <c r="G40" i="3"/>
  <c r="G123" i="3"/>
  <c r="G111" i="3"/>
  <c r="G87" i="3"/>
  <c r="G75" i="3"/>
  <c r="G63" i="3"/>
  <c r="G51" i="3"/>
  <c r="G39" i="3"/>
  <c r="G15" i="3"/>
  <c r="D144" i="3"/>
  <c r="E144" i="3"/>
  <c r="D120" i="3"/>
  <c r="F120" i="3"/>
  <c r="E120" i="3"/>
  <c r="F108" i="3"/>
  <c r="D108" i="3"/>
  <c r="E108" i="3"/>
  <c r="D96" i="3"/>
  <c r="E96" i="3"/>
  <c r="D84" i="3"/>
  <c r="E84" i="3"/>
  <c r="D72" i="3"/>
  <c r="F72" i="3"/>
  <c r="F60" i="3"/>
  <c r="D60" i="3"/>
  <c r="D48" i="3"/>
  <c r="E48" i="3"/>
  <c r="F36" i="3"/>
  <c r="E36" i="3"/>
  <c r="D36" i="3"/>
  <c r="E24" i="3"/>
  <c r="F24" i="3"/>
  <c r="D24" i="3"/>
  <c r="D12" i="3"/>
  <c r="F12" i="3"/>
  <c r="E12" i="3"/>
  <c r="F48" i="3"/>
  <c r="D143" i="3"/>
  <c r="E143" i="3"/>
  <c r="F143" i="3"/>
  <c r="E131" i="3"/>
  <c r="F131" i="3"/>
  <c r="D119" i="3"/>
  <c r="E119" i="3"/>
  <c r="F107" i="3"/>
  <c r="D107" i="3"/>
  <c r="E107" i="3"/>
  <c r="D95" i="3"/>
  <c r="F95" i="3"/>
  <c r="D83" i="3"/>
  <c r="F83" i="3"/>
  <c r="E83" i="3"/>
  <c r="F59" i="3"/>
  <c r="D59" i="3"/>
  <c r="D47" i="3"/>
  <c r="E47" i="3"/>
  <c r="F47" i="3"/>
  <c r="F35" i="3"/>
  <c r="D35" i="3"/>
  <c r="E23" i="3"/>
  <c r="D23" i="3"/>
  <c r="D11" i="3"/>
  <c r="F11" i="3"/>
  <c r="E11" i="3"/>
  <c r="F119" i="3"/>
  <c r="D142" i="3"/>
  <c r="E142" i="3"/>
  <c r="F142" i="3"/>
  <c r="D130" i="3"/>
  <c r="F130" i="3"/>
  <c r="D118" i="3"/>
  <c r="E118" i="3"/>
  <c r="D106" i="3"/>
  <c r="F106" i="3"/>
  <c r="E106" i="3"/>
  <c r="D94" i="3"/>
  <c r="F94" i="3"/>
  <c r="D82" i="3"/>
  <c r="F82" i="3"/>
  <c r="E82" i="3"/>
  <c r="D70" i="3"/>
  <c r="E70" i="3"/>
  <c r="D58" i="3"/>
  <c r="F58" i="3"/>
  <c r="D46" i="3"/>
  <c r="E46" i="3"/>
  <c r="F46" i="3"/>
  <c r="D34" i="3"/>
  <c r="F34" i="3"/>
  <c r="D22" i="3"/>
  <c r="E22" i="3"/>
  <c r="D10" i="3"/>
  <c r="F10" i="3"/>
  <c r="E10" i="3"/>
  <c r="E35" i="3"/>
  <c r="F118" i="3"/>
  <c r="F71" i="3"/>
  <c r="D141" i="3"/>
  <c r="F141" i="3"/>
  <c r="D129" i="3"/>
  <c r="F129" i="3"/>
  <c r="D117" i="3"/>
  <c r="E117" i="3"/>
  <c r="D105" i="3"/>
  <c r="F105" i="3"/>
  <c r="E105" i="3"/>
  <c r="D93" i="3"/>
  <c r="F93" i="3"/>
  <c r="D81" i="3"/>
  <c r="F81" i="3"/>
  <c r="E81" i="3"/>
  <c r="D69" i="3"/>
  <c r="E69" i="3"/>
  <c r="D57" i="3"/>
  <c r="F57" i="3"/>
  <c r="E57" i="3"/>
  <c r="D45" i="3"/>
  <c r="E45" i="3"/>
  <c r="F45" i="3"/>
  <c r="D33" i="3"/>
  <c r="F33" i="3"/>
  <c r="D21" i="3"/>
  <c r="E21" i="3"/>
  <c r="D9" i="3"/>
  <c r="F9" i="3"/>
  <c r="E9" i="3"/>
  <c r="E34" i="3"/>
  <c r="F117" i="3"/>
  <c r="F70" i="3"/>
  <c r="F23" i="3"/>
  <c r="E141" i="3"/>
  <c r="E33" i="3"/>
  <c r="F69" i="3"/>
  <c r="F22" i="3"/>
  <c r="D71" i="3"/>
  <c r="E130" i="3"/>
  <c r="E95" i="3"/>
  <c r="F21" i="3"/>
  <c r="E129" i="3"/>
  <c r="E94" i="3"/>
  <c r="E93" i="3"/>
  <c r="E60" i="3"/>
  <c r="E59" i="3"/>
  <c r="E58" i="3"/>
  <c r="F144" i="3"/>
  <c r="D42" i="3"/>
  <c r="D87" i="3"/>
  <c r="E116" i="3"/>
  <c r="D86" i="3"/>
  <c r="E115" i="3"/>
  <c r="E68" i="3"/>
  <c r="E20" i="3"/>
  <c r="E128" i="3"/>
  <c r="E67" i="3"/>
  <c r="E19" i="3"/>
  <c r="D126" i="3"/>
  <c r="D18" i="3"/>
  <c r="E127" i="3"/>
  <c r="F128" i="3"/>
  <c r="F80" i="3"/>
  <c r="F32" i="3"/>
  <c r="E137" i="3"/>
  <c r="F137" i="3"/>
  <c r="E125" i="3"/>
  <c r="F125" i="3"/>
  <c r="E113" i="3"/>
  <c r="F113" i="3"/>
  <c r="E101" i="3"/>
  <c r="F101" i="3"/>
  <c r="E89" i="3"/>
  <c r="F89" i="3"/>
  <c r="E77" i="3"/>
  <c r="F77" i="3"/>
  <c r="E65" i="3"/>
  <c r="F65" i="3"/>
  <c r="E53" i="3"/>
  <c r="F53" i="3"/>
  <c r="E41" i="3"/>
  <c r="F41" i="3"/>
  <c r="E29" i="3"/>
  <c r="F29" i="3"/>
  <c r="E17" i="3"/>
  <c r="F17" i="3"/>
  <c r="E5" i="3"/>
  <c r="F5" i="3"/>
  <c r="D125" i="3"/>
  <c r="D17" i="3"/>
  <c r="E140" i="3"/>
  <c r="E126" i="3"/>
  <c r="E80" i="3"/>
  <c r="E32" i="3"/>
  <c r="F127" i="3"/>
  <c r="F79" i="3"/>
  <c r="F31" i="3"/>
  <c r="E136" i="3"/>
  <c r="F136" i="3"/>
  <c r="D136" i="3"/>
  <c r="E124" i="3"/>
  <c r="F124" i="3"/>
  <c r="E112" i="3"/>
  <c r="F112" i="3"/>
  <c r="E100" i="3"/>
  <c r="F100" i="3"/>
  <c r="D100" i="3"/>
  <c r="E88" i="3"/>
  <c r="F88" i="3"/>
  <c r="E76" i="3"/>
  <c r="F76" i="3"/>
  <c r="E64" i="3"/>
  <c r="F64" i="3"/>
  <c r="D64" i="3"/>
  <c r="E52" i="3"/>
  <c r="F52" i="3"/>
  <c r="E40" i="3"/>
  <c r="F40" i="3"/>
  <c r="E28" i="3"/>
  <c r="F28" i="3"/>
  <c r="D28" i="3"/>
  <c r="E16" i="3"/>
  <c r="F16" i="3"/>
  <c r="D4" i="3"/>
  <c r="E4" i="3"/>
  <c r="F4" i="3"/>
  <c r="D124" i="3"/>
  <c r="D102" i="3"/>
  <c r="D78" i="3"/>
  <c r="D16" i="3"/>
  <c r="E139" i="3"/>
  <c r="E79" i="3"/>
  <c r="E31" i="3"/>
  <c r="F78" i="3"/>
  <c r="F30" i="3"/>
  <c r="F135" i="3"/>
  <c r="D135" i="3"/>
  <c r="F99" i="3"/>
  <c r="D99" i="3"/>
  <c r="F63" i="3"/>
  <c r="D63" i="3"/>
  <c r="F27" i="3"/>
  <c r="D27" i="3"/>
  <c r="D123" i="3"/>
  <c r="D101" i="3"/>
  <c r="D77" i="3"/>
  <c r="D15" i="3"/>
  <c r="E138" i="3"/>
  <c r="E75" i="3"/>
  <c r="E27" i="3"/>
  <c r="F140" i="3"/>
  <c r="F92" i="3"/>
  <c r="F44" i="3"/>
  <c r="D76" i="3"/>
  <c r="D54" i="3"/>
  <c r="E135" i="3"/>
  <c r="E92" i="3"/>
  <c r="E74" i="3"/>
  <c r="E44" i="3"/>
  <c r="E26" i="3"/>
  <c r="F139" i="3"/>
  <c r="F91" i="3"/>
  <c r="F43" i="3"/>
  <c r="D75" i="3"/>
  <c r="D53" i="3"/>
  <c r="E134" i="3"/>
  <c r="E91" i="3"/>
  <c r="E73" i="3"/>
  <c r="E43" i="3"/>
  <c r="F138" i="3"/>
  <c r="F90" i="3"/>
  <c r="F42" i="3"/>
  <c r="D52" i="3"/>
  <c r="D30" i="3"/>
  <c r="D6" i="3"/>
  <c r="E133" i="3"/>
  <c r="E87" i="3"/>
  <c r="E72" i="3"/>
  <c r="E39" i="3"/>
  <c r="F134" i="3"/>
  <c r="F104" i="3"/>
  <c r="F86" i="3"/>
  <c r="F56" i="3"/>
  <c r="F38" i="3"/>
  <c r="F8" i="3"/>
  <c r="D137" i="3"/>
  <c r="D113" i="3"/>
  <c r="D51" i="3"/>
  <c r="D29" i="3"/>
  <c r="D5" i="3"/>
  <c r="E132" i="3"/>
  <c r="E104" i="3"/>
  <c r="E56" i="3"/>
  <c r="E8" i="3"/>
  <c r="F103" i="3"/>
  <c r="F85" i="3"/>
  <c r="F55" i="3"/>
  <c r="F37" i="3"/>
  <c r="F7" i="3"/>
  <c r="D112" i="3"/>
  <c r="D90" i="3"/>
  <c r="E103" i="3"/>
  <c r="E55" i="3"/>
  <c r="E7" i="3"/>
  <c r="F102" i="3"/>
  <c r="F84" i="3"/>
  <c r="F54" i="3"/>
  <c r="F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<sst xmlns="http://schemas.openxmlformats.org/spreadsheetml/2006/main" count="230" uniqueCount="111">
  <si>
    <t>Acquisition cost for one system</t>
  </si>
  <si>
    <t>Diesel Fuel Price ($/Gallon)</t>
  </si>
  <si>
    <t>Price charged for one system</t>
  </si>
  <si>
    <t>At Least:</t>
  </si>
  <si>
    <t>But Less Than:</t>
  </si>
  <si>
    <t>Surcharge:</t>
  </si>
  <si>
    <t>Local supply available</t>
  </si>
  <si>
    <t>Parameter</t>
  </si>
  <si>
    <t>Fuel Price</t>
  </si>
  <si>
    <t>Objective</t>
  </si>
  <si>
    <t>Variable / Decision Cell</t>
  </si>
  <si>
    <t>Demand curve parameters</t>
  </si>
  <si>
    <t>E coast</t>
  </si>
  <si>
    <t>W coast</t>
  </si>
  <si>
    <t>Changed logic</t>
  </si>
  <si>
    <t>Intercept</t>
  </si>
  <si>
    <t>Slope</t>
  </si>
  <si>
    <t>Shipping rates</t>
  </si>
  <si>
    <t>Date</t>
  </si>
  <si>
    <t>Weekly_Sales</t>
  </si>
  <si>
    <t>Holiday</t>
  </si>
  <si>
    <t>Temperature</t>
  </si>
  <si>
    <t>Fuel_Price</t>
  </si>
  <si>
    <t>CPI</t>
  </si>
  <si>
    <t>Unemployment</t>
  </si>
  <si>
    <t>Forecast</t>
  </si>
  <si>
    <t>Naïve Forecast</t>
  </si>
  <si>
    <t>% Difference</t>
  </si>
  <si>
    <t>MAE</t>
  </si>
  <si>
    <t>MSE</t>
  </si>
  <si>
    <t>MAPE</t>
  </si>
  <si>
    <t xml:space="preserve">N </t>
  </si>
  <si>
    <t>Moving Average, with N=3</t>
  </si>
  <si>
    <t>Difference</t>
  </si>
  <si>
    <t>Weighted Average</t>
  </si>
  <si>
    <t>N</t>
  </si>
  <si>
    <t>Exponential Smoothing alpha = 0.5</t>
  </si>
  <si>
    <t>SUMMARY OUTPUT</t>
  </si>
  <si>
    <t>Regression Statistics</t>
  </si>
  <si>
    <t>Multiple R</t>
  </si>
  <si>
    <t>R Square</t>
  </si>
  <si>
    <t>Adjusted R Square</t>
  </si>
  <si>
    <t>Standard Error</t>
  </si>
  <si>
    <t>Observations</t>
  </si>
  <si>
    <t>ANOVA</t>
  </si>
  <si>
    <t>Regression</t>
  </si>
  <si>
    <t>Residual</t>
  </si>
  <si>
    <t>Total</t>
  </si>
  <si>
    <t>df</t>
  </si>
  <si>
    <t>SS</t>
  </si>
  <si>
    <t>MS</t>
  </si>
  <si>
    <t>F</t>
  </si>
  <si>
    <t>Significance F</t>
  </si>
  <si>
    <t>Coefficients</t>
  </si>
  <si>
    <t>t Stat</t>
  </si>
  <si>
    <t>P-value</t>
  </si>
  <si>
    <t>Lower 95%</t>
  </si>
  <si>
    <t>Upper 95%</t>
  </si>
  <si>
    <t>Lower 95.0%</t>
  </si>
  <si>
    <t>Upper 95.0%</t>
  </si>
  <si>
    <t>AE</t>
  </si>
  <si>
    <t>SE</t>
  </si>
  <si>
    <t>APE</t>
  </si>
  <si>
    <t>This is a  best method for froecasting due to its lowest error metrics.</t>
  </si>
  <si>
    <t xml:space="preserve">Demand </t>
  </si>
  <si>
    <t>selling numbers</t>
  </si>
  <si>
    <t>Shipping cost</t>
  </si>
  <si>
    <t>Profit</t>
  </si>
  <si>
    <t>Total Profit</t>
  </si>
  <si>
    <t>If fuel price is $3 then Total Profit would be $ 42,024</t>
  </si>
  <si>
    <t>If fuel price is $3.25 then Total Profit would be $41,938.4</t>
  </si>
  <si>
    <t>If fuel price is $3.75 then Total Profit would be $ 41,681.6</t>
  </si>
  <si>
    <t>If fuel price is $4 then Total Profit would be $ 41,596</t>
  </si>
  <si>
    <t>If fuel price is $4.25 then Total Profit would be $ 41,510.4</t>
  </si>
  <si>
    <t>Selling prices</t>
  </si>
  <si>
    <t>Profit difference</t>
  </si>
  <si>
    <t>Price charged for one system would be $6,648 where profit difference between East coast and west coast is zero, while there individual profit is $ 24,741.71</t>
  </si>
  <si>
    <t>Price</t>
  </si>
  <si>
    <t>Demand E</t>
  </si>
  <si>
    <t>Demand W</t>
  </si>
  <si>
    <t>Total Demand</t>
  </si>
  <si>
    <t>Revenue</t>
  </si>
  <si>
    <t>Shipping cost E</t>
  </si>
  <si>
    <t>Shipping cost W</t>
  </si>
  <si>
    <t>COGS</t>
  </si>
  <si>
    <t>Fuel price</t>
  </si>
  <si>
    <t>Total Shipping cost</t>
  </si>
  <si>
    <t>TOTAL SYSTEM SOLD</t>
  </si>
  <si>
    <t>For a fuel price of $3.00 per gallon, the optimal price is approximately $7,000.</t>
  </si>
  <si>
    <t>For a fuel price of $3.25 per gallon, the optimal price is approximately $7,000.</t>
  </si>
  <si>
    <t>For a fuel price of $3.75 per gallon, the optimal price is approximately $7,000.</t>
  </si>
  <si>
    <t>For a fuel price of $4.00 per gallon, the optimal price is approximately $7,000.</t>
  </si>
  <si>
    <t>For a fuel price of $4.25 per gallon, the optimal price is approximately $7,000.</t>
  </si>
  <si>
    <t>The results suggest that the optimal pricing strategy for Mark is to set the price very close to $7,000 regardless of the slight variations in fuel price within the given range. This is likely due to the fact that the demand function is not highly sensitive to price within this optimal range and that the maximum capacity of 40 systems also creates a ceiling effect on how much revenue can be generated</t>
  </si>
  <si>
    <t>The optimization process has found that for each of the fuel prices listed, the optimal price Mark should charge to maximize his profit is approximately $7,000. Here are the optimal prices corresponding to each fuel price:</t>
  </si>
  <si>
    <t>Price E</t>
  </si>
  <si>
    <t>Price W</t>
  </si>
  <si>
    <t>Shipping Cost E</t>
  </si>
  <si>
    <t>Shipping Cost W</t>
  </si>
  <si>
    <t>Total revenue</t>
  </si>
  <si>
    <t>Total shipping cost</t>
  </si>
  <si>
    <t>Total sold</t>
  </si>
  <si>
    <t xml:space="preserve">total </t>
  </si>
  <si>
    <t>The optimal price to charge West Coast customers is approximately $7,000.00.</t>
  </si>
  <si>
    <t>The resulting total profit from charging these optimal prices is approximately $67,220.00.</t>
  </si>
  <si>
    <t>This solution was obtained by employing a mathematical optimization technique that aims to maximize Mark's total profit while considering the different demand sensitivities and shipping costs for the two geographical regions.</t>
  </si>
  <si>
    <t>Based on the optimization performed earlier, for a fuel price of $3.50 next month and allowing different prices for East Coast (E) and West Coast (W) customers, the solution provided was:</t>
  </si>
  <si>
    <t>The optimal price to charge East Coast customers is approximately $7,427.25.</t>
  </si>
  <si>
    <t>Selling E</t>
  </si>
  <si>
    <t>Selling w</t>
  </si>
  <si>
    <t>Selling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</si>
</sst>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65" formatCode="&quot;$&quot;#,##0.0_);[Red]\(&quot;$&quot;#,##0.0\)"/>
  </numFmts>
  <fonts count="9" x14ac:knownFonts="1">
    <font>
      <sz val="11"/>
      <color theme="1"/>
      <name val="Calibri"/>
      <family val="2"/>
      <scheme val="minor"/>
    </font>
    <font>
      <b/>
      <sz val="10"/>
      <color rgb="FF000000"/>
      <name val="Arial"/>
      <family val="2"/>
    </font>
    <font>
      <sz val="10"/>
      <color rgb="FF000000"/>
      <name val="Arial"/>
      <family val="2"/>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D0D0D"/>
      <name val="Calibri"/>
      <family val="2"/>
      <scheme val="minor"/>
    </font>
    <font>
      <sz val="11"/>
      <color rgb="FF0D0D0D"/>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4"/>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9" fontId="3" fillId="0" borderId="0" applyFont="0" applyFill="0" applyBorder="0" applyAlignment="0" applyProtection="0"/>
  </cellStyleXfs>
  <cellXfs count="78">
    <xf numFmtId="0" fontId="0" fillId="0" borderId="0" xfId="0"/>
    <xf numFmtId="0" fontId="0" fillId="0" borderId="0" xfId="0" applyAlignment="1">
      <alignment horizontal="right"/>
    </xf>
    <xf numFmtId="6" fontId="0" fillId="2" borderId="0" xfId="0" applyNumberFormat="1" applyFill="1" applyAlignment="1">
      <alignment horizontal="right"/>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2" borderId="0" xfId="0" applyFill="1" applyAlignment="1">
      <alignment horizontal="right"/>
    </xf>
    <xf numFmtId="8" fontId="2" fillId="2" borderId="1"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10" fontId="2" fillId="2" borderId="0" xfId="0" applyNumberFormat="1" applyFont="1" applyFill="1" applyAlignment="1">
      <alignment horizontal="center" vertical="center" wrapText="1"/>
    </xf>
    <xf numFmtId="8" fontId="0" fillId="2" borderId="0" xfId="0" applyNumberFormat="1" applyFill="1" applyAlignment="1">
      <alignment horizontal="right"/>
    </xf>
    <xf numFmtId="8" fontId="0" fillId="3" borderId="0" xfId="0" applyNumberFormat="1" applyFill="1" applyAlignment="1">
      <alignment horizontal="right"/>
    </xf>
    <xf numFmtId="8" fontId="0" fillId="4" borderId="0" xfId="0" applyNumberFormat="1" applyFill="1" applyAlignment="1">
      <alignment horizontal="right"/>
    </xf>
    <xf numFmtId="0" fontId="0" fillId="5" borderId="0" xfId="0" applyFill="1"/>
    <xf numFmtId="14" fontId="0" fillId="0" borderId="0" xfId="0" applyNumberFormat="1"/>
    <xf numFmtId="9" fontId="0" fillId="0" borderId="0" xfId="1" applyFont="1"/>
    <xf numFmtId="3" fontId="0" fillId="0" borderId="0" xfId="0" applyNumberFormat="1"/>
    <xf numFmtId="164" fontId="0" fillId="0" borderId="0" xfId="1" applyNumberFormat="1" applyFont="1"/>
    <xf numFmtId="0" fontId="0" fillId="0" borderId="0" xfId="0" applyAlignment="1">
      <alignment horizontal="center"/>
    </xf>
    <xf numFmtId="0" fontId="0" fillId="0" borderId="1" xfId="0" applyBorder="1"/>
    <xf numFmtId="0" fontId="0" fillId="0" borderId="1" xfId="0" applyBorder="1" applyAlignment="1">
      <alignment horizontal="center"/>
    </xf>
    <xf numFmtId="9" fontId="0" fillId="0" borderId="1" xfId="1" applyFont="1" applyBorder="1" applyAlignment="1">
      <alignment horizontal="center"/>
    </xf>
    <xf numFmtId="14" fontId="0" fillId="0" borderId="1" xfId="0" applyNumberFormat="1" applyBorder="1" applyAlignment="1">
      <alignment horizontal="center"/>
    </xf>
    <xf numFmtId="0" fontId="5" fillId="0" borderId="1" xfId="0" applyFont="1" applyBorder="1" applyAlignment="1">
      <alignment horizontal="center"/>
    </xf>
    <xf numFmtId="9" fontId="0" fillId="0" borderId="2" xfId="1" applyFont="1" applyBorder="1" applyAlignment="1">
      <alignment horizontal="center"/>
    </xf>
    <xf numFmtId="0" fontId="0" fillId="0" borderId="3" xfId="0" applyBorder="1"/>
    <xf numFmtId="0" fontId="0" fillId="0" borderId="4" xfId="0" applyBorder="1"/>
    <xf numFmtId="0" fontId="5" fillId="3" borderId="4" xfId="0" applyFont="1" applyFill="1" applyBorder="1"/>
    <xf numFmtId="0" fontId="5" fillId="3" borderId="5" xfId="0" applyFont="1" applyFill="1" applyBorder="1"/>
    <xf numFmtId="0" fontId="5" fillId="0" borderId="6" xfId="0" applyFont="1" applyBorder="1" applyAlignment="1">
      <alignment horizontal="center"/>
    </xf>
    <xf numFmtId="0" fontId="5" fillId="0" borderId="7" xfId="0" applyFont="1" applyBorder="1"/>
    <xf numFmtId="0" fontId="0" fillId="0" borderId="7" xfId="0" applyBorder="1"/>
    <xf numFmtId="0" fontId="0" fillId="0" borderId="8" xfId="0" applyBorder="1"/>
    <xf numFmtId="0" fontId="5" fillId="0" borderId="9" xfId="0" applyFont="1" applyBorder="1"/>
    <xf numFmtId="0" fontId="5" fillId="3" borderId="10" xfId="0" applyFont="1" applyFill="1" applyBorder="1"/>
    <xf numFmtId="0" fontId="5" fillId="3" borderId="11" xfId="0" applyFont="1" applyFill="1" applyBorder="1"/>
    <xf numFmtId="0" fontId="0" fillId="0" borderId="12" xfId="0" applyBorder="1"/>
    <xf numFmtId="9" fontId="0" fillId="0" borderId="0" xfId="1" applyFont="1" applyAlignment="1">
      <alignment horizontal="center"/>
    </xf>
    <xf numFmtId="0" fontId="5" fillId="3" borderId="1" xfId="0" applyFont="1" applyFill="1" applyBorder="1" applyAlignment="1">
      <alignment horizontal="center"/>
    </xf>
    <xf numFmtId="0" fontId="5" fillId="6" borderId="0" xfId="0" applyFont="1" applyFill="1" applyAlignment="1">
      <alignment horizontal="center"/>
    </xf>
    <xf numFmtId="0" fontId="5" fillId="6" borderId="0" xfId="0" applyFont="1" applyFill="1" applyAlignment="1">
      <alignment horizontal="center" wrapText="1"/>
    </xf>
    <xf numFmtId="14" fontId="0" fillId="0" borderId="0" xfId="0" applyNumberFormat="1" applyAlignment="1">
      <alignment horizontal="center"/>
    </xf>
    <xf numFmtId="0" fontId="5" fillId="6" borderId="0" xfId="0" applyFont="1" applyFill="1"/>
    <xf numFmtId="9" fontId="5" fillId="6" borderId="0" xfId="1" applyFont="1" applyFill="1" applyAlignment="1">
      <alignment horizontal="center"/>
    </xf>
    <xf numFmtId="0" fontId="5" fillId="6" borderId="1" xfId="0" applyFont="1" applyFill="1" applyBorder="1" applyAlignment="1">
      <alignment horizontal="center"/>
    </xf>
    <xf numFmtId="9" fontId="5" fillId="6" borderId="1" xfId="1" applyFont="1" applyFill="1" applyBorder="1" applyAlignment="1">
      <alignment horizontal="center"/>
    </xf>
    <xf numFmtId="0" fontId="0" fillId="0" borderId="13" xfId="0" applyBorder="1"/>
    <xf numFmtId="0" fontId="6" fillId="0" borderId="14" xfId="0" applyFont="1" applyBorder="1" applyAlignment="1">
      <alignment horizontal="center"/>
    </xf>
    <xf numFmtId="0" fontId="6" fillId="0" borderId="14" xfId="0" applyFont="1" applyBorder="1" applyAlignment="1">
      <alignment horizontal="centerContinuous"/>
    </xf>
    <xf numFmtId="0" fontId="4" fillId="7" borderId="15" xfId="0" applyFont="1" applyFill="1" applyBorder="1"/>
    <xf numFmtId="0" fontId="4" fillId="7" borderId="16" xfId="0" applyFont="1" applyFill="1" applyBorder="1"/>
    <xf numFmtId="8" fontId="0" fillId="0" borderId="0" xfId="0" applyNumberFormat="1" applyAlignment="1">
      <alignment horizontal="right"/>
    </xf>
    <xf numFmtId="8" fontId="0" fillId="0" borderId="0" xfId="0" applyNumberFormat="1"/>
    <xf numFmtId="0" fontId="7" fillId="0" borderId="0" xfId="0" applyFont="1"/>
    <xf numFmtId="8" fontId="8" fillId="0" borderId="0" xfId="0" applyNumberFormat="1" applyFont="1"/>
    <xf numFmtId="8" fontId="5" fillId="0" borderId="0" xfId="0" applyNumberFormat="1" applyFont="1"/>
    <xf numFmtId="8" fontId="5" fillId="8" borderId="0" xfId="0" applyNumberFormat="1" applyFont="1" applyFill="1" applyAlignment="1">
      <alignment horizontal="right"/>
    </xf>
    <xf numFmtId="0" fontId="5" fillId="9" borderId="1" xfId="0" applyFont="1" applyFill="1" applyBorder="1"/>
    <xf numFmtId="6" fontId="0" fillId="0" borderId="0" xfId="0" applyNumberFormat="1"/>
    <xf numFmtId="10" fontId="2" fillId="2" borderId="2" xfId="0" applyNumberFormat="1" applyFont="1" applyFill="1" applyBorder="1" applyAlignment="1">
      <alignment horizontal="center" vertical="center" wrapText="1"/>
    </xf>
    <xf numFmtId="0" fontId="0" fillId="9" borderId="1" xfId="0" applyFill="1" applyBorder="1" applyAlignment="1">
      <alignment horizontal="center"/>
    </xf>
    <xf numFmtId="0" fontId="5" fillId="9" borderId="1" xfId="0" applyFont="1" applyFill="1" applyBorder="1" applyAlignment="1">
      <alignment horizontal="center"/>
    </xf>
    <xf numFmtId="8" fontId="5" fillId="9" borderId="1" xfId="0" applyNumberFormat="1" applyFont="1" applyFill="1" applyBorder="1" applyAlignment="1">
      <alignment horizontal="center"/>
    </xf>
    <xf numFmtId="6" fontId="5" fillId="9" borderId="1" xfId="0" applyNumberFormat="1" applyFont="1" applyFill="1" applyBorder="1" applyAlignment="1">
      <alignment horizontal="center"/>
    </xf>
    <xf numFmtId="165" fontId="0" fillId="0" borderId="0" xfId="0" applyNumberFormat="1"/>
    <xf numFmtId="1" fontId="0" fillId="0" borderId="0" xfId="0" applyNumberFormat="1"/>
    <xf numFmtId="0" fontId="1" fillId="0" borderId="1" xfId="0" applyFont="1" applyBorder="1" applyAlignment="1">
      <alignment horizontal="center" vertical="center" wrapText="1"/>
    </xf>
    <xf numFmtId="0" fontId="0" fillId="10" borderId="0" xfId="0" applyFill="1" applyBorder="1" applyAlignment="1">
      <alignment horizontal="center"/>
    </xf>
    <xf numFmtId="0" fontId="0" fillId="10" borderId="0" xfId="0" applyFill="1" applyBorder="1" applyAlignment="1">
      <alignment horizontal="center"/>
    </xf>
    <xf numFmtId="8" fontId="0" fillId="10" borderId="0" xfId="0" applyNumberFormat="1" applyFill="1" applyBorder="1" applyAlignment="1">
      <alignment horizontal="center"/>
    </xf>
    <xf numFmtId="0" fontId="0" fillId="9" borderId="2" xfId="0" applyFill="1" applyBorder="1"/>
    <xf numFmtId="8" fontId="5" fillId="9" borderId="2" xfId="0" applyNumberFormat="1" applyFont="1" applyFill="1" applyBorder="1" applyAlignment="1">
      <alignment horizontal="center"/>
    </xf>
    <xf numFmtId="0" fontId="5" fillId="9" borderId="2" xfId="0" applyFont="1" applyFill="1" applyBorder="1" applyAlignment="1">
      <alignment horizontal="center"/>
    </xf>
    <xf numFmtId="0" fontId="0" fillId="0" borderId="17" xfId="0" applyBorder="1" applyAlignment="1">
      <alignment horizontal="center"/>
    </xf>
    <xf numFmtId="8" fontId="0" fillId="0" borderId="17" xfId="0" applyNumberFormat="1" applyBorder="1" applyAlignment="1">
      <alignment horizontal="center"/>
    </xf>
    <xf numFmtId="0" fontId="0" fillId="0" borderId="0" xfId="0" applyBorder="1" applyAlignment="1">
      <alignment horizontal="center"/>
    </xf>
    <xf numFmtId="8" fontId="0" fillId="0" borderId="0" xfId="0" applyNumberFormat="1" applyBorder="1" applyAlignment="1">
      <alignment horizontal="center"/>
    </xf>
    <xf numFmtId="8" fontId="5" fillId="9" borderId="18" xfId="0" applyNumberFormat="1" applyFont="1" applyFill="1" applyBorder="1" applyAlignment="1">
      <alignment horizontal="center"/>
    </xf>
    <xf numFmtId="8" fontId="0" fillId="3" borderId="0" xfId="0" applyNumberFormat="1" applyFill="1"/>
  </cellXfs>
  <cellStyles count="2">
    <cellStyle name="Normal" xfId="0" builtinId="0"/>
    <cellStyle name="Percent" xfId="1" builtinId="5"/>
  </cellStyles>
  <dxfs count="4">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'Naive forecast'!$B$1</c:f>
              <c:strCache>
                <c:ptCount val="1"/>
                <c:pt idx="0">
                  <c:v>Weekly_Sales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'Naive forecast'!$A$2:$A$144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'Naive forecast'!$B$2:$B$144</c:f>
              <c:numCache>
                <c:formatCode>General</c:formatCode>
                <c:ptCount val="143"/>
                <c:pt idx="0">
                  <c:v>24924.5</c:v>
                </c:pt>
                <c:pt idx="1">
                  <c:v>46039.49</c:v>
                </c:pt>
                <c:pt idx="2">
                  <c:v>41595.550000000003</c:v>
                </c:pt>
                <c:pt idx="3">
                  <c:v>19403.54</c:v>
                </c:pt>
                <c:pt idx="4">
                  <c:v>21827.9</c:v>
                </c:pt>
                <c:pt idx="5">
                  <c:v>21043.39</c:v>
                </c:pt>
                <c:pt idx="6">
                  <c:v>22136.639999999999</c:v>
                </c:pt>
                <c:pt idx="7">
                  <c:v>26229.21</c:v>
                </c:pt>
                <c:pt idx="8">
                  <c:v>57258.43</c:v>
                </c:pt>
                <c:pt idx="9">
                  <c:v>42960.91</c:v>
                </c:pt>
                <c:pt idx="10">
                  <c:v>17596.96</c:v>
                </c:pt>
                <c:pt idx="11">
                  <c:v>16145.35</c:v>
                </c:pt>
                <c:pt idx="12">
                  <c:v>16555.11</c:v>
                </c:pt>
                <c:pt idx="13">
                  <c:v>17413.939999999999</c:v>
                </c:pt>
                <c:pt idx="14">
                  <c:v>18926.740000000002</c:v>
                </c:pt>
                <c:pt idx="15">
                  <c:v>14773.04</c:v>
                </c:pt>
                <c:pt idx="16">
                  <c:v>15580.43</c:v>
                </c:pt>
                <c:pt idx="17">
                  <c:v>17558.09</c:v>
                </c:pt>
                <c:pt idx="18">
                  <c:v>16637.62</c:v>
                </c:pt>
                <c:pt idx="19">
                  <c:v>16216.27</c:v>
                </c:pt>
                <c:pt idx="20">
                  <c:v>16328.72</c:v>
                </c:pt>
                <c:pt idx="21">
                  <c:v>16333.14</c:v>
                </c:pt>
                <c:pt idx="22">
                  <c:v>17688.759999999998</c:v>
                </c:pt>
                <c:pt idx="23">
                  <c:v>17150.84</c:v>
                </c:pt>
                <c:pt idx="24">
                  <c:v>15360.45</c:v>
                </c:pt>
                <c:pt idx="25">
                  <c:v>15381.82</c:v>
                </c:pt>
                <c:pt idx="26">
                  <c:v>17508.41</c:v>
                </c:pt>
                <c:pt idx="27">
                  <c:v>15536.4</c:v>
                </c:pt>
                <c:pt idx="28">
                  <c:v>15740.13</c:v>
                </c:pt>
                <c:pt idx="29">
                  <c:v>15793.87</c:v>
                </c:pt>
                <c:pt idx="30">
                  <c:v>16241.78</c:v>
                </c:pt>
                <c:pt idx="31">
                  <c:v>18194.740000000002</c:v>
                </c:pt>
                <c:pt idx="32">
                  <c:v>19354.23</c:v>
                </c:pt>
                <c:pt idx="33">
                  <c:v>18122.52</c:v>
                </c:pt>
                <c:pt idx="34">
                  <c:v>20094.189999999999</c:v>
                </c:pt>
                <c:pt idx="35">
                  <c:v>23388.03</c:v>
                </c:pt>
                <c:pt idx="36">
                  <c:v>26978.34</c:v>
                </c:pt>
                <c:pt idx="37">
                  <c:v>25543.040000000001</c:v>
                </c:pt>
                <c:pt idx="38">
                  <c:v>38640.93</c:v>
                </c:pt>
                <c:pt idx="39">
                  <c:v>34238.879999999997</c:v>
                </c:pt>
                <c:pt idx="40">
                  <c:v>19549.39</c:v>
                </c:pt>
                <c:pt idx="41">
                  <c:v>19552.84</c:v>
                </c:pt>
                <c:pt idx="42">
                  <c:v>18820.29</c:v>
                </c:pt>
                <c:pt idx="43">
                  <c:v>22517.56</c:v>
                </c:pt>
                <c:pt idx="44">
                  <c:v>31497.65</c:v>
                </c:pt>
                <c:pt idx="45">
                  <c:v>44912.86</c:v>
                </c:pt>
                <c:pt idx="46">
                  <c:v>55931.23</c:v>
                </c:pt>
                <c:pt idx="47">
                  <c:v>19124.580000000002</c:v>
                </c:pt>
                <c:pt idx="48">
                  <c:v>15984.24</c:v>
                </c:pt>
                <c:pt idx="49">
                  <c:v>17359.7</c:v>
                </c:pt>
                <c:pt idx="50">
                  <c:v>17341.47</c:v>
                </c:pt>
                <c:pt idx="51">
                  <c:v>18461.18</c:v>
                </c:pt>
                <c:pt idx="52">
                  <c:v>21665.759999999998</c:v>
                </c:pt>
                <c:pt idx="53">
                  <c:v>37887.17</c:v>
                </c:pt>
                <c:pt idx="54">
                  <c:v>46845.87</c:v>
                </c:pt>
                <c:pt idx="55">
                  <c:v>19363.830000000002</c:v>
                </c:pt>
                <c:pt idx="56">
                  <c:v>20327.61</c:v>
                </c:pt>
                <c:pt idx="57">
                  <c:v>21280.400000000001</c:v>
                </c:pt>
                <c:pt idx="58">
                  <c:v>20334.23</c:v>
                </c:pt>
                <c:pt idx="59">
                  <c:v>20881.099999999999</c:v>
                </c:pt>
                <c:pt idx="60">
                  <c:v>20398.09</c:v>
                </c:pt>
                <c:pt idx="61">
                  <c:v>23873.79</c:v>
                </c:pt>
                <c:pt idx="62">
                  <c:v>28762.37</c:v>
                </c:pt>
                <c:pt idx="63">
                  <c:v>50510.31</c:v>
                </c:pt>
                <c:pt idx="64">
                  <c:v>41512.39</c:v>
                </c:pt>
                <c:pt idx="65">
                  <c:v>20138.189999999999</c:v>
                </c:pt>
                <c:pt idx="66">
                  <c:v>17235.150000000001</c:v>
                </c:pt>
                <c:pt idx="67">
                  <c:v>15136.78</c:v>
                </c:pt>
                <c:pt idx="68">
                  <c:v>15741.6</c:v>
                </c:pt>
                <c:pt idx="69">
                  <c:v>16434.150000000001</c:v>
                </c:pt>
                <c:pt idx="70">
                  <c:v>15883.52</c:v>
                </c:pt>
                <c:pt idx="71">
                  <c:v>14978.09</c:v>
                </c:pt>
                <c:pt idx="72">
                  <c:v>15682.81</c:v>
                </c:pt>
                <c:pt idx="73">
                  <c:v>15363.5</c:v>
                </c:pt>
                <c:pt idx="74">
                  <c:v>16148.87</c:v>
                </c:pt>
                <c:pt idx="75">
                  <c:v>15654.85</c:v>
                </c:pt>
                <c:pt idx="76">
                  <c:v>15766.6</c:v>
                </c:pt>
                <c:pt idx="77">
                  <c:v>15922.41</c:v>
                </c:pt>
                <c:pt idx="78">
                  <c:v>15295.55</c:v>
                </c:pt>
                <c:pt idx="79">
                  <c:v>14539.79</c:v>
                </c:pt>
                <c:pt idx="80">
                  <c:v>14689.24</c:v>
                </c:pt>
                <c:pt idx="81">
                  <c:v>14537.37</c:v>
                </c:pt>
                <c:pt idx="82">
                  <c:v>15277.27</c:v>
                </c:pt>
                <c:pt idx="83">
                  <c:v>17746.68</c:v>
                </c:pt>
                <c:pt idx="84">
                  <c:v>18535.48</c:v>
                </c:pt>
                <c:pt idx="85">
                  <c:v>17859.3</c:v>
                </c:pt>
                <c:pt idx="86">
                  <c:v>18337.68</c:v>
                </c:pt>
                <c:pt idx="87">
                  <c:v>20797.580000000002</c:v>
                </c:pt>
                <c:pt idx="88">
                  <c:v>23077.55</c:v>
                </c:pt>
                <c:pt idx="89">
                  <c:v>23351.8</c:v>
                </c:pt>
                <c:pt idx="90">
                  <c:v>31579.9</c:v>
                </c:pt>
                <c:pt idx="91">
                  <c:v>39886.06</c:v>
                </c:pt>
                <c:pt idx="92">
                  <c:v>18689.54</c:v>
                </c:pt>
                <c:pt idx="93">
                  <c:v>19050.66</c:v>
                </c:pt>
                <c:pt idx="94">
                  <c:v>20911.25</c:v>
                </c:pt>
                <c:pt idx="95">
                  <c:v>25293.49</c:v>
                </c:pt>
                <c:pt idx="96">
                  <c:v>33305.919999999998</c:v>
                </c:pt>
                <c:pt idx="97">
                  <c:v>45773.03</c:v>
                </c:pt>
                <c:pt idx="98">
                  <c:v>46788.75</c:v>
                </c:pt>
                <c:pt idx="99">
                  <c:v>23350.880000000001</c:v>
                </c:pt>
                <c:pt idx="100">
                  <c:v>16567.689999999999</c:v>
                </c:pt>
                <c:pt idx="101">
                  <c:v>16894.400000000001</c:v>
                </c:pt>
                <c:pt idx="102">
                  <c:v>18365.099999999999</c:v>
                </c:pt>
                <c:pt idx="103">
                  <c:v>18378.16</c:v>
                </c:pt>
                <c:pt idx="104">
                  <c:v>23510.49</c:v>
                </c:pt>
                <c:pt idx="105">
                  <c:v>36988.49</c:v>
                </c:pt>
                <c:pt idx="106">
                  <c:v>54060.1</c:v>
                </c:pt>
                <c:pt idx="107">
                  <c:v>20124.22</c:v>
                </c:pt>
                <c:pt idx="108">
                  <c:v>20113.03</c:v>
                </c:pt>
                <c:pt idx="109">
                  <c:v>21140.07</c:v>
                </c:pt>
                <c:pt idx="110">
                  <c:v>22366.880000000001</c:v>
                </c:pt>
                <c:pt idx="111">
                  <c:v>22107.7</c:v>
                </c:pt>
                <c:pt idx="112">
                  <c:v>28952.86</c:v>
                </c:pt>
                <c:pt idx="113">
                  <c:v>57592.12</c:v>
                </c:pt>
                <c:pt idx="114">
                  <c:v>34684.21</c:v>
                </c:pt>
                <c:pt idx="115">
                  <c:v>16976.189999999999</c:v>
                </c:pt>
                <c:pt idx="116">
                  <c:v>16347.6</c:v>
                </c:pt>
                <c:pt idx="117">
                  <c:v>17147.439999999999</c:v>
                </c:pt>
                <c:pt idx="118">
                  <c:v>18164.2</c:v>
                </c:pt>
                <c:pt idx="119">
                  <c:v>18517.79</c:v>
                </c:pt>
                <c:pt idx="120">
                  <c:v>16963.55</c:v>
                </c:pt>
                <c:pt idx="121">
                  <c:v>16065.49</c:v>
                </c:pt>
                <c:pt idx="122">
                  <c:v>17666</c:v>
                </c:pt>
                <c:pt idx="123">
                  <c:v>17558.82</c:v>
                </c:pt>
                <c:pt idx="124">
                  <c:v>16633.41</c:v>
                </c:pt>
                <c:pt idx="125">
                  <c:v>15722.82</c:v>
                </c:pt>
                <c:pt idx="126">
                  <c:v>17823.37</c:v>
                </c:pt>
                <c:pt idx="127">
                  <c:v>16566.18</c:v>
                </c:pt>
                <c:pt idx="128">
                  <c:v>16348.06</c:v>
                </c:pt>
                <c:pt idx="129">
                  <c:v>15731.18</c:v>
                </c:pt>
                <c:pt idx="130">
                  <c:v>16628.310000000001</c:v>
                </c:pt>
                <c:pt idx="131">
                  <c:v>16119.92</c:v>
                </c:pt>
                <c:pt idx="132">
                  <c:v>17330.7</c:v>
                </c:pt>
                <c:pt idx="133">
                  <c:v>16286.4</c:v>
                </c:pt>
                <c:pt idx="134">
                  <c:v>16680.240000000002</c:v>
                </c:pt>
                <c:pt idx="135">
                  <c:v>18322.37</c:v>
                </c:pt>
                <c:pt idx="136">
                  <c:v>19616.22</c:v>
                </c:pt>
                <c:pt idx="137">
                  <c:v>19251.5</c:v>
                </c:pt>
                <c:pt idx="138">
                  <c:v>18947.810000000001</c:v>
                </c:pt>
                <c:pt idx="139">
                  <c:v>21904.47</c:v>
                </c:pt>
                <c:pt idx="140">
                  <c:v>22764.01</c:v>
                </c:pt>
                <c:pt idx="141">
                  <c:v>24185.27</c:v>
                </c:pt>
                <c:pt idx="142">
                  <c:v>27390.81</c:v>
                </c:pt>
              </c:numCache>
            </c:numRef>
          </c:val>
          <c:smooth val="0"/>
          <c:extLst>
            <c:ext xmlns:c16="http://schemas.microsoft.com/office/drawing/2014/chart" uri="{C3380CC4-5D6E-409C-BE32-E72D297353CC}">
              <c16:uniqueId val="{00000000-3068-41EF-9DF3-48975248FD14}"/>
            </c:ext>
          </c:extLst>
        </c:ser>
        <c:ser>
          <c:idx val="1"/>
          <c:order val="1"/>
          <c:tx>
            <c:strRef>
              <c:f>'Naive forecast'!$C$1</c:f>
              <c:strCache>
                <c:ptCount val="1"/>
                <c:pt idx="0">
                  <c:v>Naïve Forecast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'Naive forecast'!$A$2:$A$144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'Naive forecast'!$C$2:$C$144</c:f>
              <c:numCache>
                <c:formatCode>General</c:formatCode>
                <c:ptCount val="143"/>
                <c:pt idx="1">
                  <c:v>24924.5</c:v>
                </c:pt>
                <c:pt idx="2">
                  <c:v>46039.49</c:v>
                </c:pt>
                <c:pt idx="3">
                  <c:v>41595.550000000003</c:v>
                </c:pt>
                <c:pt idx="4">
                  <c:v>19403.54</c:v>
                </c:pt>
                <c:pt idx="5">
                  <c:v>21827.9</c:v>
                </c:pt>
                <c:pt idx="6">
                  <c:v>21043.39</c:v>
                </c:pt>
                <c:pt idx="7">
                  <c:v>22136.639999999999</c:v>
                </c:pt>
                <c:pt idx="8">
                  <c:v>26229.21</c:v>
                </c:pt>
                <c:pt idx="9">
                  <c:v>57258.43</c:v>
                </c:pt>
                <c:pt idx="10">
                  <c:v>42960.91</c:v>
                </c:pt>
                <c:pt idx="11">
                  <c:v>17596.96</c:v>
                </c:pt>
                <c:pt idx="12">
                  <c:v>16145.35</c:v>
                </c:pt>
                <c:pt idx="13">
                  <c:v>16555.11</c:v>
                </c:pt>
                <c:pt idx="14">
                  <c:v>17413.939999999999</c:v>
                </c:pt>
                <c:pt idx="15">
                  <c:v>18926.740000000002</c:v>
                </c:pt>
                <c:pt idx="16">
                  <c:v>14773.04</c:v>
                </c:pt>
                <c:pt idx="17">
                  <c:v>15580.43</c:v>
                </c:pt>
                <c:pt idx="18">
                  <c:v>17558.09</c:v>
                </c:pt>
                <c:pt idx="19">
                  <c:v>16637.62</c:v>
                </c:pt>
                <c:pt idx="20">
                  <c:v>16216.27</c:v>
                </c:pt>
                <c:pt idx="21">
                  <c:v>16328.72</c:v>
                </c:pt>
                <c:pt idx="22">
                  <c:v>16333.14</c:v>
                </c:pt>
                <c:pt idx="23">
                  <c:v>17688.759999999998</c:v>
                </c:pt>
                <c:pt idx="24">
                  <c:v>17150.84</c:v>
                </c:pt>
                <c:pt idx="25">
                  <c:v>15360.45</c:v>
                </c:pt>
                <c:pt idx="26">
                  <c:v>15381.82</c:v>
                </c:pt>
                <c:pt idx="27">
                  <c:v>17508.41</c:v>
                </c:pt>
                <c:pt idx="28">
                  <c:v>15536.4</c:v>
                </c:pt>
                <c:pt idx="29">
                  <c:v>15740.13</c:v>
                </c:pt>
                <c:pt idx="30">
                  <c:v>15793.87</c:v>
                </c:pt>
                <c:pt idx="31">
                  <c:v>16241.78</c:v>
                </c:pt>
                <c:pt idx="32">
                  <c:v>18194.740000000002</c:v>
                </c:pt>
                <c:pt idx="33">
                  <c:v>19354.23</c:v>
                </c:pt>
                <c:pt idx="34">
                  <c:v>18122.52</c:v>
                </c:pt>
                <c:pt idx="35">
                  <c:v>20094.189999999999</c:v>
                </c:pt>
                <c:pt idx="36">
                  <c:v>23388.03</c:v>
                </c:pt>
                <c:pt idx="37">
                  <c:v>26978.34</c:v>
                </c:pt>
                <c:pt idx="38">
                  <c:v>25543.040000000001</c:v>
                </c:pt>
                <c:pt idx="39">
                  <c:v>38640.93</c:v>
                </c:pt>
                <c:pt idx="40">
                  <c:v>34238.879999999997</c:v>
                </c:pt>
                <c:pt idx="41">
                  <c:v>19549.39</c:v>
                </c:pt>
                <c:pt idx="42">
                  <c:v>19552.84</c:v>
                </c:pt>
                <c:pt idx="43">
                  <c:v>18820.29</c:v>
                </c:pt>
                <c:pt idx="44">
                  <c:v>22517.56</c:v>
                </c:pt>
                <c:pt idx="45">
                  <c:v>31497.65</c:v>
                </c:pt>
                <c:pt idx="46">
                  <c:v>44912.86</c:v>
                </c:pt>
                <c:pt idx="47">
                  <c:v>55931.23</c:v>
                </c:pt>
                <c:pt idx="48">
                  <c:v>19124.580000000002</c:v>
                </c:pt>
                <c:pt idx="49">
                  <c:v>15984.24</c:v>
                </c:pt>
                <c:pt idx="50">
                  <c:v>17359.7</c:v>
                </c:pt>
                <c:pt idx="51">
                  <c:v>17341.47</c:v>
                </c:pt>
                <c:pt idx="52">
                  <c:v>18461.18</c:v>
                </c:pt>
                <c:pt idx="53">
                  <c:v>21665.759999999998</c:v>
                </c:pt>
                <c:pt idx="54">
                  <c:v>37887.17</c:v>
                </c:pt>
                <c:pt idx="55">
                  <c:v>46845.87</c:v>
                </c:pt>
                <c:pt idx="56">
                  <c:v>19363.830000000002</c:v>
                </c:pt>
                <c:pt idx="57">
                  <c:v>20327.61</c:v>
                </c:pt>
                <c:pt idx="58">
                  <c:v>21280.400000000001</c:v>
                </c:pt>
                <c:pt idx="59">
                  <c:v>20334.23</c:v>
                </c:pt>
                <c:pt idx="60">
                  <c:v>20881.099999999999</c:v>
                </c:pt>
                <c:pt idx="61">
                  <c:v>20398.09</c:v>
                </c:pt>
                <c:pt idx="62">
                  <c:v>23873.79</c:v>
                </c:pt>
                <c:pt idx="63">
                  <c:v>28762.37</c:v>
                </c:pt>
                <c:pt idx="64">
                  <c:v>50510.31</c:v>
                </c:pt>
                <c:pt idx="65">
                  <c:v>41512.39</c:v>
                </c:pt>
                <c:pt idx="66">
                  <c:v>20138.189999999999</c:v>
                </c:pt>
                <c:pt idx="67">
                  <c:v>17235.150000000001</c:v>
                </c:pt>
                <c:pt idx="68">
                  <c:v>15136.78</c:v>
                </c:pt>
                <c:pt idx="69">
                  <c:v>15741.6</c:v>
                </c:pt>
                <c:pt idx="70">
                  <c:v>16434.150000000001</c:v>
                </c:pt>
                <c:pt idx="71">
                  <c:v>15883.52</c:v>
                </c:pt>
                <c:pt idx="72">
                  <c:v>14978.09</c:v>
                </c:pt>
                <c:pt idx="73">
                  <c:v>15682.81</c:v>
                </c:pt>
                <c:pt idx="74">
                  <c:v>15363.5</c:v>
                </c:pt>
                <c:pt idx="75">
                  <c:v>16148.87</c:v>
                </c:pt>
                <c:pt idx="76">
                  <c:v>15654.85</c:v>
                </c:pt>
                <c:pt idx="77">
                  <c:v>15766.6</c:v>
                </c:pt>
                <c:pt idx="78">
                  <c:v>15922.41</c:v>
                </c:pt>
                <c:pt idx="79">
                  <c:v>15295.55</c:v>
                </c:pt>
                <c:pt idx="80">
                  <c:v>14539.79</c:v>
                </c:pt>
                <c:pt idx="81">
                  <c:v>14689.24</c:v>
                </c:pt>
                <c:pt idx="82">
                  <c:v>14537.37</c:v>
                </c:pt>
                <c:pt idx="83">
                  <c:v>15277.27</c:v>
                </c:pt>
                <c:pt idx="84">
                  <c:v>17746.68</c:v>
                </c:pt>
                <c:pt idx="85">
                  <c:v>18535.48</c:v>
                </c:pt>
                <c:pt idx="86">
                  <c:v>17859.3</c:v>
                </c:pt>
                <c:pt idx="87">
                  <c:v>18337.68</c:v>
                </c:pt>
                <c:pt idx="88">
                  <c:v>20797.580000000002</c:v>
                </c:pt>
                <c:pt idx="89">
                  <c:v>23077.55</c:v>
                </c:pt>
                <c:pt idx="90">
                  <c:v>23351.8</c:v>
                </c:pt>
                <c:pt idx="91">
                  <c:v>31579.9</c:v>
                </c:pt>
                <c:pt idx="92">
                  <c:v>39886.06</c:v>
                </c:pt>
                <c:pt idx="93">
                  <c:v>18689.54</c:v>
                </c:pt>
                <c:pt idx="94">
                  <c:v>19050.66</c:v>
                </c:pt>
                <c:pt idx="95">
                  <c:v>20911.25</c:v>
                </c:pt>
                <c:pt idx="96">
                  <c:v>25293.49</c:v>
                </c:pt>
                <c:pt idx="97">
                  <c:v>33305.919999999998</c:v>
                </c:pt>
                <c:pt idx="98">
                  <c:v>45773.03</c:v>
                </c:pt>
                <c:pt idx="99">
                  <c:v>46788.75</c:v>
                </c:pt>
                <c:pt idx="100">
                  <c:v>23350.880000000001</c:v>
                </c:pt>
                <c:pt idx="101">
                  <c:v>16567.689999999999</c:v>
                </c:pt>
                <c:pt idx="102">
                  <c:v>16894.400000000001</c:v>
                </c:pt>
                <c:pt idx="103">
                  <c:v>18365.099999999999</c:v>
                </c:pt>
                <c:pt idx="104">
                  <c:v>18378.16</c:v>
                </c:pt>
                <c:pt idx="105">
                  <c:v>23510.49</c:v>
                </c:pt>
                <c:pt idx="106">
                  <c:v>36988.49</c:v>
                </c:pt>
                <c:pt idx="107">
                  <c:v>54060.1</c:v>
                </c:pt>
                <c:pt idx="108">
                  <c:v>20124.22</c:v>
                </c:pt>
                <c:pt idx="109">
                  <c:v>20113.03</c:v>
                </c:pt>
                <c:pt idx="110">
                  <c:v>21140.07</c:v>
                </c:pt>
                <c:pt idx="111">
                  <c:v>22366.880000000001</c:v>
                </c:pt>
                <c:pt idx="112">
                  <c:v>22107.7</c:v>
                </c:pt>
                <c:pt idx="113">
                  <c:v>28952.86</c:v>
                </c:pt>
                <c:pt idx="114">
                  <c:v>57592.12</c:v>
                </c:pt>
                <c:pt idx="115">
                  <c:v>34684.21</c:v>
                </c:pt>
                <c:pt idx="116">
                  <c:v>16976.189999999999</c:v>
                </c:pt>
                <c:pt idx="117">
                  <c:v>16347.6</c:v>
                </c:pt>
                <c:pt idx="118">
                  <c:v>17147.439999999999</c:v>
                </c:pt>
                <c:pt idx="119">
                  <c:v>18164.2</c:v>
                </c:pt>
                <c:pt idx="120">
                  <c:v>18517.79</c:v>
                </c:pt>
                <c:pt idx="121">
                  <c:v>16963.55</c:v>
                </c:pt>
                <c:pt idx="122">
                  <c:v>16065.49</c:v>
                </c:pt>
                <c:pt idx="123">
                  <c:v>17666</c:v>
                </c:pt>
                <c:pt idx="124">
                  <c:v>17558.82</c:v>
                </c:pt>
                <c:pt idx="125">
                  <c:v>16633.41</c:v>
                </c:pt>
                <c:pt idx="126">
                  <c:v>15722.82</c:v>
                </c:pt>
                <c:pt idx="127">
                  <c:v>17823.37</c:v>
                </c:pt>
                <c:pt idx="128">
                  <c:v>16566.18</c:v>
                </c:pt>
                <c:pt idx="129">
                  <c:v>16348.06</c:v>
                </c:pt>
                <c:pt idx="130">
                  <c:v>15731.18</c:v>
                </c:pt>
                <c:pt idx="131">
                  <c:v>16628.310000000001</c:v>
                </c:pt>
                <c:pt idx="132">
                  <c:v>16119.92</c:v>
                </c:pt>
                <c:pt idx="133">
                  <c:v>17330.7</c:v>
                </c:pt>
                <c:pt idx="134">
                  <c:v>16286.4</c:v>
                </c:pt>
                <c:pt idx="135">
                  <c:v>16680.240000000002</c:v>
                </c:pt>
                <c:pt idx="136">
                  <c:v>18322.37</c:v>
                </c:pt>
                <c:pt idx="137">
                  <c:v>19616.22</c:v>
                </c:pt>
                <c:pt idx="138">
                  <c:v>19251.5</c:v>
                </c:pt>
                <c:pt idx="139">
                  <c:v>18947.810000000001</c:v>
                </c:pt>
                <c:pt idx="140">
                  <c:v>21904.47</c:v>
                </c:pt>
                <c:pt idx="141">
                  <c:v>22764.01</c:v>
                </c:pt>
                <c:pt idx="142">
                  <c:v>24185.27</c:v>
                </c:pt>
              </c:numCache>
            </c:numRef>
          </c:val>
          <c:smooth val="0"/>
          <c:extLst>
            <c:ext xmlns:c16="http://schemas.microsoft.com/office/drawing/2014/chart" uri="{C3380CC4-5D6E-409C-BE32-E72D297353CC}">
              <c16:uniqueId val="{00000001-3068-41EF-9DF3-48975248FD14}"/>
            </c:ext>
          </c:extLst>
        </c:ser>
        <c:dLbls>
          <c:showLegendKey val="0"/>
          <c:showVal val="0"/>
          <c:showCatName val="0"/>
          <c:showSerName val="0"/>
          <c:showPercent val="0"/>
          <c:showBubbleSize val="0"/>
        </c:dLbls>
        <c:marker val="1"/>
        <c:smooth val="0"/>
        <c:axId val="1280392592"/>
        <c:axId val="109785152"/>
      </c:lineChart>
      <c:dateAx>
        <c:axId val="128039259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85152"/>
        <c:crosses val="autoZero"/>
        <c:auto val="1"/>
        <c:lblOffset val="100"/>
        <c:baseTimeUnit val="days"/>
      </c:dateAx>
      <c:valAx>
        <c:axId val="10978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392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'Moving avg n -3'!$B$1</c:f>
              <c:strCache>
                <c:ptCount val="1"/>
                <c:pt idx="0">
                  <c:v>Weekly_Sales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'Moving avg n -3'!$A$2:$A$144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'Moving avg n -3'!$B$2:$B$144</c:f>
              <c:numCache>
                <c:formatCode>General</c:formatCode>
                <c:ptCount val="143"/>
                <c:pt idx="0">
                  <c:v>24924.5</c:v>
                </c:pt>
                <c:pt idx="1">
                  <c:v>46039.49</c:v>
                </c:pt>
                <c:pt idx="2">
                  <c:v>41595.550000000003</c:v>
                </c:pt>
                <c:pt idx="3">
                  <c:v>19403.54</c:v>
                </c:pt>
                <c:pt idx="4">
                  <c:v>21827.9</c:v>
                </c:pt>
                <c:pt idx="5">
                  <c:v>21043.39</c:v>
                </c:pt>
                <c:pt idx="6">
                  <c:v>22136.639999999999</c:v>
                </c:pt>
                <c:pt idx="7">
                  <c:v>26229.21</c:v>
                </c:pt>
                <c:pt idx="8">
                  <c:v>57258.43</c:v>
                </c:pt>
                <c:pt idx="9">
                  <c:v>42960.91</c:v>
                </c:pt>
                <c:pt idx="10">
                  <c:v>17596.96</c:v>
                </c:pt>
                <c:pt idx="11">
                  <c:v>16145.35</c:v>
                </c:pt>
                <c:pt idx="12">
                  <c:v>16555.11</c:v>
                </c:pt>
                <c:pt idx="13">
                  <c:v>17413.939999999999</c:v>
                </c:pt>
                <c:pt idx="14">
                  <c:v>18926.740000000002</c:v>
                </c:pt>
                <c:pt idx="15">
                  <c:v>14773.04</c:v>
                </c:pt>
                <c:pt idx="16">
                  <c:v>15580.43</c:v>
                </c:pt>
                <c:pt idx="17">
                  <c:v>17558.09</c:v>
                </c:pt>
                <c:pt idx="18">
                  <c:v>16637.62</c:v>
                </c:pt>
                <c:pt idx="19">
                  <c:v>16216.27</c:v>
                </c:pt>
                <c:pt idx="20">
                  <c:v>16328.72</c:v>
                </c:pt>
                <c:pt idx="21">
                  <c:v>16333.14</c:v>
                </c:pt>
                <c:pt idx="22">
                  <c:v>17688.759999999998</c:v>
                </c:pt>
                <c:pt idx="23">
                  <c:v>17150.84</c:v>
                </c:pt>
                <c:pt idx="24">
                  <c:v>15360.45</c:v>
                </c:pt>
                <c:pt idx="25">
                  <c:v>15381.82</c:v>
                </c:pt>
                <c:pt idx="26">
                  <c:v>17508.41</c:v>
                </c:pt>
                <c:pt idx="27">
                  <c:v>15536.4</c:v>
                </c:pt>
                <c:pt idx="28">
                  <c:v>15740.13</c:v>
                </c:pt>
                <c:pt idx="29">
                  <c:v>15793.87</c:v>
                </c:pt>
                <c:pt idx="30">
                  <c:v>16241.78</c:v>
                </c:pt>
                <c:pt idx="31">
                  <c:v>18194.740000000002</c:v>
                </c:pt>
                <c:pt idx="32">
                  <c:v>19354.23</c:v>
                </c:pt>
                <c:pt idx="33">
                  <c:v>18122.52</c:v>
                </c:pt>
                <c:pt idx="34">
                  <c:v>20094.189999999999</c:v>
                </c:pt>
                <c:pt idx="35">
                  <c:v>23388.03</c:v>
                </c:pt>
                <c:pt idx="36">
                  <c:v>26978.34</c:v>
                </c:pt>
                <c:pt idx="37">
                  <c:v>25543.040000000001</c:v>
                </c:pt>
                <c:pt idx="38">
                  <c:v>38640.93</c:v>
                </c:pt>
                <c:pt idx="39">
                  <c:v>34238.879999999997</c:v>
                </c:pt>
                <c:pt idx="40">
                  <c:v>19549.39</c:v>
                </c:pt>
                <c:pt idx="41">
                  <c:v>19552.84</c:v>
                </c:pt>
                <c:pt idx="42">
                  <c:v>18820.29</c:v>
                </c:pt>
                <c:pt idx="43">
                  <c:v>22517.56</c:v>
                </c:pt>
                <c:pt idx="44">
                  <c:v>31497.65</c:v>
                </c:pt>
                <c:pt idx="45">
                  <c:v>44912.86</c:v>
                </c:pt>
                <c:pt idx="46">
                  <c:v>55931.23</c:v>
                </c:pt>
                <c:pt idx="47">
                  <c:v>19124.580000000002</c:v>
                </c:pt>
                <c:pt idx="48">
                  <c:v>15984.24</c:v>
                </c:pt>
                <c:pt idx="49">
                  <c:v>17359.7</c:v>
                </c:pt>
                <c:pt idx="50">
                  <c:v>17341.47</c:v>
                </c:pt>
                <c:pt idx="51">
                  <c:v>18461.18</c:v>
                </c:pt>
                <c:pt idx="52">
                  <c:v>21665.759999999998</c:v>
                </c:pt>
                <c:pt idx="53">
                  <c:v>37887.17</c:v>
                </c:pt>
                <c:pt idx="54">
                  <c:v>46845.87</c:v>
                </c:pt>
                <c:pt idx="55">
                  <c:v>19363.830000000002</c:v>
                </c:pt>
                <c:pt idx="56">
                  <c:v>20327.61</c:v>
                </c:pt>
                <c:pt idx="57">
                  <c:v>21280.400000000001</c:v>
                </c:pt>
                <c:pt idx="58">
                  <c:v>20334.23</c:v>
                </c:pt>
                <c:pt idx="59">
                  <c:v>20881.099999999999</c:v>
                </c:pt>
                <c:pt idx="60">
                  <c:v>20398.09</c:v>
                </c:pt>
                <c:pt idx="61">
                  <c:v>23873.79</c:v>
                </c:pt>
                <c:pt idx="62">
                  <c:v>28762.37</c:v>
                </c:pt>
                <c:pt idx="63">
                  <c:v>50510.31</c:v>
                </c:pt>
                <c:pt idx="64">
                  <c:v>41512.39</c:v>
                </c:pt>
                <c:pt idx="65">
                  <c:v>20138.189999999999</c:v>
                </c:pt>
                <c:pt idx="66">
                  <c:v>17235.150000000001</c:v>
                </c:pt>
                <c:pt idx="67">
                  <c:v>15136.78</c:v>
                </c:pt>
                <c:pt idx="68">
                  <c:v>15741.6</c:v>
                </c:pt>
                <c:pt idx="69">
                  <c:v>16434.150000000001</c:v>
                </c:pt>
                <c:pt idx="70">
                  <c:v>15883.52</c:v>
                </c:pt>
                <c:pt idx="71">
                  <c:v>14978.09</c:v>
                </c:pt>
                <c:pt idx="72">
                  <c:v>15682.81</c:v>
                </c:pt>
                <c:pt idx="73">
                  <c:v>15363.5</c:v>
                </c:pt>
                <c:pt idx="74">
                  <c:v>16148.87</c:v>
                </c:pt>
                <c:pt idx="75">
                  <c:v>15654.85</c:v>
                </c:pt>
                <c:pt idx="76">
                  <c:v>15766.6</c:v>
                </c:pt>
                <c:pt idx="77">
                  <c:v>15922.41</c:v>
                </c:pt>
                <c:pt idx="78">
                  <c:v>15295.55</c:v>
                </c:pt>
                <c:pt idx="79">
                  <c:v>14539.79</c:v>
                </c:pt>
                <c:pt idx="80">
                  <c:v>14689.24</c:v>
                </c:pt>
                <c:pt idx="81">
                  <c:v>14537.37</c:v>
                </c:pt>
                <c:pt idx="82">
                  <c:v>15277.27</c:v>
                </c:pt>
                <c:pt idx="83">
                  <c:v>17746.68</c:v>
                </c:pt>
                <c:pt idx="84">
                  <c:v>18535.48</c:v>
                </c:pt>
                <c:pt idx="85">
                  <c:v>17859.3</c:v>
                </c:pt>
                <c:pt idx="86">
                  <c:v>18337.68</c:v>
                </c:pt>
                <c:pt idx="87">
                  <c:v>20797.580000000002</c:v>
                </c:pt>
                <c:pt idx="88">
                  <c:v>23077.55</c:v>
                </c:pt>
                <c:pt idx="89">
                  <c:v>23351.8</c:v>
                </c:pt>
                <c:pt idx="90">
                  <c:v>31579.9</c:v>
                </c:pt>
                <c:pt idx="91">
                  <c:v>39886.06</c:v>
                </c:pt>
                <c:pt idx="92">
                  <c:v>18689.54</c:v>
                </c:pt>
                <c:pt idx="93">
                  <c:v>19050.66</c:v>
                </c:pt>
                <c:pt idx="94">
                  <c:v>20911.25</c:v>
                </c:pt>
                <c:pt idx="95">
                  <c:v>25293.49</c:v>
                </c:pt>
                <c:pt idx="96">
                  <c:v>33305.919999999998</c:v>
                </c:pt>
                <c:pt idx="97">
                  <c:v>45773.03</c:v>
                </c:pt>
                <c:pt idx="98">
                  <c:v>46788.75</c:v>
                </c:pt>
                <c:pt idx="99">
                  <c:v>23350.880000000001</c:v>
                </c:pt>
                <c:pt idx="100">
                  <c:v>16567.689999999999</c:v>
                </c:pt>
                <c:pt idx="101">
                  <c:v>16894.400000000001</c:v>
                </c:pt>
                <c:pt idx="102">
                  <c:v>18365.099999999999</c:v>
                </c:pt>
                <c:pt idx="103">
                  <c:v>18378.16</c:v>
                </c:pt>
                <c:pt idx="104">
                  <c:v>23510.49</c:v>
                </c:pt>
                <c:pt idx="105">
                  <c:v>36988.49</c:v>
                </c:pt>
                <c:pt idx="106">
                  <c:v>54060.1</c:v>
                </c:pt>
                <c:pt idx="107">
                  <c:v>20124.22</c:v>
                </c:pt>
                <c:pt idx="108">
                  <c:v>20113.03</c:v>
                </c:pt>
                <c:pt idx="109">
                  <c:v>21140.07</c:v>
                </c:pt>
                <c:pt idx="110">
                  <c:v>22366.880000000001</c:v>
                </c:pt>
                <c:pt idx="111">
                  <c:v>22107.7</c:v>
                </c:pt>
                <c:pt idx="112">
                  <c:v>28952.86</c:v>
                </c:pt>
                <c:pt idx="113">
                  <c:v>57592.12</c:v>
                </c:pt>
                <c:pt idx="114">
                  <c:v>34684.21</c:v>
                </c:pt>
                <c:pt idx="115">
                  <c:v>16976.189999999999</c:v>
                </c:pt>
                <c:pt idx="116">
                  <c:v>16347.6</c:v>
                </c:pt>
                <c:pt idx="117">
                  <c:v>17147.439999999999</c:v>
                </c:pt>
                <c:pt idx="118">
                  <c:v>18164.2</c:v>
                </c:pt>
                <c:pt idx="119">
                  <c:v>18517.79</c:v>
                </c:pt>
                <c:pt idx="120">
                  <c:v>16963.55</c:v>
                </c:pt>
                <c:pt idx="121">
                  <c:v>16065.49</c:v>
                </c:pt>
                <c:pt idx="122">
                  <c:v>17666</c:v>
                </c:pt>
                <c:pt idx="123">
                  <c:v>17558.82</c:v>
                </c:pt>
                <c:pt idx="124">
                  <c:v>16633.41</c:v>
                </c:pt>
                <c:pt idx="125">
                  <c:v>15722.82</c:v>
                </c:pt>
                <c:pt idx="126">
                  <c:v>17823.37</c:v>
                </c:pt>
                <c:pt idx="127">
                  <c:v>16566.18</c:v>
                </c:pt>
                <c:pt idx="128">
                  <c:v>16348.06</c:v>
                </c:pt>
                <c:pt idx="129">
                  <c:v>15731.18</c:v>
                </c:pt>
                <c:pt idx="130">
                  <c:v>16628.310000000001</c:v>
                </c:pt>
                <c:pt idx="131">
                  <c:v>16119.92</c:v>
                </c:pt>
                <c:pt idx="132">
                  <c:v>17330.7</c:v>
                </c:pt>
                <c:pt idx="133">
                  <c:v>16286.4</c:v>
                </c:pt>
                <c:pt idx="134">
                  <c:v>16680.240000000002</c:v>
                </c:pt>
                <c:pt idx="135">
                  <c:v>18322.37</c:v>
                </c:pt>
                <c:pt idx="136">
                  <c:v>19616.22</c:v>
                </c:pt>
                <c:pt idx="137">
                  <c:v>19251.5</c:v>
                </c:pt>
                <c:pt idx="138">
                  <c:v>18947.810000000001</c:v>
                </c:pt>
                <c:pt idx="139">
                  <c:v>21904.47</c:v>
                </c:pt>
                <c:pt idx="140">
                  <c:v>22764.01</c:v>
                </c:pt>
                <c:pt idx="141">
                  <c:v>24185.27</c:v>
                </c:pt>
                <c:pt idx="142">
                  <c:v>27390.81</c:v>
                </c:pt>
              </c:numCache>
            </c:numRef>
          </c:val>
          <c:smooth val="0"/>
          <c:extLst>
            <c:ext xmlns:c16="http://schemas.microsoft.com/office/drawing/2014/chart" uri="{C3380CC4-5D6E-409C-BE32-E72D297353CC}">
              <c16:uniqueId val="{00000000-006B-4AB2-B876-180DC28DDEEA}"/>
            </c:ext>
          </c:extLst>
        </c:ser>
        <c:ser>
          <c:idx val="1"/>
          <c:order val="1"/>
          <c:tx>
            <c:strRef>
              <c:f>'Moving avg n -3'!$C$1</c:f>
              <c:strCache>
                <c:ptCount val="1"/>
                <c:pt idx="0">
                  <c:v>Moving Average, with N=3</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'Moving avg n -3'!$A$2:$A$144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'Moving avg n -3'!$C$2:$C$144</c:f>
              <c:numCache>
                <c:formatCode>General</c:formatCode>
                <c:ptCount val="143"/>
                <c:pt idx="3">
                  <c:v>37519.846666666665</c:v>
                </c:pt>
                <c:pt idx="4">
                  <c:v>35679.526666666672</c:v>
                </c:pt>
                <c:pt idx="5">
                  <c:v>27608.99666666667</c:v>
                </c:pt>
                <c:pt idx="6">
                  <c:v>20758.276666666668</c:v>
                </c:pt>
                <c:pt idx="7">
                  <c:v>21669.31</c:v>
                </c:pt>
                <c:pt idx="8">
                  <c:v>23136.41333333333</c:v>
                </c:pt>
                <c:pt idx="9">
                  <c:v>35208.093333333331</c:v>
                </c:pt>
                <c:pt idx="10">
                  <c:v>42149.51666666667</c:v>
                </c:pt>
                <c:pt idx="11">
                  <c:v>39272.1</c:v>
                </c:pt>
                <c:pt idx="12">
                  <c:v>25567.74</c:v>
                </c:pt>
                <c:pt idx="13">
                  <c:v>16765.806666666667</c:v>
                </c:pt>
                <c:pt idx="14">
                  <c:v>16704.8</c:v>
                </c:pt>
                <c:pt idx="15">
                  <c:v>17631.930000000004</c:v>
                </c:pt>
                <c:pt idx="16">
                  <c:v>17037.906666666666</c:v>
                </c:pt>
                <c:pt idx="17">
                  <c:v>16426.736666666668</c:v>
                </c:pt>
                <c:pt idx="18">
                  <c:v>15970.519999999999</c:v>
                </c:pt>
                <c:pt idx="19">
                  <c:v>16592.046666666665</c:v>
                </c:pt>
                <c:pt idx="20">
                  <c:v>16803.993333333332</c:v>
                </c:pt>
                <c:pt idx="21">
                  <c:v>16394.203333333335</c:v>
                </c:pt>
                <c:pt idx="22">
                  <c:v>16292.71</c:v>
                </c:pt>
                <c:pt idx="23">
                  <c:v>16783.539999999997</c:v>
                </c:pt>
                <c:pt idx="24">
                  <c:v>17057.579999999998</c:v>
                </c:pt>
                <c:pt idx="25">
                  <c:v>16733.350000000002</c:v>
                </c:pt>
                <c:pt idx="26">
                  <c:v>15964.37</c:v>
                </c:pt>
                <c:pt idx="27">
                  <c:v>16083.56</c:v>
                </c:pt>
                <c:pt idx="28">
                  <c:v>16142.21</c:v>
                </c:pt>
                <c:pt idx="29">
                  <c:v>16261.646666666666</c:v>
                </c:pt>
                <c:pt idx="30">
                  <c:v>15690.133333333333</c:v>
                </c:pt>
                <c:pt idx="31">
                  <c:v>15925.26</c:v>
                </c:pt>
                <c:pt idx="32">
                  <c:v>16743.463333333333</c:v>
                </c:pt>
                <c:pt idx="33">
                  <c:v>17930.25</c:v>
                </c:pt>
                <c:pt idx="34">
                  <c:v>18557.163333333334</c:v>
                </c:pt>
                <c:pt idx="35">
                  <c:v>19190.313333333335</c:v>
                </c:pt>
                <c:pt idx="36">
                  <c:v>20534.913333333334</c:v>
                </c:pt>
                <c:pt idx="37">
                  <c:v>23486.853333333333</c:v>
                </c:pt>
                <c:pt idx="38">
                  <c:v>25303.136666666669</c:v>
                </c:pt>
                <c:pt idx="39">
                  <c:v>30387.436666666665</c:v>
                </c:pt>
                <c:pt idx="40">
                  <c:v>32807.616666666669</c:v>
                </c:pt>
                <c:pt idx="41">
                  <c:v>30809.733333333334</c:v>
                </c:pt>
                <c:pt idx="42">
                  <c:v>24447.036666666667</c:v>
                </c:pt>
                <c:pt idx="43">
                  <c:v>19307.506666666664</c:v>
                </c:pt>
                <c:pt idx="44">
                  <c:v>20296.896666666667</c:v>
                </c:pt>
                <c:pt idx="45">
                  <c:v>24278.5</c:v>
                </c:pt>
                <c:pt idx="46">
                  <c:v>32976.023333333338</c:v>
                </c:pt>
                <c:pt idx="47">
                  <c:v>44113.913333333338</c:v>
                </c:pt>
                <c:pt idx="48">
                  <c:v>39989.556666666664</c:v>
                </c:pt>
                <c:pt idx="49">
                  <c:v>30346.683333333334</c:v>
                </c:pt>
                <c:pt idx="50">
                  <c:v>17489.506666666668</c:v>
                </c:pt>
                <c:pt idx="51">
                  <c:v>16895.136666666669</c:v>
                </c:pt>
                <c:pt idx="52">
                  <c:v>17720.783333333333</c:v>
                </c:pt>
                <c:pt idx="53">
                  <c:v>19156.136666666669</c:v>
                </c:pt>
                <c:pt idx="54">
                  <c:v>26004.703333333335</c:v>
                </c:pt>
                <c:pt idx="55">
                  <c:v>35466.266666666663</c:v>
                </c:pt>
                <c:pt idx="56">
                  <c:v>34698.956666666672</c:v>
                </c:pt>
                <c:pt idx="57">
                  <c:v>28845.770000000004</c:v>
                </c:pt>
                <c:pt idx="58">
                  <c:v>20323.946666666667</c:v>
                </c:pt>
                <c:pt idx="59">
                  <c:v>20647.413333333334</c:v>
                </c:pt>
                <c:pt idx="60">
                  <c:v>20831.91</c:v>
                </c:pt>
                <c:pt idx="61">
                  <c:v>20537.806666666667</c:v>
                </c:pt>
                <c:pt idx="62">
                  <c:v>21717.66</c:v>
                </c:pt>
                <c:pt idx="63">
                  <c:v>24344.75</c:v>
                </c:pt>
                <c:pt idx="64">
                  <c:v>34382.156666666669</c:v>
                </c:pt>
                <c:pt idx="65">
                  <c:v>40261.689999999995</c:v>
                </c:pt>
                <c:pt idx="66">
                  <c:v>37386.963333333333</c:v>
                </c:pt>
                <c:pt idx="67">
                  <c:v>26295.243333333336</c:v>
                </c:pt>
                <c:pt idx="68">
                  <c:v>17503.373333333333</c:v>
                </c:pt>
                <c:pt idx="69">
                  <c:v>16037.843333333332</c:v>
                </c:pt>
                <c:pt idx="70">
                  <c:v>15770.843333333332</c:v>
                </c:pt>
                <c:pt idx="71">
                  <c:v>16019.756666666668</c:v>
                </c:pt>
                <c:pt idx="72">
                  <c:v>15765.253333333334</c:v>
                </c:pt>
                <c:pt idx="73">
                  <c:v>15514.806666666665</c:v>
                </c:pt>
                <c:pt idx="74">
                  <c:v>15341.466666666667</c:v>
                </c:pt>
                <c:pt idx="75">
                  <c:v>15731.726666666667</c:v>
                </c:pt>
                <c:pt idx="76">
                  <c:v>15722.406666666668</c:v>
                </c:pt>
                <c:pt idx="77">
                  <c:v>15856.773333333333</c:v>
                </c:pt>
                <c:pt idx="78">
                  <c:v>15781.286666666667</c:v>
                </c:pt>
                <c:pt idx="79">
                  <c:v>15661.519999999999</c:v>
                </c:pt>
                <c:pt idx="80">
                  <c:v>15252.583333333334</c:v>
                </c:pt>
                <c:pt idx="81">
                  <c:v>14841.526666666667</c:v>
                </c:pt>
                <c:pt idx="82">
                  <c:v>14588.800000000001</c:v>
                </c:pt>
                <c:pt idx="83">
                  <c:v>14834.626666666669</c:v>
                </c:pt>
                <c:pt idx="84">
                  <c:v>15853.773333333333</c:v>
                </c:pt>
                <c:pt idx="85">
                  <c:v>17186.476666666666</c:v>
                </c:pt>
                <c:pt idx="86">
                  <c:v>18047.153333333335</c:v>
                </c:pt>
                <c:pt idx="87">
                  <c:v>18244.153333333332</c:v>
                </c:pt>
                <c:pt idx="88">
                  <c:v>18998.186666666665</c:v>
                </c:pt>
                <c:pt idx="89">
                  <c:v>20737.603333333333</c:v>
                </c:pt>
                <c:pt idx="90">
                  <c:v>22408.976666666669</c:v>
                </c:pt>
                <c:pt idx="91">
                  <c:v>26003.083333333332</c:v>
                </c:pt>
                <c:pt idx="92">
                  <c:v>31605.919999999998</c:v>
                </c:pt>
                <c:pt idx="93">
                  <c:v>30051.833333333332</c:v>
                </c:pt>
                <c:pt idx="94">
                  <c:v>25875.42</c:v>
                </c:pt>
                <c:pt idx="95">
                  <c:v>19550.483333333334</c:v>
                </c:pt>
                <c:pt idx="96">
                  <c:v>21751.800000000003</c:v>
                </c:pt>
                <c:pt idx="97">
                  <c:v>26503.553333333333</c:v>
                </c:pt>
                <c:pt idx="98">
                  <c:v>34790.813333333332</c:v>
                </c:pt>
                <c:pt idx="99">
                  <c:v>41955.9</c:v>
                </c:pt>
                <c:pt idx="100">
                  <c:v>38637.553333333337</c:v>
                </c:pt>
                <c:pt idx="101">
                  <c:v>28902.440000000002</c:v>
                </c:pt>
                <c:pt idx="102">
                  <c:v>18937.656666666666</c:v>
                </c:pt>
                <c:pt idx="103">
                  <c:v>17275.73</c:v>
                </c:pt>
                <c:pt idx="104">
                  <c:v>17879.22</c:v>
                </c:pt>
                <c:pt idx="105">
                  <c:v>20084.583333333332</c:v>
                </c:pt>
                <c:pt idx="106">
                  <c:v>26292.38</c:v>
                </c:pt>
                <c:pt idx="107">
                  <c:v>38186.359999999993</c:v>
                </c:pt>
                <c:pt idx="108">
                  <c:v>37057.603333333333</c:v>
                </c:pt>
                <c:pt idx="109">
                  <c:v>31432.45</c:v>
                </c:pt>
                <c:pt idx="110">
                  <c:v>20459.106666666667</c:v>
                </c:pt>
                <c:pt idx="111">
                  <c:v>21206.66</c:v>
                </c:pt>
                <c:pt idx="112">
                  <c:v>21871.55</c:v>
                </c:pt>
                <c:pt idx="113">
                  <c:v>24475.813333333335</c:v>
                </c:pt>
                <c:pt idx="114">
                  <c:v>36217.56</c:v>
                </c:pt>
                <c:pt idx="115">
                  <c:v>40409.730000000003</c:v>
                </c:pt>
                <c:pt idx="116">
                  <c:v>36417.506666666668</c:v>
                </c:pt>
                <c:pt idx="117">
                  <c:v>22669.333333333332</c:v>
                </c:pt>
                <c:pt idx="118">
                  <c:v>16823.743333333332</c:v>
                </c:pt>
                <c:pt idx="119">
                  <c:v>17219.74666666667</c:v>
                </c:pt>
                <c:pt idx="120">
                  <c:v>17943.143333333333</c:v>
                </c:pt>
                <c:pt idx="121">
                  <c:v>17881.846666666668</c:v>
                </c:pt>
                <c:pt idx="122">
                  <c:v>17182.276666666665</c:v>
                </c:pt>
                <c:pt idx="123">
                  <c:v>16898.346666666668</c:v>
                </c:pt>
                <c:pt idx="124">
                  <c:v>17096.77</c:v>
                </c:pt>
                <c:pt idx="125">
                  <c:v>17286.076666666664</c:v>
                </c:pt>
                <c:pt idx="126">
                  <c:v>16638.349999999999</c:v>
                </c:pt>
                <c:pt idx="127">
                  <c:v>16726.533333333333</c:v>
                </c:pt>
                <c:pt idx="128">
                  <c:v>16704.123333333333</c:v>
                </c:pt>
                <c:pt idx="129">
                  <c:v>16912.536666666667</c:v>
                </c:pt>
                <c:pt idx="130">
                  <c:v>16215.14</c:v>
                </c:pt>
                <c:pt idx="131">
                  <c:v>16235.85</c:v>
                </c:pt>
                <c:pt idx="132">
                  <c:v>16159.803333333335</c:v>
                </c:pt>
                <c:pt idx="133">
                  <c:v>16692.976666666669</c:v>
                </c:pt>
                <c:pt idx="134">
                  <c:v>16579.006666666668</c:v>
                </c:pt>
                <c:pt idx="135">
                  <c:v>16765.78</c:v>
                </c:pt>
                <c:pt idx="136">
                  <c:v>17096.336666666666</c:v>
                </c:pt>
                <c:pt idx="137">
                  <c:v>18206.276666666668</c:v>
                </c:pt>
                <c:pt idx="138">
                  <c:v>19063.363333333331</c:v>
                </c:pt>
                <c:pt idx="139">
                  <c:v>19271.843333333334</c:v>
                </c:pt>
                <c:pt idx="140">
                  <c:v>20034.593333333334</c:v>
                </c:pt>
                <c:pt idx="141">
                  <c:v>21205.429999999997</c:v>
                </c:pt>
                <c:pt idx="142">
                  <c:v>22951.25</c:v>
                </c:pt>
              </c:numCache>
            </c:numRef>
          </c:val>
          <c:smooth val="0"/>
          <c:extLst>
            <c:ext xmlns:c16="http://schemas.microsoft.com/office/drawing/2014/chart" uri="{C3380CC4-5D6E-409C-BE32-E72D297353CC}">
              <c16:uniqueId val="{00000001-006B-4AB2-B876-180DC28DDEEA}"/>
            </c:ext>
          </c:extLst>
        </c:ser>
        <c:dLbls>
          <c:showLegendKey val="0"/>
          <c:showVal val="0"/>
          <c:showCatName val="0"/>
          <c:showSerName val="0"/>
          <c:showPercent val="0"/>
          <c:showBubbleSize val="0"/>
        </c:dLbls>
        <c:marker val="1"/>
        <c:smooth val="0"/>
        <c:axId val="174547568"/>
        <c:axId val="168590976"/>
      </c:lineChart>
      <c:dateAx>
        <c:axId val="1745475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0976"/>
        <c:crosses val="autoZero"/>
        <c:auto val="1"/>
        <c:lblOffset val="100"/>
        <c:baseTimeUnit val="days"/>
      </c:dateAx>
      <c:valAx>
        <c:axId val="16859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47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'weighted avg'!$B$1</c:f>
              <c:strCache>
                <c:ptCount val="1"/>
                <c:pt idx="0">
                  <c:v>Weekly_Sales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'weighted avg'!$A$2:$A$144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'weighted avg'!$B$2:$B$144</c:f>
              <c:numCache>
                <c:formatCode>General</c:formatCode>
                <c:ptCount val="143"/>
                <c:pt idx="0">
                  <c:v>24924.5</c:v>
                </c:pt>
                <c:pt idx="1">
                  <c:v>46039.49</c:v>
                </c:pt>
                <c:pt idx="2">
                  <c:v>41595.550000000003</c:v>
                </c:pt>
                <c:pt idx="3">
                  <c:v>19403.54</c:v>
                </c:pt>
                <c:pt idx="4">
                  <c:v>21827.9</c:v>
                </c:pt>
                <c:pt idx="5">
                  <c:v>21043.39</c:v>
                </c:pt>
                <c:pt idx="6">
                  <c:v>22136.639999999999</c:v>
                </c:pt>
                <c:pt idx="7">
                  <c:v>26229.21</c:v>
                </c:pt>
                <c:pt idx="8">
                  <c:v>57258.43</c:v>
                </c:pt>
                <c:pt idx="9">
                  <c:v>42960.91</c:v>
                </c:pt>
                <c:pt idx="10">
                  <c:v>17596.96</c:v>
                </c:pt>
                <c:pt idx="11">
                  <c:v>16145.35</c:v>
                </c:pt>
                <c:pt idx="12">
                  <c:v>16555.11</c:v>
                </c:pt>
                <c:pt idx="13">
                  <c:v>17413.939999999999</c:v>
                </c:pt>
                <c:pt idx="14">
                  <c:v>18926.740000000002</c:v>
                </c:pt>
                <c:pt idx="15">
                  <c:v>14773.04</c:v>
                </c:pt>
                <c:pt idx="16">
                  <c:v>15580.43</c:v>
                </c:pt>
                <c:pt idx="17">
                  <c:v>17558.09</c:v>
                </c:pt>
                <c:pt idx="18">
                  <c:v>16637.62</c:v>
                </c:pt>
                <c:pt idx="19">
                  <c:v>16216.27</c:v>
                </c:pt>
                <c:pt idx="20">
                  <c:v>16328.72</c:v>
                </c:pt>
                <c:pt idx="21">
                  <c:v>16333.14</c:v>
                </c:pt>
                <c:pt idx="22">
                  <c:v>17688.759999999998</c:v>
                </c:pt>
                <c:pt idx="23">
                  <c:v>17150.84</c:v>
                </c:pt>
                <c:pt idx="24">
                  <c:v>15360.45</c:v>
                </c:pt>
                <c:pt idx="25">
                  <c:v>15381.82</c:v>
                </c:pt>
                <c:pt idx="26">
                  <c:v>17508.41</c:v>
                </c:pt>
                <c:pt idx="27">
                  <c:v>15536.4</c:v>
                </c:pt>
                <c:pt idx="28">
                  <c:v>15740.13</c:v>
                </c:pt>
                <c:pt idx="29">
                  <c:v>15793.87</c:v>
                </c:pt>
                <c:pt idx="30">
                  <c:v>16241.78</c:v>
                </c:pt>
                <c:pt idx="31">
                  <c:v>18194.740000000002</c:v>
                </c:pt>
                <c:pt idx="32">
                  <c:v>19354.23</c:v>
                </c:pt>
                <c:pt idx="33">
                  <c:v>18122.52</c:v>
                </c:pt>
                <c:pt idx="34">
                  <c:v>20094.189999999999</c:v>
                </c:pt>
                <c:pt idx="35">
                  <c:v>23388.03</c:v>
                </c:pt>
                <c:pt idx="36">
                  <c:v>26978.34</c:v>
                </c:pt>
                <c:pt idx="37">
                  <c:v>25543.040000000001</c:v>
                </c:pt>
                <c:pt idx="38">
                  <c:v>38640.93</c:v>
                </c:pt>
                <c:pt idx="39">
                  <c:v>34238.879999999997</c:v>
                </c:pt>
                <c:pt idx="40">
                  <c:v>19549.39</c:v>
                </c:pt>
                <c:pt idx="41">
                  <c:v>19552.84</c:v>
                </c:pt>
                <c:pt idx="42">
                  <c:v>18820.29</c:v>
                </c:pt>
                <c:pt idx="43">
                  <c:v>22517.56</c:v>
                </c:pt>
                <c:pt idx="44">
                  <c:v>31497.65</c:v>
                </c:pt>
                <c:pt idx="45">
                  <c:v>44912.86</c:v>
                </c:pt>
                <c:pt idx="46">
                  <c:v>55931.23</c:v>
                </c:pt>
                <c:pt idx="47">
                  <c:v>19124.580000000002</c:v>
                </c:pt>
                <c:pt idx="48">
                  <c:v>15984.24</c:v>
                </c:pt>
                <c:pt idx="49">
                  <c:v>17359.7</c:v>
                </c:pt>
                <c:pt idx="50">
                  <c:v>17341.47</c:v>
                </c:pt>
                <c:pt idx="51">
                  <c:v>18461.18</c:v>
                </c:pt>
                <c:pt idx="52">
                  <c:v>21665.759999999998</c:v>
                </c:pt>
                <c:pt idx="53">
                  <c:v>37887.17</c:v>
                </c:pt>
                <c:pt idx="54">
                  <c:v>46845.87</c:v>
                </c:pt>
                <c:pt idx="55">
                  <c:v>19363.830000000002</c:v>
                </c:pt>
                <c:pt idx="56">
                  <c:v>20327.61</c:v>
                </c:pt>
                <c:pt idx="57">
                  <c:v>21280.400000000001</c:v>
                </c:pt>
                <c:pt idx="58">
                  <c:v>20334.23</c:v>
                </c:pt>
                <c:pt idx="59">
                  <c:v>20881.099999999999</c:v>
                </c:pt>
                <c:pt idx="60">
                  <c:v>20398.09</c:v>
                </c:pt>
                <c:pt idx="61">
                  <c:v>23873.79</c:v>
                </c:pt>
                <c:pt idx="62">
                  <c:v>28762.37</c:v>
                </c:pt>
                <c:pt idx="63">
                  <c:v>50510.31</c:v>
                </c:pt>
                <c:pt idx="64">
                  <c:v>41512.39</c:v>
                </c:pt>
                <c:pt idx="65">
                  <c:v>20138.189999999999</c:v>
                </c:pt>
                <c:pt idx="66">
                  <c:v>17235.150000000001</c:v>
                </c:pt>
                <c:pt idx="67">
                  <c:v>15136.78</c:v>
                </c:pt>
                <c:pt idx="68">
                  <c:v>15741.6</c:v>
                </c:pt>
                <c:pt idx="69">
                  <c:v>16434.150000000001</c:v>
                </c:pt>
                <c:pt idx="70">
                  <c:v>15883.52</c:v>
                </c:pt>
                <c:pt idx="71">
                  <c:v>14978.09</c:v>
                </c:pt>
                <c:pt idx="72">
                  <c:v>15682.81</c:v>
                </c:pt>
                <c:pt idx="73">
                  <c:v>15363.5</c:v>
                </c:pt>
                <c:pt idx="74">
                  <c:v>16148.87</c:v>
                </c:pt>
                <c:pt idx="75">
                  <c:v>15654.85</c:v>
                </c:pt>
                <c:pt idx="76">
                  <c:v>15766.6</c:v>
                </c:pt>
                <c:pt idx="77">
                  <c:v>15922.41</c:v>
                </c:pt>
                <c:pt idx="78">
                  <c:v>15295.55</c:v>
                </c:pt>
                <c:pt idx="79">
                  <c:v>14539.79</c:v>
                </c:pt>
                <c:pt idx="80">
                  <c:v>14689.24</c:v>
                </c:pt>
                <c:pt idx="81">
                  <c:v>14537.37</c:v>
                </c:pt>
                <c:pt idx="82">
                  <c:v>15277.27</c:v>
                </c:pt>
                <c:pt idx="83">
                  <c:v>17746.68</c:v>
                </c:pt>
                <c:pt idx="84">
                  <c:v>18535.48</c:v>
                </c:pt>
                <c:pt idx="85">
                  <c:v>17859.3</c:v>
                </c:pt>
                <c:pt idx="86">
                  <c:v>18337.68</c:v>
                </c:pt>
                <c:pt idx="87">
                  <c:v>20797.580000000002</c:v>
                </c:pt>
                <c:pt idx="88">
                  <c:v>23077.55</c:v>
                </c:pt>
                <c:pt idx="89">
                  <c:v>23351.8</c:v>
                </c:pt>
                <c:pt idx="90">
                  <c:v>31579.9</c:v>
                </c:pt>
                <c:pt idx="91">
                  <c:v>39886.06</c:v>
                </c:pt>
                <c:pt idx="92">
                  <c:v>18689.54</c:v>
                </c:pt>
                <c:pt idx="93">
                  <c:v>19050.66</c:v>
                </c:pt>
                <c:pt idx="94">
                  <c:v>20911.25</c:v>
                </c:pt>
                <c:pt idx="95">
                  <c:v>25293.49</c:v>
                </c:pt>
                <c:pt idx="96">
                  <c:v>33305.919999999998</c:v>
                </c:pt>
                <c:pt idx="97">
                  <c:v>45773.03</c:v>
                </c:pt>
                <c:pt idx="98">
                  <c:v>46788.75</c:v>
                </c:pt>
                <c:pt idx="99">
                  <c:v>23350.880000000001</c:v>
                </c:pt>
                <c:pt idx="100">
                  <c:v>16567.689999999999</c:v>
                </c:pt>
                <c:pt idx="101">
                  <c:v>16894.400000000001</c:v>
                </c:pt>
                <c:pt idx="102">
                  <c:v>18365.099999999999</c:v>
                </c:pt>
                <c:pt idx="103">
                  <c:v>18378.16</c:v>
                </c:pt>
                <c:pt idx="104">
                  <c:v>23510.49</c:v>
                </c:pt>
                <c:pt idx="105">
                  <c:v>36988.49</c:v>
                </c:pt>
                <c:pt idx="106">
                  <c:v>54060.1</c:v>
                </c:pt>
                <c:pt idx="107">
                  <c:v>20124.22</c:v>
                </c:pt>
                <c:pt idx="108">
                  <c:v>20113.03</c:v>
                </c:pt>
                <c:pt idx="109">
                  <c:v>21140.07</c:v>
                </c:pt>
                <c:pt idx="110">
                  <c:v>22366.880000000001</c:v>
                </c:pt>
                <c:pt idx="111">
                  <c:v>22107.7</c:v>
                </c:pt>
                <c:pt idx="112">
                  <c:v>28952.86</c:v>
                </c:pt>
                <c:pt idx="113">
                  <c:v>57592.12</c:v>
                </c:pt>
                <c:pt idx="114">
                  <c:v>34684.21</c:v>
                </c:pt>
                <c:pt idx="115">
                  <c:v>16976.189999999999</c:v>
                </c:pt>
                <c:pt idx="116">
                  <c:v>16347.6</c:v>
                </c:pt>
                <c:pt idx="117">
                  <c:v>17147.439999999999</c:v>
                </c:pt>
                <c:pt idx="118">
                  <c:v>18164.2</c:v>
                </c:pt>
                <c:pt idx="119">
                  <c:v>18517.79</c:v>
                </c:pt>
                <c:pt idx="120">
                  <c:v>16963.55</c:v>
                </c:pt>
                <c:pt idx="121">
                  <c:v>16065.49</c:v>
                </c:pt>
                <c:pt idx="122">
                  <c:v>17666</c:v>
                </c:pt>
                <c:pt idx="123">
                  <c:v>17558.82</c:v>
                </c:pt>
                <c:pt idx="124">
                  <c:v>16633.41</c:v>
                </c:pt>
                <c:pt idx="125">
                  <c:v>15722.82</c:v>
                </c:pt>
                <c:pt idx="126">
                  <c:v>17823.37</c:v>
                </c:pt>
                <c:pt idx="127">
                  <c:v>16566.18</c:v>
                </c:pt>
                <c:pt idx="128">
                  <c:v>16348.06</c:v>
                </c:pt>
                <c:pt idx="129">
                  <c:v>15731.18</c:v>
                </c:pt>
                <c:pt idx="130">
                  <c:v>16628.310000000001</c:v>
                </c:pt>
                <c:pt idx="131">
                  <c:v>16119.92</c:v>
                </c:pt>
                <c:pt idx="132">
                  <c:v>17330.7</c:v>
                </c:pt>
                <c:pt idx="133">
                  <c:v>16286.4</c:v>
                </c:pt>
                <c:pt idx="134">
                  <c:v>16680.240000000002</c:v>
                </c:pt>
                <c:pt idx="135">
                  <c:v>18322.37</c:v>
                </c:pt>
                <c:pt idx="136">
                  <c:v>19616.22</c:v>
                </c:pt>
                <c:pt idx="137">
                  <c:v>19251.5</c:v>
                </c:pt>
                <c:pt idx="138">
                  <c:v>18947.810000000001</c:v>
                </c:pt>
                <c:pt idx="139">
                  <c:v>21904.47</c:v>
                </c:pt>
                <c:pt idx="140">
                  <c:v>22764.01</c:v>
                </c:pt>
                <c:pt idx="141">
                  <c:v>24185.27</c:v>
                </c:pt>
                <c:pt idx="142">
                  <c:v>27390.81</c:v>
                </c:pt>
              </c:numCache>
            </c:numRef>
          </c:val>
          <c:smooth val="0"/>
          <c:extLst>
            <c:ext xmlns:c16="http://schemas.microsoft.com/office/drawing/2014/chart" uri="{C3380CC4-5D6E-409C-BE32-E72D297353CC}">
              <c16:uniqueId val="{00000000-9DCE-474E-88FC-FEC3ED277B91}"/>
            </c:ext>
          </c:extLst>
        </c:ser>
        <c:ser>
          <c:idx val="1"/>
          <c:order val="1"/>
          <c:tx>
            <c:strRef>
              <c:f>'weighted avg'!$C$1</c:f>
              <c:strCache>
                <c:ptCount val="1"/>
                <c:pt idx="0">
                  <c:v>Weighted Average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'weighted avg'!$A$2:$A$144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'weighted avg'!$C$2:$C$144</c:f>
              <c:numCache>
                <c:formatCode>General</c:formatCode>
                <c:ptCount val="143"/>
                <c:pt idx="3">
                  <c:v>39594.521999999997</c:v>
                </c:pt>
                <c:pt idx="4">
                  <c:v>31388.333000000002</c:v>
                </c:pt>
                <c:pt idx="5">
                  <c:v>25054.122000000003</c:v>
                </c:pt>
                <c:pt idx="6">
                  <c:v>20950.773000000001</c:v>
                </c:pt>
                <c:pt idx="7">
                  <c:v>21746.917000000001</c:v>
                </c:pt>
                <c:pt idx="8">
                  <c:v>23964.274999999998</c:v>
                </c:pt>
                <c:pt idx="9">
                  <c:v>40925.305999999997</c:v>
                </c:pt>
                <c:pt idx="10">
                  <c:v>43903.826000000001</c:v>
                </c:pt>
                <c:pt idx="11">
                  <c:v>33138.438999999998</c:v>
                </c:pt>
                <c:pt idx="12">
                  <c:v>21943.945</c:v>
                </c:pt>
                <c:pt idx="13">
                  <c:v>16640.552</c:v>
                </c:pt>
                <c:pt idx="14">
                  <c:v>16902.573</c:v>
                </c:pt>
                <c:pt idx="15">
                  <c:v>17998.574000000001</c:v>
                </c:pt>
                <c:pt idx="16">
                  <c:v>16547.330000000002</c:v>
                </c:pt>
                <c:pt idx="17">
                  <c:v>16007.475</c:v>
                </c:pt>
                <c:pt idx="18">
                  <c:v>16407.781999999999</c:v>
                </c:pt>
                <c:pt idx="19">
                  <c:v>16702.322999999997</c:v>
                </c:pt>
                <c:pt idx="20">
                  <c:v>16611.038999999997</c:v>
                </c:pt>
                <c:pt idx="21">
                  <c:v>16356.764999999999</c:v>
                </c:pt>
                <c:pt idx="22">
                  <c:v>16308.44</c:v>
                </c:pt>
                <c:pt idx="23">
                  <c:v>17010.065999999999</c:v>
                </c:pt>
                <c:pt idx="24">
                  <c:v>17148.675999999999</c:v>
                </c:pt>
                <c:pt idx="25">
                  <c:v>16363.228999999999</c:v>
                </c:pt>
                <c:pt idx="26">
                  <c:v>15729.213</c:v>
                </c:pt>
                <c:pt idx="27">
                  <c:v>16440.841</c:v>
                </c:pt>
                <c:pt idx="28">
                  <c:v>16097.087</c:v>
                </c:pt>
                <c:pt idx="29">
                  <c:v>16032.667000000001</c:v>
                </c:pt>
                <c:pt idx="30">
                  <c:v>15726.254000000001</c:v>
                </c:pt>
                <c:pt idx="31">
                  <c:v>16007.077000000001</c:v>
                </c:pt>
                <c:pt idx="32">
                  <c:v>17128.678</c:v>
                </c:pt>
                <c:pt idx="33">
                  <c:v>18383.893</c:v>
                </c:pt>
                <c:pt idx="34">
                  <c:v>18506.476999999999</c:v>
                </c:pt>
                <c:pt idx="35">
                  <c:v>19354.697</c:v>
                </c:pt>
                <c:pt idx="36">
                  <c:v>21346.775999999998</c:v>
                </c:pt>
                <c:pt idx="37">
                  <c:v>24524.417000000001</c:v>
                </c:pt>
                <c:pt idx="38">
                  <c:v>25542.628000000001</c:v>
                </c:pt>
                <c:pt idx="39">
                  <c:v>32379.045000000002</c:v>
                </c:pt>
                <c:pt idx="40">
                  <c:v>33820.327000000005</c:v>
                </c:pt>
                <c:pt idx="41">
                  <c:v>27774.544999999998</c:v>
                </c:pt>
                <c:pt idx="42">
                  <c:v>22489.012999999999</c:v>
                </c:pt>
                <c:pt idx="43">
                  <c:v>19185.875</c:v>
                </c:pt>
                <c:pt idx="44">
                  <c:v>20815.435000000001</c:v>
                </c:pt>
                <c:pt idx="45">
                  <c:v>26268.151000000002</c:v>
                </c:pt>
                <c:pt idx="46">
                  <c:v>36409.237000000001</c:v>
                </c:pt>
                <c:pt idx="47">
                  <c:v>47739.002999999997</c:v>
                </c:pt>
                <c:pt idx="48">
                  <c:v>35324.231</c:v>
                </c:pt>
                <c:pt idx="49">
                  <c:v>24915.74</c:v>
                </c:pt>
                <c:pt idx="50">
                  <c:v>17300.038</c:v>
                </c:pt>
                <c:pt idx="51">
                  <c:v>17075.493000000002</c:v>
                </c:pt>
                <c:pt idx="52">
                  <c:v>17904.971000000001</c:v>
                </c:pt>
                <c:pt idx="53">
                  <c:v>19839.527999999998</c:v>
                </c:pt>
                <c:pt idx="54">
                  <c:v>29135.548999999999</c:v>
                </c:pt>
                <c:pt idx="55">
                  <c:v>39122.237999999998</c:v>
                </c:pt>
                <c:pt idx="56">
                  <c:v>31313.11</c:v>
                </c:pt>
                <c:pt idx="57">
                  <c:v>25342.128000000001</c:v>
                </c:pt>
                <c:pt idx="58">
                  <c:v>20611.249000000003</c:v>
                </c:pt>
                <c:pt idx="59">
                  <c:v>20616.756999999998</c:v>
                </c:pt>
                <c:pt idx="60">
                  <c:v>20796.898999999998</c:v>
                </c:pt>
                <c:pt idx="61">
                  <c:v>20530.220999999998</c:v>
                </c:pt>
                <c:pt idx="62">
                  <c:v>22232.542000000001</c:v>
                </c:pt>
                <c:pt idx="63">
                  <c:v>25622.940000000002</c:v>
                </c:pt>
                <c:pt idx="64">
                  <c:v>38658.623999999996</c:v>
                </c:pt>
                <c:pt idx="65">
                  <c:v>41661.762000000002</c:v>
                </c:pt>
                <c:pt idx="66">
                  <c:v>32624.873999999996</c:v>
                </c:pt>
                <c:pt idx="67">
                  <c:v>22961.510000000002</c:v>
                </c:pt>
                <c:pt idx="68">
                  <c:v>16766.573</c:v>
                </c:pt>
                <c:pt idx="69">
                  <c:v>15858.864000000001</c:v>
                </c:pt>
                <c:pt idx="70">
                  <c:v>15966.911</c:v>
                </c:pt>
                <c:pt idx="71">
                  <c:v>16020.325000000001</c:v>
                </c:pt>
                <c:pt idx="72">
                  <c:v>15540.931</c:v>
                </c:pt>
                <c:pt idx="73">
                  <c:v>15511.536</c:v>
                </c:pt>
                <c:pt idx="74">
                  <c:v>15382.210999999999</c:v>
                </c:pt>
                <c:pt idx="75">
                  <c:v>15820.047</c:v>
                </c:pt>
                <c:pt idx="76">
                  <c:v>15744.786</c:v>
                </c:pt>
                <c:pt idx="77">
                  <c:v>15809.529</c:v>
                </c:pt>
                <c:pt idx="78">
                  <c:v>15822.154999999999</c:v>
                </c:pt>
                <c:pt idx="79">
                  <c:v>15577.817999999999</c:v>
                </c:pt>
                <c:pt idx="80">
                  <c:v>15043.042000000001</c:v>
                </c:pt>
                <c:pt idx="81">
                  <c:v>14765.667000000001</c:v>
                </c:pt>
                <c:pt idx="82">
                  <c:v>14583.415000000001</c:v>
                </c:pt>
                <c:pt idx="83">
                  <c:v>14937.694</c:v>
                </c:pt>
                <c:pt idx="84">
                  <c:v>16363.994999999999</c:v>
                </c:pt>
                <c:pt idx="85">
                  <c:v>17647.198</c:v>
                </c:pt>
                <c:pt idx="86">
                  <c:v>18039.629999999997</c:v>
                </c:pt>
                <c:pt idx="87">
                  <c:v>18233.726000000002</c:v>
                </c:pt>
                <c:pt idx="88">
                  <c:v>19471.954000000002</c:v>
                </c:pt>
                <c:pt idx="89">
                  <c:v>21445.584999999999</c:v>
                </c:pt>
                <c:pt idx="90">
                  <c:v>22758.680999999997</c:v>
                </c:pt>
                <c:pt idx="91">
                  <c:v>27411</c:v>
                </c:pt>
                <c:pt idx="92">
                  <c:v>34087.360000000001</c:v>
                </c:pt>
                <c:pt idx="93">
                  <c:v>27626.567999999999</c:v>
                </c:pt>
                <c:pt idx="94">
                  <c:v>23109.404000000002</c:v>
                </c:pt>
                <c:pt idx="95">
                  <c:v>19908.731</c:v>
                </c:pt>
                <c:pt idx="96">
                  <c:v>22730.252</c:v>
                </c:pt>
                <c:pt idx="97">
                  <c:v>28423.256999999998</c:v>
                </c:pt>
                <c:pt idx="98">
                  <c:v>37936.989000000001</c:v>
                </c:pt>
                <c:pt idx="99">
                  <c:v>43787.468000000001</c:v>
                </c:pt>
                <c:pt idx="100">
                  <c:v>34866.671000000002</c:v>
                </c:pt>
                <c:pt idx="101">
                  <c:v>24646.858999999997</c:v>
                </c:pt>
                <c:pt idx="102">
                  <c:v>18087.683000000001</c:v>
                </c:pt>
                <c:pt idx="103">
                  <c:v>17564.407999999999</c:v>
                </c:pt>
                <c:pt idx="104">
                  <c:v>18077.489999999998</c:v>
                </c:pt>
                <c:pt idx="105">
                  <c:v>20941.713</c:v>
                </c:pt>
                <c:pt idx="106">
                  <c:v>29223.023999999998</c:v>
                </c:pt>
                <c:pt idx="107">
                  <c:v>42828.695</c:v>
                </c:pt>
                <c:pt idx="108">
                  <c:v>33677.838000000003</c:v>
                </c:pt>
                <c:pt idx="109">
                  <c:v>26905.800999999999</c:v>
                </c:pt>
                <c:pt idx="110">
                  <c:v>20628.788</c:v>
                </c:pt>
                <c:pt idx="111">
                  <c:v>21548.067000000003</c:v>
                </c:pt>
                <c:pt idx="112">
                  <c:v>21991.928</c:v>
                </c:pt>
                <c:pt idx="113">
                  <c:v>25582.116000000002</c:v>
                </c:pt>
                <c:pt idx="114">
                  <c:v>41903.457999999999</c:v>
                </c:pt>
                <c:pt idx="115">
                  <c:v>40410.312999999995</c:v>
                </c:pt>
                <c:pt idx="116">
                  <c:v>30411.781999999999</c:v>
                </c:pt>
                <c:pt idx="117">
                  <c:v>20203.499</c:v>
                </c:pt>
                <c:pt idx="118">
                  <c:v>16873.237999999998</c:v>
                </c:pt>
                <c:pt idx="119">
                  <c:v>17495.851999999999</c:v>
                </c:pt>
                <c:pt idx="120">
                  <c:v>18137.643</c:v>
                </c:pt>
                <c:pt idx="121">
                  <c:v>17669.951999999997</c:v>
                </c:pt>
                <c:pt idx="122">
                  <c:v>16825.367999999999</c:v>
                </c:pt>
                <c:pt idx="123">
                  <c:v>17045.357</c:v>
                </c:pt>
                <c:pt idx="124">
                  <c:v>17292.308000000001</c:v>
                </c:pt>
                <c:pt idx="125">
                  <c:v>17117.550999999999</c:v>
                </c:pt>
                <c:pt idx="126">
                  <c:v>16363.197</c:v>
                </c:pt>
                <c:pt idx="127">
                  <c:v>16955.213</c:v>
                </c:pt>
                <c:pt idx="128">
                  <c:v>16774.665000000001</c:v>
                </c:pt>
                <c:pt idx="129">
                  <c:v>16708.558000000001</c:v>
                </c:pt>
                <c:pt idx="130">
                  <c:v>16083.244000000001</c:v>
                </c:pt>
                <c:pt idx="131">
                  <c:v>16303.121000000001</c:v>
                </c:pt>
                <c:pt idx="132">
                  <c:v>16194.689000000002</c:v>
                </c:pt>
                <c:pt idx="133">
                  <c:v>16826.988000000001</c:v>
                </c:pt>
                <c:pt idx="134">
                  <c:v>16566.394</c:v>
                </c:pt>
                <c:pt idx="135">
                  <c:v>16692.18</c:v>
                </c:pt>
                <c:pt idx="136">
                  <c:v>17422.537</c:v>
                </c:pt>
                <c:pt idx="137">
                  <c:v>18640.868999999999</c:v>
                </c:pt>
                <c:pt idx="138">
                  <c:v>19175.09</c:v>
                </c:pt>
                <c:pt idx="139">
                  <c:v>19172.599000000002</c:v>
                </c:pt>
                <c:pt idx="140">
                  <c:v>20486.878000000001</c:v>
                </c:pt>
                <c:pt idx="141">
                  <c:v>21742.907999999999</c:v>
                </c:pt>
                <c:pt idx="142">
                  <c:v>23302.732</c:v>
                </c:pt>
              </c:numCache>
            </c:numRef>
          </c:val>
          <c:smooth val="0"/>
          <c:extLst>
            <c:ext xmlns:c16="http://schemas.microsoft.com/office/drawing/2014/chart" uri="{C3380CC4-5D6E-409C-BE32-E72D297353CC}">
              <c16:uniqueId val="{00000001-9DCE-474E-88FC-FEC3ED277B91}"/>
            </c:ext>
          </c:extLst>
        </c:ser>
        <c:dLbls>
          <c:showLegendKey val="0"/>
          <c:showVal val="0"/>
          <c:showCatName val="0"/>
          <c:showSerName val="0"/>
          <c:showPercent val="0"/>
          <c:showBubbleSize val="0"/>
        </c:dLbls>
        <c:marker val="1"/>
        <c:smooth val="0"/>
        <c:axId val="1292962192"/>
        <c:axId val="1282418784"/>
      </c:lineChart>
      <c:dateAx>
        <c:axId val="129296219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418784"/>
        <c:crosses val="autoZero"/>
        <c:auto val="1"/>
        <c:lblOffset val="100"/>
        <c:baseTimeUnit val="days"/>
      </c:dateAx>
      <c:valAx>
        <c:axId val="128241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6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'Exp smotng'!$B$1</c:f>
              <c:strCache>
                <c:ptCount val="1"/>
                <c:pt idx="0">
                  <c:v>Weekly_Sales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 smotng'!$A$2:$A$144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'Exp smotng'!$B$2:$B$144</c:f>
              <c:numCache>
                <c:formatCode>General</c:formatCode>
                <c:ptCount val="143"/>
                <c:pt idx="0">
                  <c:v>24924.5</c:v>
                </c:pt>
                <c:pt idx="1">
                  <c:v>46039.49</c:v>
                </c:pt>
                <c:pt idx="2">
                  <c:v>41595.550000000003</c:v>
                </c:pt>
                <c:pt idx="3">
                  <c:v>19403.54</c:v>
                </c:pt>
                <c:pt idx="4">
                  <c:v>21827.9</c:v>
                </c:pt>
                <c:pt idx="5">
                  <c:v>21043.39</c:v>
                </c:pt>
                <c:pt idx="6">
                  <c:v>22136.639999999999</c:v>
                </c:pt>
                <c:pt idx="7">
                  <c:v>26229.21</c:v>
                </c:pt>
                <c:pt idx="8">
                  <c:v>57258.43</c:v>
                </c:pt>
                <c:pt idx="9">
                  <c:v>42960.91</c:v>
                </c:pt>
                <c:pt idx="10">
                  <c:v>17596.96</c:v>
                </c:pt>
                <c:pt idx="11">
                  <c:v>16145.35</c:v>
                </c:pt>
                <c:pt idx="12">
                  <c:v>16555.11</c:v>
                </c:pt>
                <c:pt idx="13">
                  <c:v>17413.939999999999</c:v>
                </c:pt>
                <c:pt idx="14">
                  <c:v>18926.740000000002</c:v>
                </c:pt>
                <c:pt idx="15">
                  <c:v>14773.04</c:v>
                </c:pt>
                <c:pt idx="16">
                  <c:v>15580.43</c:v>
                </c:pt>
                <c:pt idx="17">
                  <c:v>17558.09</c:v>
                </c:pt>
                <c:pt idx="18">
                  <c:v>16637.62</c:v>
                </c:pt>
                <c:pt idx="19">
                  <c:v>16216.27</c:v>
                </c:pt>
                <c:pt idx="20">
                  <c:v>16328.72</c:v>
                </c:pt>
                <c:pt idx="21">
                  <c:v>16333.14</c:v>
                </c:pt>
                <c:pt idx="22">
                  <c:v>17688.759999999998</c:v>
                </c:pt>
                <c:pt idx="23">
                  <c:v>17150.84</c:v>
                </c:pt>
                <c:pt idx="24">
                  <c:v>15360.45</c:v>
                </c:pt>
                <c:pt idx="25">
                  <c:v>15381.82</c:v>
                </c:pt>
                <c:pt idx="26">
                  <c:v>17508.41</c:v>
                </c:pt>
                <c:pt idx="27">
                  <c:v>15536.4</c:v>
                </c:pt>
                <c:pt idx="28">
                  <c:v>15740.13</c:v>
                </c:pt>
                <c:pt idx="29">
                  <c:v>15793.87</c:v>
                </c:pt>
                <c:pt idx="30">
                  <c:v>16241.78</c:v>
                </c:pt>
                <c:pt idx="31">
                  <c:v>18194.740000000002</c:v>
                </c:pt>
                <c:pt idx="32">
                  <c:v>19354.23</c:v>
                </c:pt>
                <c:pt idx="33">
                  <c:v>18122.52</c:v>
                </c:pt>
                <c:pt idx="34">
                  <c:v>20094.189999999999</c:v>
                </c:pt>
                <c:pt idx="35">
                  <c:v>23388.03</c:v>
                </c:pt>
                <c:pt idx="36">
                  <c:v>26978.34</c:v>
                </c:pt>
                <c:pt idx="37">
                  <c:v>25543.040000000001</c:v>
                </c:pt>
                <c:pt idx="38">
                  <c:v>38640.93</c:v>
                </c:pt>
                <c:pt idx="39">
                  <c:v>34238.879999999997</c:v>
                </c:pt>
                <c:pt idx="40">
                  <c:v>19549.39</c:v>
                </c:pt>
                <c:pt idx="41">
                  <c:v>19552.84</c:v>
                </c:pt>
                <c:pt idx="42">
                  <c:v>18820.29</c:v>
                </c:pt>
                <c:pt idx="43">
                  <c:v>22517.56</c:v>
                </c:pt>
                <c:pt idx="44">
                  <c:v>31497.65</c:v>
                </c:pt>
                <c:pt idx="45">
                  <c:v>44912.86</c:v>
                </c:pt>
                <c:pt idx="46">
                  <c:v>55931.23</c:v>
                </c:pt>
                <c:pt idx="47">
                  <c:v>19124.580000000002</c:v>
                </c:pt>
                <c:pt idx="48">
                  <c:v>15984.24</c:v>
                </c:pt>
                <c:pt idx="49">
                  <c:v>17359.7</c:v>
                </c:pt>
                <c:pt idx="50">
                  <c:v>17341.47</c:v>
                </c:pt>
                <c:pt idx="51">
                  <c:v>18461.18</c:v>
                </c:pt>
                <c:pt idx="52">
                  <c:v>21665.759999999998</c:v>
                </c:pt>
                <c:pt idx="53">
                  <c:v>37887.17</c:v>
                </c:pt>
                <c:pt idx="54">
                  <c:v>46845.87</c:v>
                </c:pt>
                <c:pt idx="55">
                  <c:v>19363.830000000002</c:v>
                </c:pt>
                <c:pt idx="56">
                  <c:v>20327.61</c:v>
                </c:pt>
                <c:pt idx="57">
                  <c:v>21280.400000000001</c:v>
                </c:pt>
                <c:pt idx="58">
                  <c:v>20334.23</c:v>
                </c:pt>
                <c:pt idx="59">
                  <c:v>20881.099999999999</c:v>
                </c:pt>
                <c:pt idx="60">
                  <c:v>20398.09</c:v>
                </c:pt>
                <c:pt idx="61">
                  <c:v>23873.79</c:v>
                </c:pt>
                <c:pt idx="62">
                  <c:v>28762.37</c:v>
                </c:pt>
                <c:pt idx="63">
                  <c:v>50510.31</c:v>
                </c:pt>
                <c:pt idx="64">
                  <c:v>41512.39</c:v>
                </c:pt>
                <c:pt idx="65">
                  <c:v>20138.189999999999</c:v>
                </c:pt>
                <c:pt idx="66">
                  <c:v>17235.150000000001</c:v>
                </c:pt>
                <c:pt idx="67">
                  <c:v>15136.78</c:v>
                </c:pt>
                <c:pt idx="68">
                  <c:v>15741.6</c:v>
                </c:pt>
                <c:pt idx="69">
                  <c:v>16434.150000000001</c:v>
                </c:pt>
                <c:pt idx="70">
                  <c:v>15883.52</c:v>
                </c:pt>
                <c:pt idx="71">
                  <c:v>14978.09</c:v>
                </c:pt>
                <c:pt idx="72">
                  <c:v>15682.81</c:v>
                </c:pt>
                <c:pt idx="73">
                  <c:v>15363.5</c:v>
                </c:pt>
                <c:pt idx="74">
                  <c:v>16148.87</c:v>
                </c:pt>
                <c:pt idx="75">
                  <c:v>15654.85</c:v>
                </c:pt>
                <c:pt idx="76">
                  <c:v>15766.6</c:v>
                </c:pt>
                <c:pt idx="77">
                  <c:v>15922.41</c:v>
                </c:pt>
                <c:pt idx="78">
                  <c:v>15295.55</c:v>
                </c:pt>
                <c:pt idx="79">
                  <c:v>14539.79</c:v>
                </c:pt>
                <c:pt idx="80">
                  <c:v>14689.24</c:v>
                </c:pt>
                <c:pt idx="81">
                  <c:v>14537.37</c:v>
                </c:pt>
                <c:pt idx="82">
                  <c:v>15277.27</c:v>
                </c:pt>
                <c:pt idx="83">
                  <c:v>17746.68</c:v>
                </c:pt>
                <c:pt idx="84">
                  <c:v>18535.48</c:v>
                </c:pt>
                <c:pt idx="85">
                  <c:v>17859.3</c:v>
                </c:pt>
                <c:pt idx="86">
                  <c:v>18337.68</c:v>
                </c:pt>
                <c:pt idx="87">
                  <c:v>20797.580000000002</c:v>
                </c:pt>
                <c:pt idx="88">
                  <c:v>23077.55</c:v>
                </c:pt>
                <c:pt idx="89">
                  <c:v>23351.8</c:v>
                </c:pt>
                <c:pt idx="90">
                  <c:v>31579.9</c:v>
                </c:pt>
                <c:pt idx="91">
                  <c:v>39886.06</c:v>
                </c:pt>
                <c:pt idx="92">
                  <c:v>18689.54</c:v>
                </c:pt>
                <c:pt idx="93">
                  <c:v>19050.66</c:v>
                </c:pt>
                <c:pt idx="94">
                  <c:v>20911.25</c:v>
                </c:pt>
                <c:pt idx="95">
                  <c:v>25293.49</c:v>
                </c:pt>
                <c:pt idx="96">
                  <c:v>33305.919999999998</c:v>
                </c:pt>
                <c:pt idx="97">
                  <c:v>45773.03</c:v>
                </c:pt>
                <c:pt idx="98">
                  <c:v>46788.75</c:v>
                </c:pt>
                <c:pt idx="99">
                  <c:v>23350.880000000001</c:v>
                </c:pt>
                <c:pt idx="100">
                  <c:v>16567.689999999999</c:v>
                </c:pt>
                <c:pt idx="101">
                  <c:v>16894.400000000001</c:v>
                </c:pt>
                <c:pt idx="102">
                  <c:v>18365.099999999999</c:v>
                </c:pt>
                <c:pt idx="103">
                  <c:v>18378.16</c:v>
                </c:pt>
                <c:pt idx="104">
                  <c:v>23510.49</c:v>
                </c:pt>
                <c:pt idx="105">
                  <c:v>36988.49</c:v>
                </c:pt>
                <c:pt idx="106">
                  <c:v>54060.1</c:v>
                </c:pt>
                <c:pt idx="107">
                  <c:v>20124.22</c:v>
                </c:pt>
                <c:pt idx="108">
                  <c:v>20113.03</c:v>
                </c:pt>
                <c:pt idx="109">
                  <c:v>21140.07</c:v>
                </c:pt>
                <c:pt idx="110">
                  <c:v>22366.880000000001</c:v>
                </c:pt>
                <c:pt idx="111">
                  <c:v>22107.7</c:v>
                </c:pt>
                <c:pt idx="112">
                  <c:v>28952.86</c:v>
                </c:pt>
                <c:pt idx="113">
                  <c:v>57592.12</c:v>
                </c:pt>
                <c:pt idx="114">
                  <c:v>34684.21</c:v>
                </c:pt>
                <c:pt idx="115">
                  <c:v>16976.189999999999</c:v>
                </c:pt>
                <c:pt idx="116">
                  <c:v>16347.6</c:v>
                </c:pt>
                <c:pt idx="117">
                  <c:v>17147.439999999999</c:v>
                </c:pt>
                <c:pt idx="118">
                  <c:v>18164.2</c:v>
                </c:pt>
                <c:pt idx="119">
                  <c:v>18517.79</c:v>
                </c:pt>
                <c:pt idx="120">
                  <c:v>16963.55</c:v>
                </c:pt>
                <c:pt idx="121">
                  <c:v>16065.49</c:v>
                </c:pt>
                <c:pt idx="122">
                  <c:v>17666</c:v>
                </c:pt>
                <c:pt idx="123">
                  <c:v>17558.82</c:v>
                </c:pt>
                <c:pt idx="124">
                  <c:v>16633.41</c:v>
                </c:pt>
                <c:pt idx="125">
                  <c:v>15722.82</c:v>
                </c:pt>
                <c:pt idx="126">
                  <c:v>17823.37</c:v>
                </c:pt>
                <c:pt idx="127">
                  <c:v>16566.18</c:v>
                </c:pt>
                <c:pt idx="128">
                  <c:v>16348.06</c:v>
                </c:pt>
                <c:pt idx="129">
                  <c:v>15731.18</c:v>
                </c:pt>
                <c:pt idx="130">
                  <c:v>16628.310000000001</c:v>
                </c:pt>
                <c:pt idx="131">
                  <c:v>16119.92</c:v>
                </c:pt>
                <c:pt idx="132">
                  <c:v>17330.7</c:v>
                </c:pt>
                <c:pt idx="133">
                  <c:v>16286.4</c:v>
                </c:pt>
                <c:pt idx="134">
                  <c:v>16680.240000000002</c:v>
                </c:pt>
                <c:pt idx="135">
                  <c:v>18322.37</c:v>
                </c:pt>
                <c:pt idx="136">
                  <c:v>19616.22</c:v>
                </c:pt>
                <c:pt idx="137">
                  <c:v>19251.5</c:v>
                </c:pt>
                <c:pt idx="138">
                  <c:v>18947.810000000001</c:v>
                </c:pt>
                <c:pt idx="139">
                  <c:v>21904.47</c:v>
                </c:pt>
                <c:pt idx="140">
                  <c:v>22764.01</c:v>
                </c:pt>
                <c:pt idx="141">
                  <c:v>24185.27</c:v>
                </c:pt>
                <c:pt idx="142">
                  <c:v>27390.81</c:v>
                </c:pt>
              </c:numCache>
            </c:numRef>
          </c:val>
          <c:smooth val="0"/>
          <c:extLst>
            <c:ext xmlns:c16="http://schemas.microsoft.com/office/drawing/2014/chart" uri="{C3380CC4-5D6E-409C-BE32-E72D297353CC}">
              <c16:uniqueId val="{00000000-4929-4E4B-AD68-8DB8C0D95925}"/>
            </c:ext>
          </c:extLst>
        </c:ser>
        <c:ser>
          <c:idx val="1"/>
          <c:order val="1"/>
          <c:tx>
            <c:strRef>
              <c:f>'Exp smotng'!$C$1</c:f>
              <c:strCache>
                <c:ptCount val="1"/>
                <c:pt idx="0">
                  <c:v>Exponential Smoothing alpha = 0.5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'Exp smotng'!$A$2:$A$144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'Exp smotng'!$C$2:$C$144</c:f>
              <c:numCache>
                <c:formatCode>General</c:formatCode>
                <c:ptCount val="143"/>
                <c:pt idx="0">
                  <c:v>24924.5</c:v>
                </c:pt>
                <c:pt idx="1">
                  <c:v>24924.5</c:v>
                </c:pt>
                <c:pt idx="2">
                  <c:v>35481.994999999995</c:v>
                </c:pt>
                <c:pt idx="3">
                  <c:v>38538.772499999999</c:v>
                </c:pt>
                <c:pt idx="4">
                  <c:v>28971.15625</c:v>
                </c:pt>
                <c:pt idx="5">
                  <c:v>25399.528125000001</c:v>
                </c:pt>
                <c:pt idx="6">
                  <c:v>23221.459062499998</c:v>
                </c:pt>
                <c:pt idx="7">
                  <c:v>22679.049531249999</c:v>
                </c:pt>
                <c:pt idx="8">
                  <c:v>24454.129765624999</c:v>
                </c:pt>
                <c:pt idx="9">
                  <c:v>40856.279882812501</c:v>
                </c:pt>
                <c:pt idx="10">
                  <c:v>41908.594941406249</c:v>
                </c:pt>
                <c:pt idx="11">
                  <c:v>29752.777470703124</c:v>
                </c:pt>
                <c:pt idx="12">
                  <c:v>22949.063735351563</c:v>
                </c:pt>
                <c:pt idx="13">
                  <c:v>19752.086867675782</c:v>
                </c:pt>
                <c:pt idx="14">
                  <c:v>18583.013433837892</c:v>
                </c:pt>
                <c:pt idx="15">
                  <c:v>18754.876716918945</c:v>
                </c:pt>
                <c:pt idx="16">
                  <c:v>16763.958358459473</c:v>
                </c:pt>
                <c:pt idx="17">
                  <c:v>16172.194179229737</c:v>
                </c:pt>
                <c:pt idx="18">
                  <c:v>16865.14208961487</c:v>
                </c:pt>
                <c:pt idx="19">
                  <c:v>16751.381044807436</c:v>
                </c:pt>
                <c:pt idx="20">
                  <c:v>16483.82552240372</c:v>
                </c:pt>
                <c:pt idx="21">
                  <c:v>16406.272761201861</c:v>
                </c:pt>
                <c:pt idx="22">
                  <c:v>16369.70638060093</c:v>
                </c:pt>
                <c:pt idx="23">
                  <c:v>17029.233190300463</c:v>
                </c:pt>
                <c:pt idx="24">
                  <c:v>17090.036595150232</c:v>
                </c:pt>
                <c:pt idx="25">
                  <c:v>16225.243297575116</c:v>
                </c:pt>
                <c:pt idx="26">
                  <c:v>15803.531648787557</c:v>
                </c:pt>
                <c:pt idx="27">
                  <c:v>16655.970824393778</c:v>
                </c:pt>
                <c:pt idx="28">
                  <c:v>16096.18541219689</c:v>
                </c:pt>
                <c:pt idx="29">
                  <c:v>15918.157706098445</c:v>
                </c:pt>
                <c:pt idx="30">
                  <c:v>15856.013853049222</c:v>
                </c:pt>
                <c:pt idx="31">
                  <c:v>16048.896926524612</c:v>
                </c:pt>
                <c:pt idx="32">
                  <c:v>17121.818463262309</c:v>
                </c:pt>
                <c:pt idx="33">
                  <c:v>18238.024231631156</c:v>
                </c:pt>
                <c:pt idx="34">
                  <c:v>18180.272115815576</c:v>
                </c:pt>
                <c:pt idx="35">
                  <c:v>19137.231057907789</c:v>
                </c:pt>
                <c:pt idx="36">
                  <c:v>21262.630528953894</c:v>
                </c:pt>
                <c:pt idx="37">
                  <c:v>24120.485264476949</c:v>
                </c:pt>
                <c:pt idx="38">
                  <c:v>24831.762632238475</c:v>
                </c:pt>
                <c:pt idx="39">
                  <c:v>31736.346316119238</c:v>
                </c:pt>
                <c:pt idx="40">
                  <c:v>32987.613158059619</c:v>
                </c:pt>
                <c:pt idx="41">
                  <c:v>26268.501579029809</c:v>
                </c:pt>
                <c:pt idx="42">
                  <c:v>22910.670789514905</c:v>
                </c:pt>
                <c:pt idx="43">
                  <c:v>20865.480394757455</c:v>
                </c:pt>
                <c:pt idx="44">
                  <c:v>21691.520197378726</c:v>
                </c:pt>
                <c:pt idx="45">
                  <c:v>26594.585098689364</c:v>
                </c:pt>
                <c:pt idx="46">
                  <c:v>35753.722549344682</c:v>
                </c:pt>
                <c:pt idx="47">
                  <c:v>45842.476274672343</c:v>
                </c:pt>
                <c:pt idx="48">
                  <c:v>32483.528137336172</c:v>
                </c:pt>
                <c:pt idx="49">
                  <c:v>24233.884068668085</c:v>
                </c:pt>
                <c:pt idx="50">
                  <c:v>20796.792034334045</c:v>
                </c:pt>
                <c:pt idx="51">
                  <c:v>19069.131017167023</c:v>
                </c:pt>
                <c:pt idx="52">
                  <c:v>18765.155508583513</c:v>
                </c:pt>
                <c:pt idx="53">
                  <c:v>20215.457754291754</c:v>
                </c:pt>
                <c:pt idx="54">
                  <c:v>29051.313877145876</c:v>
                </c:pt>
                <c:pt idx="55">
                  <c:v>37948.591938572936</c:v>
                </c:pt>
                <c:pt idx="56">
                  <c:v>28656.210969286469</c:v>
                </c:pt>
                <c:pt idx="57">
                  <c:v>24491.910484643235</c:v>
                </c:pt>
                <c:pt idx="58">
                  <c:v>22886.15524232162</c:v>
                </c:pt>
                <c:pt idx="59">
                  <c:v>21610.192621160808</c:v>
                </c:pt>
                <c:pt idx="60">
                  <c:v>21245.646310580403</c:v>
                </c:pt>
                <c:pt idx="61">
                  <c:v>20821.868155290202</c:v>
                </c:pt>
                <c:pt idx="62">
                  <c:v>22347.829077645103</c:v>
                </c:pt>
                <c:pt idx="63">
                  <c:v>25555.099538822549</c:v>
                </c:pt>
                <c:pt idx="64">
                  <c:v>38032.70476941127</c:v>
                </c:pt>
                <c:pt idx="65">
                  <c:v>39772.547384705635</c:v>
                </c:pt>
                <c:pt idx="66">
                  <c:v>29955.368692352815</c:v>
                </c:pt>
                <c:pt idx="67">
                  <c:v>23595.259346176408</c:v>
                </c:pt>
                <c:pt idx="68">
                  <c:v>19366.019673088205</c:v>
                </c:pt>
                <c:pt idx="69">
                  <c:v>17553.809836544104</c:v>
                </c:pt>
                <c:pt idx="70">
                  <c:v>16993.979918272053</c:v>
                </c:pt>
                <c:pt idx="71">
                  <c:v>16438.749959136025</c:v>
                </c:pt>
                <c:pt idx="72">
                  <c:v>15708.419979568012</c:v>
                </c:pt>
                <c:pt idx="73">
                  <c:v>15695.614989784006</c:v>
                </c:pt>
                <c:pt idx="74">
                  <c:v>15529.557494892004</c:v>
                </c:pt>
                <c:pt idx="75">
                  <c:v>15839.213747446003</c:v>
                </c:pt>
                <c:pt idx="76">
                  <c:v>15747.031873723001</c:v>
                </c:pt>
                <c:pt idx="77">
                  <c:v>15756.815936861502</c:v>
                </c:pt>
                <c:pt idx="78">
                  <c:v>15839.612968430751</c:v>
                </c:pt>
                <c:pt idx="79">
                  <c:v>15567.581484215374</c:v>
                </c:pt>
                <c:pt idx="80">
                  <c:v>15053.685742107687</c:v>
                </c:pt>
                <c:pt idx="81">
                  <c:v>14871.462871053844</c:v>
                </c:pt>
                <c:pt idx="82">
                  <c:v>14704.416435526922</c:v>
                </c:pt>
                <c:pt idx="83">
                  <c:v>14990.84321776346</c:v>
                </c:pt>
                <c:pt idx="84">
                  <c:v>16368.76160888173</c:v>
                </c:pt>
                <c:pt idx="85">
                  <c:v>17452.120804440863</c:v>
                </c:pt>
                <c:pt idx="86">
                  <c:v>17655.710402220429</c:v>
                </c:pt>
                <c:pt idx="87">
                  <c:v>17996.695201110215</c:v>
                </c:pt>
                <c:pt idx="88">
                  <c:v>19397.137600555106</c:v>
                </c:pt>
                <c:pt idx="89">
                  <c:v>21237.343800277551</c:v>
                </c:pt>
                <c:pt idx="90">
                  <c:v>22294.571900138777</c:v>
                </c:pt>
                <c:pt idx="91">
                  <c:v>26937.235950069389</c:v>
                </c:pt>
                <c:pt idx="92">
                  <c:v>33411.647975034692</c:v>
                </c:pt>
                <c:pt idx="93">
                  <c:v>26050.593987517346</c:v>
                </c:pt>
                <c:pt idx="94">
                  <c:v>22550.626993758673</c:v>
                </c:pt>
                <c:pt idx="95">
                  <c:v>21730.938496879338</c:v>
                </c:pt>
                <c:pt idx="96">
                  <c:v>23512.214248439668</c:v>
                </c:pt>
                <c:pt idx="97">
                  <c:v>28409.067124219833</c:v>
                </c:pt>
                <c:pt idx="98">
                  <c:v>37091.048562109914</c:v>
                </c:pt>
                <c:pt idx="99">
                  <c:v>41939.899281054953</c:v>
                </c:pt>
                <c:pt idx="100">
                  <c:v>32645.389640527479</c:v>
                </c:pt>
                <c:pt idx="101">
                  <c:v>24606.539820263737</c:v>
                </c:pt>
                <c:pt idx="102">
                  <c:v>20750.469910131869</c:v>
                </c:pt>
                <c:pt idx="103">
                  <c:v>19557.784955065934</c:v>
                </c:pt>
                <c:pt idx="104">
                  <c:v>18967.972477532967</c:v>
                </c:pt>
                <c:pt idx="105">
                  <c:v>21239.231238766486</c:v>
                </c:pt>
                <c:pt idx="106">
                  <c:v>29113.860619383242</c:v>
                </c:pt>
                <c:pt idx="107">
                  <c:v>41586.980309691622</c:v>
                </c:pt>
                <c:pt idx="108">
                  <c:v>30855.600154845812</c:v>
                </c:pt>
                <c:pt idx="109">
                  <c:v>25484.315077422907</c:v>
                </c:pt>
                <c:pt idx="110">
                  <c:v>23312.192538711453</c:v>
                </c:pt>
                <c:pt idx="111">
                  <c:v>22839.536269355725</c:v>
                </c:pt>
                <c:pt idx="112">
                  <c:v>22473.618134677861</c:v>
                </c:pt>
                <c:pt idx="113">
                  <c:v>25713.239067338931</c:v>
                </c:pt>
                <c:pt idx="114">
                  <c:v>41652.679533669463</c:v>
                </c:pt>
                <c:pt idx="115">
                  <c:v>38168.444766834727</c:v>
                </c:pt>
                <c:pt idx="116">
                  <c:v>27572.317383417365</c:v>
                </c:pt>
                <c:pt idx="117">
                  <c:v>21959.958691708682</c:v>
                </c:pt>
                <c:pt idx="118">
                  <c:v>19553.69934585434</c:v>
                </c:pt>
                <c:pt idx="119">
                  <c:v>18858.94967292717</c:v>
                </c:pt>
                <c:pt idx="120">
                  <c:v>18688.369836463586</c:v>
                </c:pt>
                <c:pt idx="121">
                  <c:v>17825.959918231791</c:v>
                </c:pt>
                <c:pt idx="122">
                  <c:v>16945.724959115894</c:v>
                </c:pt>
                <c:pt idx="123">
                  <c:v>17305.862479557945</c:v>
                </c:pt>
                <c:pt idx="124">
                  <c:v>17432.341239778973</c:v>
                </c:pt>
                <c:pt idx="125">
                  <c:v>17032.875619889484</c:v>
                </c:pt>
                <c:pt idx="126">
                  <c:v>16377.847809944742</c:v>
                </c:pt>
                <c:pt idx="127">
                  <c:v>17100.608904972371</c:v>
                </c:pt>
                <c:pt idx="128">
                  <c:v>16833.394452486187</c:v>
                </c:pt>
                <c:pt idx="129">
                  <c:v>16590.727226243092</c:v>
                </c:pt>
                <c:pt idx="130">
                  <c:v>16160.953613121546</c:v>
                </c:pt>
                <c:pt idx="131">
                  <c:v>16394.631806560774</c:v>
                </c:pt>
                <c:pt idx="132">
                  <c:v>16257.275903280388</c:v>
                </c:pt>
                <c:pt idx="133">
                  <c:v>16793.987951640192</c:v>
                </c:pt>
                <c:pt idx="134">
                  <c:v>16540.193975820097</c:v>
                </c:pt>
                <c:pt idx="135">
                  <c:v>16610.216987910047</c:v>
                </c:pt>
                <c:pt idx="136">
                  <c:v>17466.293493955025</c:v>
                </c:pt>
                <c:pt idx="137">
                  <c:v>18541.256746977513</c:v>
                </c:pt>
                <c:pt idx="138">
                  <c:v>18896.378373488755</c:v>
                </c:pt>
                <c:pt idx="139">
                  <c:v>18922.094186744376</c:v>
                </c:pt>
                <c:pt idx="140">
                  <c:v>20413.282093372189</c:v>
                </c:pt>
                <c:pt idx="141">
                  <c:v>21588.646046686095</c:v>
                </c:pt>
                <c:pt idx="142">
                  <c:v>22886.958023343046</c:v>
                </c:pt>
              </c:numCache>
            </c:numRef>
          </c:val>
          <c:smooth val="0"/>
          <c:extLst>
            <c:ext xmlns:c16="http://schemas.microsoft.com/office/drawing/2014/chart" uri="{C3380CC4-5D6E-409C-BE32-E72D297353CC}">
              <c16:uniqueId val="{00000001-4929-4E4B-AD68-8DB8C0D95925}"/>
            </c:ext>
          </c:extLst>
        </c:ser>
        <c:dLbls>
          <c:showLegendKey val="0"/>
          <c:showVal val="0"/>
          <c:showCatName val="0"/>
          <c:showSerName val="0"/>
          <c:showPercent val="0"/>
          <c:showBubbleSize val="0"/>
        </c:dLbls>
        <c:marker val="1"/>
        <c:smooth val="0"/>
        <c:axId val="168698320"/>
        <c:axId val="1293858464"/>
      </c:lineChart>
      <c:dateAx>
        <c:axId val="16869832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58464"/>
        <c:crosses val="autoZero"/>
        <c:auto val="1"/>
        <c:lblOffset val="100"/>
        <c:baseTimeUnit val="days"/>
      </c:dateAx>
      <c:valAx>
        <c:axId val="129385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98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'Linear '!$B$1</c:f>
              <c:strCache>
                <c:ptCount val="1"/>
                <c:pt idx="0">
                  <c:v>Weekly_Sales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'Linear '!$B$2:$B$144</c:f>
              <c:numCache>
                <c:formatCode>General</c:formatCode>
                <c:ptCount val="143"/>
                <c:pt idx="0">
                  <c:v>24924.5</c:v>
                </c:pt>
                <c:pt idx="1">
                  <c:v>46039.49</c:v>
                </c:pt>
                <c:pt idx="2">
                  <c:v>41595.550000000003</c:v>
                </c:pt>
                <c:pt idx="3">
                  <c:v>19403.54</c:v>
                </c:pt>
                <c:pt idx="4">
                  <c:v>21827.9</c:v>
                </c:pt>
                <c:pt idx="5">
                  <c:v>21043.39</c:v>
                </c:pt>
                <c:pt idx="6">
                  <c:v>22136.639999999999</c:v>
                </c:pt>
                <c:pt idx="7">
                  <c:v>26229.21</c:v>
                </c:pt>
                <c:pt idx="8">
                  <c:v>57258.43</c:v>
                </c:pt>
                <c:pt idx="9">
                  <c:v>42960.91</c:v>
                </c:pt>
                <c:pt idx="10">
                  <c:v>17596.96</c:v>
                </c:pt>
                <c:pt idx="11">
                  <c:v>16145.35</c:v>
                </c:pt>
                <c:pt idx="12">
                  <c:v>16555.11</c:v>
                </c:pt>
                <c:pt idx="13">
                  <c:v>17413.939999999999</c:v>
                </c:pt>
                <c:pt idx="14">
                  <c:v>18926.740000000002</c:v>
                </c:pt>
                <c:pt idx="15">
                  <c:v>14773.04</c:v>
                </c:pt>
                <c:pt idx="16">
                  <c:v>15580.43</c:v>
                </c:pt>
                <c:pt idx="17">
                  <c:v>17558.09</c:v>
                </c:pt>
                <c:pt idx="18">
                  <c:v>16637.62</c:v>
                </c:pt>
                <c:pt idx="19">
                  <c:v>16216.27</c:v>
                </c:pt>
                <c:pt idx="20">
                  <c:v>16328.72</c:v>
                </c:pt>
                <c:pt idx="21">
                  <c:v>16333.14</c:v>
                </c:pt>
                <c:pt idx="22">
                  <c:v>17688.759999999998</c:v>
                </c:pt>
                <c:pt idx="23">
                  <c:v>17150.84</c:v>
                </c:pt>
                <c:pt idx="24">
                  <c:v>15360.45</c:v>
                </c:pt>
                <c:pt idx="25">
                  <c:v>15381.82</c:v>
                </c:pt>
                <c:pt idx="26">
                  <c:v>17508.41</c:v>
                </c:pt>
                <c:pt idx="27">
                  <c:v>15536.4</c:v>
                </c:pt>
                <c:pt idx="28">
                  <c:v>15740.13</c:v>
                </c:pt>
                <c:pt idx="29">
                  <c:v>15793.87</c:v>
                </c:pt>
                <c:pt idx="30">
                  <c:v>16241.78</c:v>
                </c:pt>
                <c:pt idx="31">
                  <c:v>18194.740000000002</c:v>
                </c:pt>
                <c:pt idx="32">
                  <c:v>19354.23</c:v>
                </c:pt>
                <c:pt idx="33">
                  <c:v>18122.52</c:v>
                </c:pt>
                <c:pt idx="34">
                  <c:v>20094.189999999999</c:v>
                </c:pt>
                <c:pt idx="35">
                  <c:v>23388.03</c:v>
                </c:pt>
                <c:pt idx="36">
                  <c:v>26978.34</c:v>
                </c:pt>
                <c:pt idx="37">
                  <c:v>25543.040000000001</c:v>
                </c:pt>
                <c:pt idx="38">
                  <c:v>38640.93</c:v>
                </c:pt>
                <c:pt idx="39">
                  <c:v>34238.879999999997</c:v>
                </c:pt>
                <c:pt idx="40">
                  <c:v>19549.39</c:v>
                </c:pt>
                <c:pt idx="41">
                  <c:v>19552.84</c:v>
                </c:pt>
                <c:pt idx="42">
                  <c:v>18820.29</c:v>
                </c:pt>
                <c:pt idx="43">
                  <c:v>22517.56</c:v>
                </c:pt>
                <c:pt idx="44">
                  <c:v>31497.65</c:v>
                </c:pt>
                <c:pt idx="45">
                  <c:v>44912.86</c:v>
                </c:pt>
                <c:pt idx="46">
                  <c:v>55931.23</c:v>
                </c:pt>
                <c:pt idx="47">
                  <c:v>19124.580000000002</c:v>
                </c:pt>
                <c:pt idx="48">
                  <c:v>15984.24</c:v>
                </c:pt>
                <c:pt idx="49">
                  <c:v>17359.7</c:v>
                </c:pt>
                <c:pt idx="50">
                  <c:v>17341.47</c:v>
                </c:pt>
                <c:pt idx="51">
                  <c:v>18461.18</c:v>
                </c:pt>
                <c:pt idx="52">
                  <c:v>21665.759999999998</c:v>
                </c:pt>
                <c:pt idx="53">
                  <c:v>37887.17</c:v>
                </c:pt>
                <c:pt idx="54">
                  <c:v>46845.87</c:v>
                </c:pt>
                <c:pt idx="55">
                  <c:v>19363.830000000002</c:v>
                </c:pt>
                <c:pt idx="56">
                  <c:v>20327.61</c:v>
                </c:pt>
                <c:pt idx="57">
                  <c:v>21280.400000000001</c:v>
                </c:pt>
                <c:pt idx="58">
                  <c:v>20334.23</c:v>
                </c:pt>
                <c:pt idx="59">
                  <c:v>20881.099999999999</c:v>
                </c:pt>
                <c:pt idx="60">
                  <c:v>20398.09</c:v>
                </c:pt>
                <c:pt idx="61">
                  <c:v>23873.79</c:v>
                </c:pt>
                <c:pt idx="62">
                  <c:v>28762.37</c:v>
                </c:pt>
                <c:pt idx="63">
                  <c:v>50510.31</c:v>
                </c:pt>
                <c:pt idx="64">
                  <c:v>41512.39</c:v>
                </c:pt>
                <c:pt idx="65">
                  <c:v>20138.189999999999</c:v>
                </c:pt>
                <c:pt idx="66">
                  <c:v>17235.150000000001</c:v>
                </c:pt>
                <c:pt idx="67">
                  <c:v>15136.78</c:v>
                </c:pt>
                <c:pt idx="68">
                  <c:v>15741.6</c:v>
                </c:pt>
                <c:pt idx="69">
                  <c:v>16434.150000000001</c:v>
                </c:pt>
                <c:pt idx="70">
                  <c:v>15883.52</c:v>
                </c:pt>
                <c:pt idx="71">
                  <c:v>14978.09</c:v>
                </c:pt>
                <c:pt idx="72">
                  <c:v>15682.81</c:v>
                </c:pt>
                <c:pt idx="73">
                  <c:v>15363.5</c:v>
                </c:pt>
                <c:pt idx="74">
                  <c:v>16148.87</c:v>
                </c:pt>
                <c:pt idx="75">
                  <c:v>15654.85</c:v>
                </c:pt>
                <c:pt idx="76">
                  <c:v>15766.6</c:v>
                </c:pt>
                <c:pt idx="77">
                  <c:v>15922.41</c:v>
                </c:pt>
                <c:pt idx="78">
                  <c:v>15295.55</c:v>
                </c:pt>
                <c:pt idx="79">
                  <c:v>14539.79</c:v>
                </c:pt>
                <c:pt idx="80">
                  <c:v>14689.24</c:v>
                </c:pt>
                <c:pt idx="81">
                  <c:v>14537.37</c:v>
                </c:pt>
                <c:pt idx="82">
                  <c:v>15277.27</c:v>
                </c:pt>
                <c:pt idx="83">
                  <c:v>17746.68</c:v>
                </c:pt>
                <c:pt idx="84">
                  <c:v>18535.48</c:v>
                </c:pt>
                <c:pt idx="85">
                  <c:v>17859.3</c:v>
                </c:pt>
                <c:pt idx="86">
                  <c:v>18337.68</c:v>
                </c:pt>
                <c:pt idx="87">
                  <c:v>20797.580000000002</c:v>
                </c:pt>
                <c:pt idx="88">
                  <c:v>23077.55</c:v>
                </c:pt>
                <c:pt idx="89">
                  <c:v>23351.8</c:v>
                </c:pt>
                <c:pt idx="90">
                  <c:v>31579.9</c:v>
                </c:pt>
                <c:pt idx="91">
                  <c:v>39886.06</c:v>
                </c:pt>
                <c:pt idx="92">
                  <c:v>18689.54</c:v>
                </c:pt>
                <c:pt idx="93">
                  <c:v>19050.66</c:v>
                </c:pt>
                <c:pt idx="94">
                  <c:v>20911.25</c:v>
                </c:pt>
                <c:pt idx="95">
                  <c:v>25293.49</c:v>
                </c:pt>
                <c:pt idx="96">
                  <c:v>33305.919999999998</c:v>
                </c:pt>
                <c:pt idx="97">
                  <c:v>45773.03</c:v>
                </c:pt>
                <c:pt idx="98">
                  <c:v>46788.75</c:v>
                </c:pt>
                <c:pt idx="99">
                  <c:v>23350.880000000001</c:v>
                </c:pt>
                <c:pt idx="100">
                  <c:v>16567.689999999999</c:v>
                </c:pt>
                <c:pt idx="101">
                  <c:v>16894.400000000001</c:v>
                </c:pt>
                <c:pt idx="102">
                  <c:v>18365.099999999999</c:v>
                </c:pt>
                <c:pt idx="103">
                  <c:v>18378.16</c:v>
                </c:pt>
                <c:pt idx="104">
                  <c:v>23510.49</c:v>
                </c:pt>
                <c:pt idx="105">
                  <c:v>36988.49</c:v>
                </c:pt>
                <c:pt idx="106">
                  <c:v>54060.1</c:v>
                </c:pt>
                <c:pt idx="107">
                  <c:v>20124.22</c:v>
                </c:pt>
                <c:pt idx="108">
                  <c:v>20113.03</c:v>
                </c:pt>
                <c:pt idx="109">
                  <c:v>21140.07</c:v>
                </c:pt>
                <c:pt idx="110">
                  <c:v>22366.880000000001</c:v>
                </c:pt>
                <c:pt idx="111">
                  <c:v>22107.7</c:v>
                </c:pt>
                <c:pt idx="112">
                  <c:v>28952.86</c:v>
                </c:pt>
                <c:pt idx="113">
                  <c:v>57592.12</c:v>
                </c:pt>
                <c:pt idx="114">
                  <c:v>34684.21</c:v>
                </c:pt>
                <c:pt idx="115">
                  <c:v>16976.189999999999</c:v>
                </c:pt>
                <c:pt idx="116">
                  <c:v>16347.6</c:v>
                </c:pt>
                <c:pt idx="117">
                  <c:v>17147.439999999999</c:v>
                </c:pt>
                <c:pt idx="118">
                  <c:v>18164.2</c:v>
                </c:pt>
                <c:pt idx="119">
                  <c:v>18517.79</c:v>
                </c:pt>
                <c:pt idx="120">
                  <c:v>16963.55</c:v>
                </c:pt>
                <c:pt idx="121">
                  <c:v>16065.49</c:v>
                </c:pt>
                <c:pt idx="122">
                  <c:v>17666</c:v>
                </c:pt>
                <c:pt idx="123">
                  <c:v>17558.82</c:v>
                </c:pt>
                <c:pt idx="124">
                  <c:v>16633.41</c:v>
                </c:pt>
                <c:pt idx="125">
                  <c:v>15722.82</c:v>
                </c:pt>
                <c:pt idx="126">
                  <c:v>17823.37</c:v>
                </c:pt>
                <c:pt idx="127">
                  <c:v>16566.18</c:v>
                </c:pt>
                <c:pt idx="128">
                  <c:v>16348.06</c:v>
                </c:pt>
                <c:pt idx="129">
                  <c:v>15731.18</c:v>
                </c:pt>
                <c:pt idx="130">
                  <c:v>16628.310000000001</c:v>
                </c:pt>
                <c:pt idx="131">
                  <c:v>16119.92</c:v>
                </c:pt>
                <c:pt idx="132">
                  <c:v>17330.7</c:v>
                </c:pt>
                <c:pt idx="133">
                  <c:v>16286.4</c:v>
                </c:pt>
                <c:pt idx="134">
                  <c:v>16680.240000000002</c:v>
                </c:pt>
                <c:pt idx="135">
                  <c:v>18322.37</c:v>
                </c:pt>
                <c:pt idx="136">
                  <c:v>19616.22</c:v>
                </c:pt>
                <c:pt idx="137">
                  <c:v>19251.5</c:v>
                </c:pt>
                <c:pt idx="138">
                  <c:v>18947.810000000001</c:v>
                </c:pt>
                <c:pt idx="139">
                  <c:v>21904.47</c:v>
                </c:pt>
                <c:pt idx="140">
                  <c:v>22764.01</c:v>
                </c:pt>
                <c:pt idx="141">
                  <c:v>24185.27</c:v>
                </c:pt>
                <c:pt idx="142">
                  <c:v>27390.81</c:v>
                </c:pt>
              </c:numCache>
            </c:numRef>
          </c:val>
          <c:smooth val="0"/>
          <c:extLst>
            <c:ext xmlns:c16="http://schemas.microsoft.com/office/drawing/2014/chart" uri="{C3380CC4-5D6E-409C-BE32-E72D297353CC}">
              <c16:uniqueId val="{00000000-6D80-4E98-9B4E-B17666B8F59F}"/>
            </c:ext>
          </c:extLst>
        </c:ser>
        <c:ser>
          <c:idx val="1"/>
          <c:order val="1"/>
          <c:tx>
            <c:strRef>
              <c:f>'Linear '!$H$1</c:f>
              <c:strCache>
                <c:ptCount val="1"/>
                <c:pt idx="0">
                  <c:v>Forecast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'Linear '!$A$2:$A$144</c:f>
              <c:numCache>
                <c:formatCode>m/d/yyyy</c:formatCode>
                <c:ptCount val="143"/>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numCache>
            </c:numRef>
          </c:cat>
          <c:val>
            <c:numRef>
              <c:f>'Linear '!$H$2:$H$144</c:f>
              <c:numCache>
                <c:formatCode>General</c:formatCode>
                <c:ptCount val="143"/>
                <c:pt idx="0">
                  <c:v>30841.085641651393</c:v>
                </c:pt>
                <c:pt idx="1">
                  <c:v>31856.682481086784</c:v>
                </c:pt>
                <c:pt idx="2">
                  <c:v>31556.835282558532</c:v>
                </c:pt>
                <c:pt idx="3">
                  <c:v>29402.310450827361</c:v>
                </c:pt>
                <c:pt idx="4">
                  <c:v>29537.235162333367</c:v>
                </c:pt>
                <c:pt idx="5">
                  <c:v>25853.203169881312</c:v>
                </c:pt>
                <c:pt idx="6">
                  <c:v>26985.709765252766</c:v>
                </c:pt>
                <c:pt idx="7">
                  <c:v>28032.304173977212</c:v>
                </c:pt>
                <c:pt idx="8">
                  <c:v>23924.920380525517</c:v>
                </c:pt>
                <c:pt idx="9">
                  <c:v>22797.725981946329</c:v>
                </c:pt>
                <c:pt idx="10">
                  <c:v>22693.072602205451</c:v>
                </c:pt>
                <c:pt idx="11">
                  <c:v>23163.442809742559</c:v>
                </c:pt>
                <c:pt idx="12">
                  <c:v>22287.657735680994</c:v>
                </c:pt>
                <c:pt idx="13">
                  <c:v>20658.409204011223</c:v>
                </c:pt>
                <c:pt idx="14">
                  <c:v>19945.502872231889</c:v>
                </c:pt>
                <c:pt idx="15">
                  <c:v>19367.415875334817</c:v>
                </c:pt>
                <c:pt idx="16">
                  <c:v>17958.044108130016</c:v>
                </c:pt>
                <c:pt idx="17">
                  <c:v>17810.874164188986</c:v>
                </c:pt>
                <c:pt idx="18">
                  <c:v>17856.89935164099</c:v>
                </c:pt>
                <c:pt idx="19">
                  <c:v>16592.365827990885</c:v>
                </c:pt>
                <c:pt idx="20">
                  <c:v>16533.719246162018</c:v>
                </c:pt>
                <c:pt idx="21">
                  <c:v>17654.398786933136</c:v>
                </c:pt>
                <c:pt idx="22">
                  <c:v>17753.869537237377</c:v>
                </c:pt>
                <c:pt idx="23">
                  <c:v>16841.058000818513</c:v>
                </c:pt>
                <c:pt idx="24">
                  <c:v>16756.026323014055</c:v>
                </c:pt>
                <c:pt idx="25">
                  <c:v>17311.261813562931</c:v>
                </c:pt>
                <c:pt idx="26">
                  <c:v>15534.143257211446</c:v>
                </c:pt>
                <c:pt idx="27">
                  <c:v>15684.942897423882</c:v>
                </c:pt>
                <c:pt idx="28">
                  <c:v>15759.885338762522</c:v>
                </c:pt>
                <c:pt idx="29">
                  <c:v>16169.013119656676</c:v>
                </c:pt>
                <c:pt idx="30">
                  <c:v>17438.131863373608</c:v>
                </c:pt>
                <c:pt idx="31">
                  <c:v>18038.268851710811</c:v>
                </c:pt>
                <c:pt idx="32">
                  <c:v>17146.303638752768</c:v>
                </c:pt>
                <c:pt idx="33">
                  <c:v>17596.992046544136</c:v>
                </c:pt>
                <c:pt idx="34">
                  <c:v>20656.42797563882</c:v>
                </c:pt>
                <c:pt idx="35">
                  <c:v>23342.296999438688</c:v>
                </c:pt>
                <c:pt idx="36">
                  <c:v>22390.220659881932</c:v>
                </c:pt>
                <c:pt idx="37">
                  <c:v>21510.42900860052</c:v>
                </c:pt>
                <c:pt idx="38">
                  <c:v>21572.732428110132</c:v>
                </c:pt>
                <c:pt idx="39">
                  <c:v>25151.991261666884</c:v>
                </c:pt>
                <c:pt idx="40">
                  <c:v>24920.621666540319</c:v>
                </c:pt>
                <c:pt idx="41">
                  <c:v>27696.297123186276</c:v>
                </c:pt>
                <c:pt idx="42">
                  <c:v>23073.701922833658</c:v>
                </c:pt>
                <c:pt idx="43">
                  <c:v>28304.811753828115</c:v>
                </c:pt>
                <c:pt idx="44">
                  <c:v>29464.726666118237</c:v>
                </c:pt>
                <c:pt idx="45">
                  <c:v>28334.645926356723</c:v>
                </c:pt>
                <c:pt idx="46">
                  <c:v>27532.775348857576</c:v>
                </c:pt>
                <c:pt idx="47">
                  <c:v>28689.745768800287</c:v>
                </c:pt>
                <c:pt idx="48">
                  <c:v>28848.27678710645</c:v>
                </c:pt>
                <c:pt idx="49">
                  <c:v>33129.248865504203</c:v>
                </c:pt>
                <c:pt idx="50">
                  <c:v>30326.139703074172</c:v>
                </c:pt>
                <c:pt idx="51">
                  <c:v>30403.310160255518</c:v>
                </c:pt>
                <c:pt idx="52">
                  <c:v>30907.04881879293</c:v>
                </c:pt>
                <c:pt idx="53">
                  <c:v>32702.8326303637</c:v>
                </c:pt>
                <c:pt idx="54">
                  <c:v>26010.546974317302</c:v>
                </c:pt>
                <c:pt idx="55">
                  <c:v>24213.732050427076</c:v>
                </c:pt>
                <c:pt idx="56">
                  <c:v>25642.663968300229</c:v>
                </c:pt>
                <c:pt idx="57">
                  <c:v>27893.627701696783</c:v>
                </c:pt>
                <c:pt idx="58">
                  <c:v>24894.006833676409</c:v>
                </c:pt>
                <c:pt idx="59">
                  <c:v>22491.607430678305</c:v>
                </c:pt>
                <c:pt idx="60">
                  <c:v>26057.200625846919</c:v>
                </c:pt>
                <c:pt idx="61">
                  <c:v>23330.304343965356</c:v>
                </c:pt>
                <c:pt idx="62">
                  <c:v>22373.105112757949</c:v>
                </c:pt>
                <c:pt idx="63">
                  <c:v>21900.361775553727</c:v>
                </c:pt>
                <c:pt idx="64">
                  <c:v>22230.291932729502</c:v>
                </c:pt>
                <c:pt idx="65">
                  <c:v>24834.400058163286</c:v>
                </c:pt>
                <c:pt idx="66">
                  <c:v>21173.278724682292</c:v>
                </c:pt>
                <c:pt idx="67">
                  <c:v>23831.4368286713</c:v>
                </c:pt>
                <c:pt idx="68">
                  <c:v>20303.695556163802</c:v>
                </c:pt>
                <c:pt idx="69">
                  <c:v>18419.433811515166</c:v>
                </c:pt>
                <c:pt idx="70">
                  <c:v>18294.252472952488</c:v>
                </c:pt>
                <c:pt idx="71">
                  <c:v>17188.803818588283</c:v>
                </c:pt>
                <c:pt idx="72">
                  <c:v>18070.704478146705</c:v>
                </c:pt>
                <c:pt idx="73">
                  <c:v>17784.259350551551</c:v>
                </c:pt>
                <c:pt idx="74">
                  <c:v>17633.203248813021</c:v>
                </c:pt>
                <c:pt idx="75">
                  <c:v>16872.281055627362</c:v>
                </c:pt>
                <c:pt idx="76">
                  <c:v>17901.149329001062</c:v>
                </c:pt>
                <c:pt idx="77">
                  <c:v>17596.037894084344</c:v>
                </c:pt>
                <c:pt idx="78">
                  <c:v>16002.786265987701</c:v>
                </c:pt>
                <c:pt idx="79">
                  <c:v>16235.596165613822</c:v>
                </c:pt>
                <c:pt idx="80">
                  <c:v>16391.563768356817</c:v>
                </c:pt>
                <c:pt idx="81">
                  <c:v>17007.237653450269</c:v>
                </c:pt>
                <c:pt idx="82">
                  <c:v>17067.260385294103</c:v>
                </c:pt>
                <c:pt idx="83">
                  <c:v>20795.063597107062</c:v>
                </c:pt>
                <c:pt idx="84">
                  <c:v>19684.916876302661</c:v>
                </c:pt>
                <c:pt idx="85">
                  <c:v>20989.162457002327</c:v>
                </c:pt>
                <c:pt idx="86">
                  <c:v>19555.037098485358</c:v>
                </c:pt>
                <c:pt idx="87">
                  <c:v>22755.077372730491</c:v>
                </c:pt>
                <c:pt idx="88">
                  <c:v>21946.935801929842</c:v>
                </c:pt>
                <c:pt idx="89">
                  <c:v>24729.019109388333</c:v>
                </c:pt>
                <c:pt idx="90">
                  <c:v>23814.213110121826</c:v>
                </c:pt>
                <c:pt idx="91">
                  <c:v>27608.850462811428</c:v>
                </c:pt>
                <c:pt idx="92">
                  <c:v>26196.455863497111</c:v>
                </c:pt>
                <c:pt idx="93">
                  <c:v>25180.137284717563</c:v>
                </c:pt>
                <c:pt idx="94">
                  <c:v>25571.703070220785</c:v>
                </c:pt>
                <c:pt idx="95">
                  <c:v>29433.924754332314</c:v>
                </c:pt>
                <c:pt idx="96">
                  <c:v>31076.617048334105</c:v>
                </c:pt>
                <c:pt idx="97">
                  <c:v>28533.464300139938</c:v>
                </c:pt>
                <c:pt idx="98">
                  <c:v>29692.012928629476</c:v>
                </c:pt>
                <c:pt idx="99">
                  <c:v>30637.624074868716</c:v>
                </c:pt>
                <c:pt idx="100">
                  <c:v>28568.238534683402</c:v>
                </c:pt>
                <c:pt idx="101">
                  <c:v>28882.199892318065</c:v>
                </c:pt>
                <c:pt idx="102">
                  <c:v>27045.320366544678</c:v>
                </c:pt>
                <c:pt idx="103">
                  <c:v>27030.702539569851</c:v>
                </c:pt>
                <c:pt idx="104">
                  <c:v>26374.141581348253</c:v>
                </c:pt>
                <c:pt idx="105">
                  <c:v>29059.545309299487</c:v>
                </c:pt>
                <c:pt idx="106">
                  <c:v>30322.027652211651</c:v>
                </c:pt>
                <c:pt idx="107">
                  <c:v>26437.773357830796</c:v>
                </c:pt>
                <c:pt idx="108">
                  <c:v>25322.391882140422</c:v>
                </c:pt>
                <c:pt idx="109">
                  <c:v>26116.375228662277</c:v>
                </c:pt>
                <c:pt idx="110">
                  <c:v>24231.396808227513</c:v>
                </c:pt>
                <c:pt idx="111">
                  <c:v>23914.851793199407</c:v>
                </c:pt>
                <c:pt idx="112">
                  <c:v>23442.849941821383</c:v>
                </c:pt>
                <c:pt idx="113">
                  <c:v>22237.56870522532</c:v>
                </c:pt>
                <c:pt idx="114">
                  <c:v>22691.888783113936</c:v>
                </c:pt>
                <c:pt idx="115">
                  <c:v>23440.619475956701</c:v>
                </c:pt>
                <c:pt idx="116">
                  <c:v>23197.985190551441</c:v>
                </c:pt>
                <c:pt idx="117">
                  <c:v>20348.789491568776</c:v>
                </c:pt>
                <c:pt idx="118">
                  <c:v>20855.2760064703</c:v>
                </c:pt>
                <c:pt idx="119">
                  <c:v>21915.008196340212</c:v>
                </c:pt>
                <c:pt idx="120">
                  <c:v>19532.235796651141</c:v>
                </c:pt>
                <c:pt idx="121">
                  <c:v>19205.372677061539</c:v>
                </c:pt>
                <c:pt idx="122">
                  <c:v>19020.102464696814</c:v>
                </c:pt>
                <c:pt idx="123">
                  <c:v>18588.984781022835</c:v>
                </c:pt>
                <c:pt idx="124">
                  <c:v>18842.699381065751</c:v>
                </c:pt>
                <c:pt idx="125">
                  <c:v>16606.974599748006</c:v>
                </c:pt>
                <c:pt idx="126">
                  <c:v>17235.501914756707</c:v>
                </c:pt>
                <c:pt idx="127">
                  <c:v>18754.252225646051</c:v>
                </c:pt>
                <c:pt idx="128">
                  <c:v>17737.821156431535</c:v>
                </c:pt>
                <c:pt idx="129">
                  <c:v>17130.944681390502</c:v>
                </c:pt>
                <c:pt idx="130">
                  <c:v>16001.137736823088</c:v>
                </c:pt>
                <c:pt idx="131">
                  <c:v>16461.961440315852</c:v>
                </c:pt>
                <c:pt idx="132">
                  <c:v>16640.624681922782</c:v>
                </c:pt>
                <c:pt idx="133">
                  <c:v>19100.501200631617</c:v>
                </c:pt>
                <c:pt idx="134">
                  <c:v>18193.056570552908</c:v>
                </c:pt>
                <c:pt idx="135">
                  <c:v>16960.772293708851</c:v>
                </c:pt>
                <c:pt idx="136">
                  <c:v>20147.61981200031</c:v>
                </c:pt>
                <c:pt idx="137">
                  <c:v>21853.517590219322</c:v>
                </c:pt>
                <c:pt idx="138">
                  <c:v>19724.631859548019</c:v>
                </c:pt>
                <c:pt idx="139">
                  <c:v>21608.938179655954</c:v>
                </c:pt>
                <c:pt idx="140">
                  <c:v>23439.134547954542</c:v>
                </c:pt>
                <c:pt idx="141">
                  <c:v>21779.364242735781</c:v>
                </c:pt>
                <c:pt idx="142">
                  <c:v>21261.04136482827</c:v>
                </c:pt>
              </c:numCache>
            </c:numRef>
          </c:val>
          <c:smooth val="0"/>
          <c:extLst>
            <c:ext xmlns:c16="http://schemas.microsoft.com/office/drawing/2014/chart" uri="{C3380CC4-5D6E-409C-BE32-E72D297353CC}">
              <c16:uniqueId val="{00000001-6D80-4E98-9B4E-B17666B8F59F}"/>
            </c:ext>
          </c:extLst>
        </c:ser>
        <c:dLbls>
          <c:showLegendKey val="0"/>
          <c:showVal val="0"/>
          <c:showCatName val="0"/>
          <c:showSerName val="0"/>
          <c:showPercent val="0"/>
          <c:showBubbleSize val="0"/>
        </c:dLbls>
        <c:marker val="1"/>
        <c:smooth val="0"/>
        <c:axId val="179316736"/>
        <c:axId val="244035824"/>
      </c:lineChart>
      <c:dateAx>
        <c:axId val="17931673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035824"/>
        <c:crosses val="autoZero"/>
        <c:auto val="1"/>
        <c:lblOffset val="100"/>
        <c:baseTimeUnit val="days"/>
      </c:dateAx>
      <c:valAx>
        <c:axId val="24403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1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53974</xdr:colOff>
      <xdr:row>0</xdr:row>
      <xdr:rowOff>171450</xdr:rowOff>
    </xdr:from>
    <xdr:to>
      <xdr:col>17</xdr:col>
      <xdr:colOff>241299</xdr:colOff>
      <xdr:row>15</xdr:row>
      <xdr:rowOff>152400</xdr:rowOff>
    </xdr:to>
    <xdr:graphicFrame macro="">
      <xdr:nvGraphicFramePr>
        <xdr:cNvPr id="9" name="Chart 8">
          <a:extLst>
            <a:ext uri="{FF2B5EF4-FFF2-40B4-BE49-F238E27FC236}">
              <a16:creationId xmlns:a16="http://schemas.microsoft.com/office/drawing/2014/main" id="{006B9728-20C0-9C49-7F37-AFF8F9FD6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98425</xdr:colOff>
      <xdr:row>0</xdr:row>
      <xdr:rowOff>0</xdr:rowOff>
    </xdr:from>
    <xdr:to>
      <xdr:col>14</xdr:col>
      <xdr:colOff>403225</xdr:colOff>
      <xdr:row>14</xdr:row>
      <xdr:rowOff>165100</xdr:rowOff>
    </xdr:to>
    <xdr:graphicFrame macro="">
      <xdr:nvGraphicFramePr>
        <xdr:cNvPr id="2" name="Chart 1">
          <a:extLst>
            <a:ext uri="{FF2B5EF4-FFF2-40B4-BE49-F238E27FC236}">
              <a16:creationId xmlns:a16="http://schemas.microsoft.com/office/drawing/2014/main" id="{6F2EB1D3-1888-C145-FE04-A91B1F929B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117475</xdr:colOff>
      <xdr:row>0</xdr:row>
      <xdr:rowOff>0</xdr:rowOff>
    </xdr:from>
    <xdr:to>
      <xdr:col>14</xdr:col>
      <xdr:colOff>422275</xdr:colOff>
      <xdr:row>14</xdr:row>
      <xdr:rowOff>165100</xdr:rowOff>
    </xdr:to>
    <xdr:graphicFrame macro="">
      <xdr:nvGraphicFramePr>
        <xdr:cNvPr id="2" name="Chart 1">
          <a:extLst>
            <a:ext uri="{FF2B5EF4-FFF2-40B4-BE49-F238E27FC236}">
              <a16:creationId xmlns:a16="http://schemas.microsoft.com/office/drawing/2014/main" id="{088AE575-A7E1-B7C4-8CE4-10C35BCA7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53975</xdr:colOff>
      <xdr:row>0</xdr:row>
      <xdr:rowOff>0</xdr:rowOff>
    </xdr:from>
    <xdr:to>
      <xdr:col>14</xdr:col>
      <xdr:colOff>358775</xdr:colOff>
      <xdr:row>13</xdr:row>
      <xdr:rowOff>76200</xdr:rowOff>
    </xdr:to>
    <xdr:graphicFrame macro="">
      <xdr:nvGraphicFramePr>
        <xdr:cNvPr id="2" name="Chart 1">
          <a:extLst>
            <a:ext uri="{FF2B5EF4-FFF2-40B4-BE49-F238E27FC236}">
              <a16:creationId xmlns:a16="http://schemas.microsoft.com/office/drawing/2014/main" id="{14E7F29B-4A44-DBE0-9C39-BB2FAE7FE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314325</xdr:colOff>
      <xdr:row>9</xdr:row>
      <xdr:rowOff>57150</xdr:rowOff>
    </xdr:from>
    <xdr:to>
      <xdr:col>17</xdr:col>
      <xdr:colOff>250825</xdr:colOff>
      <xdr:row>24</xdr:row>
      <xdr:rowOff>38100</xdr:rowOff>
    </xdr:to>
    <xdr:graphicFrame macro="">
      <xdr:nvGraphicFramePr>
        <xdr:cNvPr id="3" name="Chart 2">
          <a:extLst>
            <a:ext uri="{FF2B5EF4-FFF2-40B4-BE49-F238E27FC236}">
              <a16:creationId xmlns:a16="http://schemas.microsoft.com/office/drawing/2014/main" id="{ED531FA6-9BC6-D913-1895-BB37E25F8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FE956-61AF-4D9F-9D95-EE28F622D9FA}" name="Table1" displayName="Table1" ref="A1:K144" totalsRowShown="0">
  <autoFilter ref="A1:K144" xr:uid="{272FE956-61AF-4D9F-9D95-EE28F622D9FA}"/>
  <tableColumns count="11">
    <tableColumn id="1" xr3:uid="{3A6D0EFC-6A7C-465F-ADB1-FA10E5A94F76}" name="Date" dataDxfId="3"/>
    <tableColumn id="2" xr3:uid="{3FAC983A-42DD-47E7-BA54-E9A394EE5A49}" name="Weekly_Sales"/>
    <tableColumn id="3" xr3:uid="{8DFE33A1-3682-437F-8845-EE52FEFBCA28}" name="Holiday"/>
    <tableColumn id="4" xr3:uid="{A9BBB8C9-0EDC-41B1-BF54-982FEF6D6706}" name="Temperature"/>
    <tableColumn id="5" xr3:uid="{2FE96EB6-7810-47EA-BFE9-FC1566C84BCF}" name="Fuel_Price"/>
    <tableColumn id="6" xr3:uid="{F9845749-24FE-4E2B-84E4-B7D7EDC854CC}" name="CPI"/>
    <tableColumn id="7" xr3:uid="{3EC5DC7F-BA46-4A93-A604-A08B94197941}" name="Unemployment"/>
    <tableColumn id="8" xr3:uid="{07BF075F-9E5D-4007-AD89-6FE3DB48101F}" name="Forecast" dataDxfId="2">
      <calculatedColumnFormula>$M$5 + SUMPRODUCT($N$5:$R$5,Table1[[#This Row],[Holiday]:[Unemployment]])</calculatedColumnFormula>
    </tableColumn>
    <tableColumn id="9" xr3:uid="{36752386-A5D4-4AA4-83F9-CA7A82AEB89B}" name="AE" dataDxfId="1">
      <calculatedColumnFormula>AVERAGE(ABS(Table1[[#This Row],[Weekly_Sales]]-Table1[[#This Row],[Forecast]]))</calculatedColumnFormula>
    </tableColumn>
    <tableColumn id="10" xr3:uid="{BC8A993B-BDD2-4FE5-9EC8-AF25462099AB}" name="SE" dataDxfId="0">
      <calculatedColumnFormula>Table1[[#This Row],[AE]]^2</calculatedColumnFormula>
    </tableColumn>
    <tableColumn id="11" xr3:uid="{2CE44C9C-B177-4D3D-8FE3-FA39F461101B}" name="APE" dataCellStyle="Percent">
      <calculatedColumnFormula>AVERAGE(ABS(Table1[[#This Row],[Weekly_Sales]]-Table1[[#This Row],[Forecast]])/Table1[[#This Row],[Weekly_Sales]])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6CCA-B4B1-614F-AE22-812D68351BEF}">
  <dimension ref="A1:G144"/>
  <sheetViews>
    <sheetView workbookViewId="0">
      <selection activeCell="G1" sqref="G1:G1048576"/>
    </sheetView>
  </sheetViews>
  <sheetFormatPr defaultColWidth="10.90625" defaultRowHeight="14.5" x14ac:dyDescent="0.35"/>
  <cols>
    <col min="2" max="2" width="12.08984375" bestFit="1" customWidth="1"/>
  </cols>
  <sheetData>
    <row r="1" spans="1:7" x14ac:dyDescent="0.35">
      <c r="A1" t="s">
        <v>18</v>
      </c>
      <c r="B1" t="s">
        <v>19</v>
      </c>
      <c r="C1" t="s">
        <v>20</v>
      </c>
      <c r="D1" t="s">
        <v>21</v>
      </c>
      <c r="E1" t="s">
        <v>22</v>
      </c>
      <c r="F1" t="s">
        <v>23</v>
      </c>
      <c r="G1" t="s">
        <v>24</v>
      </c>
    </row>
    <row r="2" spans="1:7" x14ac:dyDescent="0.35">
      <c r="A2" s="13">
        <v>40214</v>
      </c>
      <c r="B2">
        <v>24924.5</v>
      </c>
      <c r="C2">
        <v>0</v>
      </c>
      <c r="D2">
        <v>42.31</v>
      </c>
      <c r="E2">
        <v>2.5720000000000001</v>
      </c>
      <c r="F2">
        <v>211.0963582</v>
      </c>
      <c r="G2">
        <v>8.1059999999999999</v>
      </c>
    </row>
    <row r="3" spans="1:7" x14ac:dyDescent="0.35">
      <c r="A3" s="13">
        <v>40221</v>
      </c>
      <c r="B3">
        <v>46039.49</v>
      </c>
      <c r="C3">
        <v>1</v>
      </c>
      <c r="D3">
        <v>38.51</v>
      </c>
      <c r="E3">
        <v>2.548</v>
      </c>
      <c r="F3">
        <v>211.2421698</v>
      </c>
      <c r="G3">
        <v>8.1059999999999999</v>
      </c>
    </row>
    <row r="4" spans="1:7" x14ac:dyDescent="0.35">
      <c r="A4" s="13">
        <v>40228</v>
      </c>
      <c r="B4">
        <v>41595.550000000003</v>
      </c>
      <c r="C4">
        <v>0</v>
      </c>
      <c r="D4">
        <v>39.93</v>
      </c>
      <c r="E4">
        <v>2.5139999999999998</v>
      </c>
      <c r="F4">
        <v>211.2891429</v>
      </c>
      <c r="G4">
        <v>8.1059999999999999</v>
      </c>
    </row>
    <row r="5" spans="1:7" x14ac:dyDescent="0.35">
      <c r="A5" s="13">
        <v>40235</v>
      </c>
      <c r="B5">
        <v>19403.54</v>
      </c>
      <c r="C5">
        <v>0</v>
      </c>
      <c r="D5">
        <v>46.63</v>
      </c>
      <c r="E5">
        <v>2.5609999999999999</v>
      </c>
      <c r="F5">
        <v>211.31964289999999</v>
      </c>
      <c r="G5">
        <v>8.1059999999999999</v>
      </c>
    </row>
    <row r="6" spans="1:7" x14ac:dyDescent="0.35">
      <c r="A6" s="13">
        <v>40242</v>
      </c>
      <c r="B6">
        <v>21827.9</v>
      </c>
      <c r="C6">
        <v>0</v>
      </c>
      <c r="D6">
        <v>46.5</v>
      </c>
      <c r="E6">
        <v>2.625</v>
      </c>
      <c r="F6">
        <v>211.35014290000001</v>
      </c>
      <c r="G6">
        <v>8.1059999999999999</v>
      </c>
    </row>
    <row r="7" spans="1:7" x14ac:dyDescent="0.35">
      <c r="A7" s="13">
        <v>40249</v>
      </c>
      <c r="B7">
        <v>21043.39</v>
      </c>
      <c r="C7">
        <v>0</v>
      </c>
      <c r="D7">
        <v>57.79</v>
      </c>
      <c r="E7">
        <v>2.6669999999999998</v>
      </c>
      <c r="F7">
        <v>211.3806429</v>
      </c>
      <c r="G7">
        <v>8.1059999999999999</v>
      </c>
    </row>
    <row r="8" spans="1:7" x14ac:dyDescent="0.35">
      <c r="A8" s="13">
        <v>40256</v>
      </c>
      <c r="B8">
        <v>22136.639999999999</v>
      </c>
      <c r="C8">
        <v>0</v>
      </c>
      <c r="D8">
        <v>54.58</v>
      </c>
      <c r="E8">
        <v>2.72</v>
      </c>
      <c r="F8">
        <v>211.21563499999999</v>
      </c>
      <c r="G8">
        <v>8.1059999999999999</v>
      </c>
    </row>
    <row r="9" spans="1:7" x14ac:dyDescent="0.35">
      <c r="A9" s="13">
        <v>40263</v>
      </c>
      <c r="B9">
        <v>26229.21</v>
      </c>
      <c r="C9">
        <v>0</v>
      </c>
      <c r="D9">
        <v>51.45</v>
      </c>
      <c r="E9">
        <v>2.7320000000000002</v>
      </c>
      <c r="F9">
        <v>211.01804240000001</v>
      </c>
      <c r="G9">
        <v>8.1059999999999999</v>
      </c>
    </row>
    <row r="10" spans="1:7" x14ac:dyDescent="0.35">
      <c r="A10" s="13">
        <v>40270</v>
      </c>
      <c r="B10">
        <v>57258.43</v>
      </c>
      <c r="C10">
        <v>0</v>
      </c>
      <c r="D10">
        <v>62.27</v>
      </c>
      <c r="E10">
        <v>2.7189999999999999</v>
      </c>
      <c r="F10">
        <v>210.8204499</v>
      </c>
      <c r="G10">
        <v>7.8079999999999998</v>
      </c>
    </row>
    <row r="11" spans="1:7" x14ac:dyDescent="0.35">
      <c r="A11" s="13">
        <v>40277</v>
      </c>
      <c r="B11">
        <v>42960.91</v>
      </c>
      <c r="C11">
        <v>0</v>
      </c>
      <c r="D11">
        <v>65.86</v>
      </c>
      <c r="E11">
        <v>2.77</v>
      </c>
      <c r="F11">
        <v>210.62285739999999</v>
      </c>
      <c r="G11">
        <v>7.8079999999999998</v>
      </c>
    </row>
    <row r="12" spans="1:7" x14ac:dyDescent="0.35">
      <c r="A12" s="13">
        <v>40284</v>
      </c>
      <c r="B12">
        <v>17596.96</v>
      </c>
      <c r="C12">
        <v>0</v>
      </c>
      <c r="D12">
        <v>66.319999999999993</v>
      </c>
      <c r="E12">
        <v>2.8079999999999998</v>
      </c>
      <c r="F12">
        <v>210.48869999999999</v>
      </c>
      <c r="G12">
        <v>7.8079999999999998</v>
      </c>
    </row>
    <row r="13" spans="1:7" x14ac:dyDescent="0.35">
      <c r="A13" s="13">
        <v>40291</v>
      </c>
      <c r="B13">
        <v>16145.35</v>
      </c>
      <c r="C13">
        <v>0</v>
      </c>
      <c r="D13">
        <v>64.84</v>
      </c>
      <c r="E13">
        <v>2.7949999999999999</v>
      </c>
      <c r="F13">
        <v>210.43912280000001</v>
      </c>
      <c r="G13">
        <v>7.8079999999999998</v>
      </c>
    </row>
    <row r="14" spans="1:7" x14ac:dyDescent="0.35">
      <c r="A14" s="13">
        <v>40298</v>
      </c>
      <c r="B14">
        <v>16555.11</v>
      </c>
      <c r="C14">
        <v>0</v>
      </c>
      <c r="D14">
        <v>67.41</v>
      </c>
      <c r="E14">
        <v>2.78</v>
      </c>
      <c r="F14">
        <v>210.38954559999999</v>
      </c>
      <c r="G14">
        <v>7.8079999999999998</v>
      </c>
    </row>
    <row r="15" spans="1:7" x14ac:dyDescent="0.35">
      <c r="A15" s="13">
        <v>40305</v>
      </c>
      <c r="B15">
        <v>17413.939999999999</v>
      </c>
      <c r="C15">
        <v>0</v>
      </c>
      <c r="D15">
        <v>72.55</v>
      </c>
      <c r="E15">
        <v>2.835</v>
      </c>
      <c r="F15">
        <v>210.3399684</v>
      </c>
      <c r="G15">
        <v>7.8079999999999998</v>
      </c>
    </row>
    <row r="16" spans="1:7" x14ac:dyDescent="0.35">
      <c r="A16" s="13">
        <v>40312</v>
      </c>
      <c r="B16">
        <v>18926.740000000002</v>
      </c>
      <c r="C16">
        <v>0</v>
      </c>
      <c r="D16">
        <v>74.78</v>
      </c>
      <c r="E16">
        <v>2.8540000000000001</v>
      </c>
      <c r="F16">
        <v>210.33742609999999</v>
      </c>
      <c r="G16">
        <v>7.8079999999999998</v>
      </c>
    </row>
    <row r="17" spans="1:7" x14ac:dyDescent="0.35">
      <c r="A17" s="13">
        <v>40319</v>
      </c>
      <c r="B17">
        <v>14773.04</v>
      </c>
      <c r="C17">
        <v>0</v>
      </c>
      <c r="D17">
        <v>76.44</v>
      </c>
      <c r="E17">
        <v>2.8260000000000001</v>
      </c>
      <c r="F17">
        <v>210.61709339999999</v>
      </c>
      <c r="G17">
        <v>7.8079999999999998</v>
      </c>
    </row>
    <row r="18" spans="1:7" x14ac:dyDescent="0.35">
      <c r="A18" s="13">
        <v>40326</v>
      </c>
      <c r="B18">
        <v>15580.43</v>
      </c>
      <c r="C18">
        <v>0</v>
      </c>
      <c r="D18">
        <v>80.44</v>
      </c>
      <c r="E18">
        <v>2.7589999999999999</v>
      </c>
      <c r="F18">
        <v>210.89676059999999</v>
      </c>
      <c r="G18">
        <v>7.8079999999999998</v>
      </c>
    </row>
    <row r="19" spans="1:7" x14ac:dyDescent="0.35">
      <c r="A19" s="13">
        <v>40333</v>
      </c>
      <c r="B19">
        <v>17558.09</v>
      </c>
      <c r="C19">
        <v>0</v>
      </c>
      <c r="D19">
        <v>80.69</v>
      </c>
      <c r="E19">
        <v>2.7050000000000001</v>
      </c>
      <c r="F19">
        <v>211.1764278</v>
      </c>
      <c r="G19">
        <v>7.8079999999999998</v>
      </c>
    </row>
    <row r="20" spans="1:7" x14ac:dyDescent="0.35">
      <c r="A20" s="13">
        <v>40340</v>
      </c>
      <c r="B20">
        <v>16637.62</v>
      </c>
      <c r="C20">
        <v>0</v>
      </c>
      <c r="D20">
        <v>80.430000000000007</v>
      </c>
      <c r="E20">
        <v>2.6680000000000001</v>
      </c>
      <c r="F20">
        <v>211.4560951</v>
      </c>
      <c r="G20">
        <v>7.8079999999999998</v>
      </c>
    </row>
    <row r="21" spans="1:7" x14ac:dyDescent="0.35">
      <c r="A21" s="13">
        <v>40347</v>
      </c>
      <c r="B21">
        <v>16216.27</v>
      </c>
      <c r="C21">
        <v>0</v>
      </c>
      <c r="D21">
        <v>84.11</v>
      </c>
      <c r="E21">
        <v>2.637</v>
      </c>
      <c r="F21">
        <v>211.45377189999999</v>
      </c>
      <c r="G21">
        <v>7.8079999999999998</v>
      </c>
    </row>
    <row r="22" spans="1:7" x14ac:dyDescent="0.35">
      <c r="A22" s="13">
        <v>40354</v>
      </c>
      <c r="B22">
        <v>16328.72</v>
      </c>
      <c r="C22">
        <v>0</v>
      </c>
      <c r="D22">
        <v>84.34</v>
      </c>
      <c r="E22">
        <v>2.653</v>
      </c>
      <c r="F22">
        <v>211.33865259999999</v>
      </c>
      <c r="G22">
        <v>7.8079999999999998</v>
      </c>
    </row>
    <row r="23" spans="1:7" x14ac:dyDescent="0.35">
      <c r="A23" s="13">
        <v>40361</v>
      </c>
      <c r="B23">
        <v>16333.14</v>
      </c>
      <c r="C23">
        <v>0</v>
      </c>
      <c r="D23">
        <v>80.91</v>
      </c>
      <c r="E23">
        <v>2.669</v>
      </c>
      <c r="F23">
        <v>211.22353330000001</v>
      </c>
      <c r="G23">
        <v>7.7869999999999999</v>
      </c>
    </row>
    <row r="24" spans="1:7" x14ac:dyDescent="0.35">
      <c r="A24" s="13">
        <v>40368</v>
      </c>
      <c r="B24">
        <v>17688.759999999998</v>
      </c>
      <c r="C24">
        <v>0</v>
      </c>
      <c r="D24">
        <v>80.48</v>
      </c>
      <c r="E24">
        <v>2.6419999999999999</v>
      </c>
      <c r="F24">
        <v>211.10841400000001</v>
      </c>
      <c r="G24">
        <v>7.7869999999999999</v>
      </c>
    </row>
    <row r="25" spans="1:7" x14ac:dyDescent="0.35">
      <c r="A25" s="13">
        <v>40375</v>
      </c>
      <c r="B25">
        <v>17150.84</v>
      </c>
      <c r="C25">
        <v>0</v>
      </c>
      <c r="D25">
        <v>83.15</v>
      </c>
      <c r="E25">
        <v>2.6230000000000002</v>
      </c>
      <c r="F25">
        <v>211.10038539999999</v>
      </c>
      <c r="G25">
        <v>7.7869999999999999</v>
      </c>
    </row>
    <row r="26" spans="1:7" x14ac:dyDescent="0.35">
      <c r="A26" s="13">
        <v>40382</v>
      </c>
      <c r="B26">
        <v>15360.45</v>
      </c>
      <c r="C26">
        <v>0</v>
      </c>
      <c r="D26">
        <v>83.36</v>
      </c>
      <c r="E26">
        <v>2.6080000000000001</v>
      </c>
      <c r="F26">
        <v>211.2351443</v>
      </c>
      <c r="G26">
        <v>7.7869999999999999</v>
      </c>
    </row>
    <row r="27" spans="1:7" x14ac:dyDescent="0.35">
      <c r="A27" s="13">
        <v>40389</v>
      </c>
      <c r="B27">
        <v>15381.82</v>
      </c>
      <c r="C27">
        <v>0</v>
      </c>
      <c r="D27">
        <v>81.84</v>
      </c>
      <c r="E27">
        <v>2.64</v>
      </c>
      <c r="F27">
        <v>211.36990320000001</v>
      </c>
      <c r="G27">
        <v>7.7869999999999999</v>
      </c>
    </row>
    <row r="28" spans="1:7" x14ac:dyDescent="0.35">
      <c r="A28" s="13">
        <v>40396</v>
      </c>
      <c r="B28">
        <v>17508.41</v>
      </c>
      <c r="C28">
        <v>0</v>
      </c>
      <c r="D28">
        <v>87.16</v>
      </c>
      <c r="E28">
        <v>2.6269999999999998</v>
      </c>
      <c r="F28">
        <v>211.50466209999999</v>
      </c>
      <c r="G28">
        <v>7.7869999999999999</v>
      </c>
    </row>
    <row r="29" spans="1:7" x14ac:dyDescent="0.35">
      <c r="A29" s="13">
        <v>40403</v>
      </c>
      <c r="B29">
        <v>15536.4</v>
      </c>
      <c r="C29">
        <v>0</v>
      </c>
      <c r="D29">
        <v>87</v>
      </c>
      <c r="E29">
        <v>2.6920000000000002</v>
      </c>
      <c r="F29">
        <v>211.63942109999999</v>
      </c>
      <c r="G29">
        <v>7.7869999999999999</v>
      </c>
    </row>
    <row r="30" spans="1:7" x14ac:dyDescent="0.35">
      <c r="A30" s="13">
        <v>40410</v>
      </c>
      <c r="B30">
        <v>15740.13</v>
      </c>
      <c r="C30">
        <v>0</v>
      </c>
      <c r="D30">
        <v>86.65</v>
      </c>
      <c r="E30">
        <v>2.6640000000000001</v>
      </c>
      <c r="F30">
        <v>211.60336330000001</v>
      </c>
      <c r="G30">
        <v>7.7869999999999999</v>
      </c>
    </row>
    <row r="31" spans="1:7" x14ac:dyDescent="0.35">
      <c r="A31" s="13">
        <v>40417</v>
      </c>
      <c r="B31">
        <v>15793.87</v>
      </c>
      <c r="C31">
        <v>0</v>
      </c>
      <c r="D31">
        <v>85.22</v>
      </c>
      <c r="E31">
        <v>2.6190000000000002</v>
      </c>
      <c r="F31">
        <v>211.5673056</v>
      </c>
      <c r="G31">
        <v>7.7869999999999999</v>
      </c>
    </row>
    <row r="32" spans="1:7" x14ac:dyDescent="0.35">
      <c r="A32" s="13">
        <v>40424</v>
      </c>
      <c r="B32">
        <v>16241.78</v>
      </c>
      <c r="C32">
        <v>0</v>
      </c>
      <c r="D32">
        <v>81.209999999999994</v>
      </c>
      <c r="E32">
        <v>2.577</v>
      </c>
      <c r="F32">
        <v>211.53124790000001</v>
      </c>
      <c r="G32">
        <v>7.7869999999999999</v>
      </c>
    </row>
    <row r="33" spans="1:7" x14ac:dyDescent="0.35">
      <c r="A33" s="13">
        <v>40431</v>
      </c>
      <c r="B33">
        <v>18194.740000000002</v>
      </c>
      <c r="C33">
        <v>1</v>
      </c>
      <c r="D33">
        <v>78.69</v>
      </c>
      <c r="E33">
        <v>2.5649999999999999</v>
      </c>
      <c r="F33">
        <v>211.4951902</v>
      </c>
      <c r="G33">
        <v>7.7869999999999999</v>
      </c>
    </row>
    <row r="34" spans="1:7" x14ac:dyDescent="0.35">
      <c r="A34" s="13">
        <v>40438</v>
      </c>
      <c r="B34">
        <v>19354.23</v>
      </c>
      <c r="C34">
        <v>0</v>
      </c>
      <c r="D34">
        <v>82.11</v>
      </c>
      <c r="E34">
        <v>2.5819999999999999</v>
      </c>
      <c r="F34">
        <v>211.52245959999999</v>
      </c>
      <c r="G34">
        <v>7.7869999999999999</v>
      </c>
    </row>
    <row r="35" spans="1:7" x14ac:dyDescent="0.35">
      <c r="A35" s="13">
        <v>40445</v>
      </c>
      <c r="B35">
        <v>18122.52</v>
      </c>
      <c r="C35">
        <v>0</v>
      </c>
      <c r="D35">
        <v>80.94</v>
      </c>
      <c r="E35">
        <v>2.6240000000000001</v>
      </c>
      <c r="F35">
        <v>211.5972246</v>
      </c>
      <c r="G35">
        <v>7.7869999999999999</v>
      </c>
    </row>
    <row r="36" spans="1:7" x14ac:dyDescent="0.35">
      <c r="A36" s="13">
        <v>40452</v>
      </c>
      <c r="B36">
        <v>20094.189999999999</v>
      </c>
      <c r="C36">
        <v>0</v>
      </c>
      <c r="D36">
        <v>71.89</v>
      </c>
      <c r="E36">
        <v>2.6030000000000002</v>
      </c>
      <c r="F36">
        <v>211.6719895</v>
      </c>
      <c r="G36">
        <v>7.8380000000000001</v>
      </c>
    </row>
    <row r="37" spans="1:7" x14ac:dyDescent="0.35">
      <c r="A37" s="13">
        <v>40459</v>
      </c>
      <c r="B37">
        <v>23388.03</v>
      </c>
      <c r="C37">
        <v>0</v>
      </c>
      <c r="D37">
        <v>63.93</v>
      </c>
      <c r="E37">
        <v>2.633</v>
      </c>
      <c r="F37">
        <v>211.74675439999999</v>
      </c>
      <c r="G37">
        <v>7.8380000000000001</v>
      </c>
    </row>
    <row r="38" spans="1:7" x14ac:dyDescent="0.35">
      <c r="A38" s="13">
        <v>40466</v>
      </c>
      <c r="B38">
        <v>26978.34</v>
      </c>
      <c r="C38">
        <v>0</v>
      </c>
      <c r="D38">
        <v>67.180000000000007</v>
      </c>
      <c r="E38">
        <v>2.72</v>
      </c>
      <c r="F38">
        <v>211.81374360000001</v>
      </c>
      <c r="G38">
        <v>7.8380000000000001</v>
      </c>
    </row>
    <row r="39" spans="1:7" x14ac:dyDescent="0.35">
      <c r="A39" s="13">
        <v>40473</v>
      </c>
      <c r="B39">
        <v>25543.040000000001</v>
      </c>
      <c r="C39">
        <v>0</v>
      </c>
      <c r="D39">
        <v>69.86</v>
      </c>
      <c r="E39">
        <v>2.7250000000000001</v>
      </c>
      <c r="F39">
        <v>211.8612937</v>
      </c>
      <c r="G39">
        <v>7.8380000000000001</v>
      </c>
    </row>
    <row r="40" spans="1:7" x14ac:dyDescent="0.35">
      <c r="A40" s="13">
        <v>40480</v>
      </c>
      <c r="B40">
        <v>38640.93</v>
      </c>
      <c r="C40">
        <v>0</v>
      </c>
      <c r="D40">
        <v>69.64</v>
      </c>
      <c r="E40">
        <v>2.7160000000000002</v>
      </c>
      <c r="F40">
        <v>211.9088438</v>
      </c>
      <c r="G40">
        <v>7.8380000000000001</v>
      </c>
    </row>
    <row r="41" spans="1:7" x14ac:dyDescent="0.35">
      <c r="A41" s="13">
        <v>40487</v>
      </c>
      <c r="B41">
        <v>34238.879999999997</v>
      </c>
      <c r="C41">
        <v>0</v>
      </c>
      <c r="D41">
        <v>58.74</v>
      </c>
      <c r="E41">
        <v>2.6890000000000001</v>
      </c>
      <c r="F41">
        <v>211.95639389999999</v>
      </c>
      <c r="G41">
        <v>7.8380000000000001</v>
      </c>
    </row>
    <row r="42" spans="1:7" x14ac:dyDescent="0.35">
      <c r="A42" s="13">
        <v>40494</v>
      </c>
      <c r="B42">
        <v>19549.39</v>
      </c>
      <c r="C42">
        <v>0</v>
      </c>
      <c r="D42">
        <v>59.61</v>
      </c>
      <c r="E42">
        <v>2.7280000000000002</v>
      </c>
      <c r="F42">
        <v>212.00394399999999</v>
      </c>
      <c r="G42">
        <v>7.8380000000000001</v>
      </c>
    </row>
    <row r="43" spans="1:7" x14ac:dyDescent="0.35">
      <c r="A43" s="13">
        <v>40501</v>
      </c>
      <c r="B43">
        <v>19552.84</v>
      </c>
      <c r="C43">
        <v>0</v>
      </c>
      <c r="D43">
        <v>51.41</v>
      </c>
      <c r="E43">
        <v>2.7709999999999999</v>
      </c>
      <c r="F43">
        <v>211.8896737</v>
      </c>
      <c r="G43">
        <v>7.8380000000000001</v>
      </c>
    </row>
    <row r="44" spans="1:7" x14ac:dyDescent="0.35">
      <c r="A44" s="13">
        <v>40508</v>
      </c>
      <c r="B44">
        <v>18820.29</v>
      </c>
      <c r="C44">
        <v>1</v>
      </c>
      <c r="D44">
        <v>64.52</v>
      </c>
      <c r="E44">
        <v>2.7349999999999999</v>
      </c>
      <c r="F44">
        <v>211.74843329999999</v>
      </c>
      <c r="G44">
        <v>7.8380000000000001</v>
      </c>
    </row>
    <row r="45" spans="1:7" x14ac:dyDescent="0.35">
      <c r="A45" s="13">
        <v>40515</v>
      </c>
      <c r="B45">
        <v>22517.56</v>
      </c>
      <c r="C45">
        <v>0</v>
      </c>
      <c r="D45">
        <v>49.27</v>
      </c>
      <c r="E45">
        <v>2.7080000000000002</v>
      </c>
      <c r="F45">
        <v>211.607193</v>
      </c>
      <c r="G45">
        <v>7.8380000000000001</v>
      </c>
    </row>
    <row r="46" spans="1:7" x14ac:dyDescent="0.35">
      <c r="A46" s="13">
        <v>40522</v>
      </c>
      <c r="B46">
        <v>31497.65</v>
      </c>
      <c r="C46">
        <v>0</v>
      </c>
      <c r="D46">
        <v>46.33</v>
      </c>
      <c r="E46">
        <v>2.843</v>
      </c>
      <c r="F46">
        <v>211.46595260000001</v>
      </c>
      <c r="G46">
        <v>7.8380000000000001</v>
      </c>
    </row>
    <row r="47" spans="1:7" x14ac:dyDescent="0.35">
      <c r="A47" s="13">
        <v>40529</v>
      </c>
      <c r="B47">
        <v>44912.86</v>
      </c>
      <c r="C47">
        <v>0</v>
      </c>
      <c r="D47">
        <v>49.84</v>
      </c>
      <c r="E47">
        <v>2.8690000000000002</v>
      </c>
      <c r="F47">
        <v>211.40531240000001</v>
      </c>
      <c r="G47">
        <v>7.8380000000000001</v>
      </c>
    </row>
    <row r="48" spans="1:7" x14ac:dyDescent="0.35">
      <c r="A48" s="13">
        <v>40536</v>
      </c>
      <c r="B48">
        <v>55931.23</v>
      </c>
      <c r="C48">
        <v>0</v>
      </c>
      <c r="D48">
        <v>52.33</v>
      </c>
      <c r="E48">
        <v>2.8860000000000001</v>
      </c>
      <c r="F48">
        <v>211.40512219999999</v>
      </c>
      <c r="G48">
        <v>7.8380000000000001</v>
      </c>
    </row>
    <row r="49" spans="1:7" x14ac:dyDescent="0.35">
      <c r="A49" s="13">
        <v>40543</v>
      </c>
      <c r="B49">
        <v>19124.580000000002</v>
      </c>
      <c r="C49">
        <v>1</v>
      </c>
      <c r="D49">
        <v>48.43</v>
      </c>
      <c r="E49">
        <v>2.9430000000000001</v>
      </c>
      <c r="F49">
        <v>211.4049321</v>
      </c>
      <c r="G49">
        <v>7.8380000000000001</v>
      </c>
    </row>
    <row r="50" spans="1:7" x14ac:dyDescent="0.35">
      <c r="A50" s="13">
        <v>40550</v>
      </c>
      <c r="B50">
        <v>15984.24</v>
      </c>
      <c r="C50">
        <v>0</v>
      </c>
      <c r="D50">
        <v>48.27</v>
      </c>
      <c r="E50">
        <v>2.976</v>
      </c>
      <c r="F50">
        <v>211.4047419</v>
      </c>
      <c r="G50">
        <v>7.742</v>
      </c>
    </row>
    <row r="51" spans="1:7" x14ac:dyDescent="0.35">
      <c r="A51" s="13">
        <v>40557</v>
      </c>
      <c r="B51">
        <v>17359.7</v>
      </c>
      <c r="C51">
        <v>0</v>
      </c>
      <c r="D51">
        <v>35.4</v>
      </c>
      <c r="E51">
        <v>2.9830000000000001</v>
      </c>
      <c r="F51">
        <v>211.45741090000001</v>
      </c>
      <c r="G51">
        <v>7.742</v>
      </c>
    </row>
    <row r="52" spans="1:7" x14ac:dyDescent="0.35">
      <c r="A52" s="13">
        <v>40564</v>
      </c>
      <c r="B52">
        <v>17341.47</v>
      </c>
      <c r="C52">
        <v>0</v>
      </c>
      <c r="D52">
        <v>44.04</v>
      </c>
      <c r="E52">
        <v>3.016</v>
      </c>
      <c r="F52">
        <v>211.82723429999999</v>
      </c>
      <c r="G52">
        <v>7.742</v>
      </c>
    </row>
    <row r="53" spans="1:7" x14ac:dyDescent="0.35">
      <c r="A53" s="13">
        <v>40571</v>
      </c>
      <c r="B53">
        <v>18461.18</v>
      </c>
      <c r="C53">
        <v>0</v>
      </c>
      <c r="D53">
        <v>43.83</v>
      </c>
      <c r="E53">
        <v>3.01</v>
      </c>
      <c r="F53">
        <v>212.19705769999999</v>
      </c>
      <c r="G53">
        <v>7.742</v>
      </c>
    </row>
    <row r="54" spans="1:7" x14ac:dyDescent="0.35">
      <c r="A54" s="13">
        <v>40578</v>
      </c>
      <c r="B54">
        <v>21665.759999999998</v>
      </c>
      <c r="C54">
        <v>0</v>
      </c>
      <c r="D54">
        <v>42.27</v>
      </c>
      <c r="E54">
        <v>2.9889999999999999</v>
      </c>
      <c r="F54">
        <v>212.56688120000001</v>
      </c>
      <c r="G54">
        <v>7.742</v>
      </c>
    </row>
    <row r="55" spans="1:7" x14ac:dyDescent="0.35">
      <c r="A55" s="13">
        <v>40585</v>
      </c>
      <c r="B55">
        <v>37887.17</v>
      </c>
      <c r="C55">
        <v>1</v>
      </c>
      <c r="D55">
        <v>36.39</v>
      </c>
      <c r="E55">
        <v>3.0219999999999998</v>
      </c>
      <c r="F55">
        <v>212.93670460000001</v>
      </c>
      <c r="G55">
        <v>7.742</v>
      </c>
    </row>
    <row r="56" spans="1:7" x14ac:dyDescent="0.35">
      <c r="A56" s="13">
        <v>40592</v>
      </c>
      <c r="B56">
        <v>46845.87</v>
      </c>
      <c r="C56">
        <v>0</v>
      </c>
      <c r="D56">
        <v>57.36</v>
      </c>
      <c r="E56">
        <v>3.0449999999999999</v>
      </c>
      <c r="F56">
        <v>213.24788530000001</v>
      </c>
      <c r="G56">
        <v>7.742</v>
      </c>
    </row>
    <row r="57" spans="1:7" x14ac:dyDescent="0.35">
      <c r="A57" s="13">
        <v>40599</v>
      </c>
      <c r="B57">
        <v>19363.830000000002</v>
      </c>
      <c r="C57">
        <v>0</v>
      </c>
      <c r="D57">
        <v>62.9</v>
      </c>
      <c r="E57">
        <v>3.0649999999999999</v>
      </c>
      <c r="F57">
        <v>213.53560899999999</v>
      </c>
      <c r="G57">
        <v>7.742</v>
      </c>
    </row>
    <row r="58" spans="1:7" x14ac:dyDescent="0.35">
      <c r="A58" s="13">
        <v>40606</v>
      </c>
      <c r="B58">
        <v>20327.61</v>
      </c>
      <c r="C58">
        <v>0</v>
      </c>
      <c r="D58">
        <v>59.58</v>
      </c>
      <c r="E58">
        <v>3.2879999999999998</v>
      </c>
      <c r="F58">
        <v>213.82333270000001</v>
      </c>
      <c r="G58">
        <v>7.742</v>
      </c>
    </row>
    <row r="59" spans="1:7" x14ac:dyDescent="0.35">
      <c r="A59" s="13">
        <v>40613</v>
      </c>
      <c r="B59">
        <v>21280.400000000001</v>
      </c>
      <c r="C59">
        <v>0</v>
      </c>
      <c r="D59">
        <v>53.56</v>
      </c>
      <c r="E59">
        <v>3.4590000000000001</v>
      </c>
      <c r="F59">
        <v>214.1110564</v>
      </c>
      <c r="G59">
        <v>7.742</v>
      </c>
    </row>
    <row r="60" spans="1:7" x14ac:dyDescent="0.35">
      <c r="A60" s="13">
        <v>40620</v>
      </c>
      <c r="B60">
        <v>20334.23</v>
      </c>
      <c r="C60">
        <v>0</v>
      </c>
      <c r="D60">
        <v>62.76</v>
      </c>
      <c r="E60">
        <v>3.488</v>
      </c>
      <c r="F60">
        <v>214.36271139999999</v>
      </c>
      <c r="G60">
        <v>7.742</v>
      </c>
    </row>
    <row r="61" spans="1:7" x14ac:dyDescent="0.35">
      <c r="A61" s="13">
        <v>40627</v>
      </c>
      <c r="B61">
        <v>20881.099999999999</v>
      </c>
      <c r="C61">
        <v>0</v>
      </c>
      <c r="D61">
        <v>69.97</v>
      </c>
      <c r="E61">
        <v>3.4729999999999999</v>
      </c>
      <c r="F61">
        <v>214.59993890000001</v>
      </c>
      <c r="G61">
        <v>7.742</v>
      </c>
    </row>
    <row r="62" spans="1:7" x14ac:dyDescent="0.35">
      <c r="A62" s="13">
        <v>40634</v>
      </c>
      <c r="B62">
        <v>20398.09</v>
      </c>
      <c r="C62">
        <v>0</v>
      </c>
      <c r="D62">
        <v>59.17</v>
      </c>
      <c r="E62">
        <v>3.524</v>
      </c>
      <c r="F62">
        <v>214.8371664</v>
      </c>
      <c r="G62">
        <v>7.6820000000000004</v>
      </c>
    </row>
    <row r="63" spans="1:7" x14ac:dyDescent="0.35">
      <c r="A63" s="13">
        <v>40641</v>
      </c>
      <c r="B63">
        <v>23873.79</v>
      </c>
      <c r="C63">
        <v>0</v>
      </c>
      <c r="D63">
        <v>67.84</v>
      </c>
      <c r="E63">
        <v>3.6219999999999999</v>
      </c>
      <c r="F63">
        <v>215.07439389999999</v>
      </c>
      <c r="G63">
        <v>7.6820000000000004</v>
      </c>
    </row>
    <row r="64" spans="1:7" x14ac:dyDescent="0.35">
      <c r="A64" s="13">
        <v>40648</v>
      </c>
      <c r="B64">
        <v>28762.37</v>
      </c>
      <c r="C64">
        <v>0</v>
      </c>
      <c r="D64">
        <v>71.27</v>
      </c>
      <c r="E64">
        <v>3.7429999999999999</v>
      </c>
      <c r="F64">
        <v>215.29185609999999</v>
      </c>
      <c r="G64">
        <v>7.6820000000000004</v>
      </c>
    </row>
    <row r="65" spans="1:7" x14ac:dyDescent="0.35">
      <c r="A65" s="13">
        <v>40655</v>
      </c>
      <c r="B65">
        <v>50510.31</v>
      </c>
      <c r="C65">
        <v>0</v>
      </c>
      <c r="D65">
        <v>72.989999999999995</v>
      </c>
      <c r="E65">
        <v>3.8069999999999999</v>
      </c>
      <c r="F65">
        <v>215.4599053</v>
      </c>
      <c r="G65">
        <v>7.6820000000000004</v>
      </c>
    </row>
    <row r="66" spans="1:7" x14ac:dyDescent="0.35">
      <c r="A66" s="13">
        <v>40662</v>
      </c>
      <c r="B66">
        <v>41512.39</v>
      </c>
      <c r="C66">
        <v>0</v>
      </c>
      <c r="D66">
        <v>72.03</v>
      </c>
      <c r="E66">
        <v>3.81</v>
      </c>
      <c r="F66">
        <v>215.62795439999999</v>
      </c>
      <c r="G66">
        <v>7.6820000000000004</v>
      </c>
    </row>
    <row r="67" spans="1:7" x14ac:dyDescent="0.35">
      <c r="A67" s="13">
        <v>40669</v>
      </c>
      <c r="B67">
        <v>20138.189999999999</v>
      </c>
      <c r="C67">
        <v>0</v>
      </c>
      <c r="D67">
        <v>64.61</v>
      </c>
      <c r="E67">
        <v>3.9060000000000001</v>
      </c>
      <c r="F67">
        <v>215.79600350000001</v>
      </c>
      <c r="G67">
        <v>7.6820000000000004</v>
      </c>
    </row>
    <row r="68" spans="1:7" x14ac:dyDescent="0.35">
      <c r="A68" s="13">
        <v>40676</v>
      </c>
      <c r="B68">
        <v>17235.150000000001</v>
      </c>
      <c r="C68">
        <v>0</v>
      </c>
      <c r="D68">
        <v>75.64</v>
      </c>
      <c r="E68">
        <v>3.899</v>
      </c>
      <c r="F68">
        <v>215.9640526</v>
      </c>
      <c r="G68">
        <v>7.6820000000000004</v>
      </c>
    </row>
    <row r="69" spans="1:7" x14ac:dyDescent="0.35">
      <c r="A69" s="13">
        <v>40683</v>
      </c>
      <c r="B69">
        <v>15136.78</v>
      </c>
      <c r="C69">
        <v>0</v>
      </c>
      <c r="D69">
        <v>67.63</v>
      </c>
      <c r="E69">
        <v>3.907</v>
      </c>
      <c r="F69">
        <v>215.7339202</v>
      </c>
      <c r="G69">
        <v>7.6820000000000004</v>
      </c>
    </row>
    <row r="70" spans="1:7" x14ac:dyDescent="0.35">
      <c r="A70" s="13">
        <v>40690</v>
      </c>
      <c r="B70">
        <v>15741.6</v>
      </c>
      <c r="C70">
        <v>0</v>
      </c>
      <c r="D70">
        <v>77.72</v>
      </c>
      <c r="E70">
        <v>3.786</v>
      </c>
      <c r="F70">
        <v>215.5037878</v>
      </c>
      <c r="G70">
        <v>7.6820000000000004</v>
      </c>
    </row>
    <row r="71" spans="1:7" x14ac:dyDescent="0.35">
      <c r="A71" s="13">
        <v>40697</v>
      </c>
      <c r="B71">
        <v>16434.150000000001</v>
      </c>
      <c r="C71">
        <v>0</v>
      </c>
      <c r="D71">
        <v>83</v>
      </c>
      <c r="E71">
        <v>3.6989999999999998</v>
      </c>
      <c r="F71">
        <v>215.2736553</v>
      </c>
      <c r="G71">
        <v>7.6820000000000004</v>
      </c>
    </row>
    <row r="72" spans="1:7" x14ac:dyDescent="0.35">
      <c r="A72" s="13">
        <v>40704</v>
      </c>
      <c r="B72">
        <v>15883.52</v>
      </c>
      <c r="C72">
        <v>0</v>
      </c>
      <c r="D72">
        <v>83.13</v>
      </c>
      <c r="E72">
        <v>3.6480000000000001</v>
      </c>
      <c r="F72">
        <v>215.0435229</v>
      </c>
      <c r="G72">
        <v>7.6820000000000004</v>
      </c>
    </row>
    <row r="73" spans="1:7" x14ac:dyDescent="0.35">
      <c r="A73" s="13">
        <v>40711</v>
      </c>
      <c r="B73">
        <v>14978.09</v>
      </c>
      <c r="C73">
        <v>0</v>
      </c>
      <c r="D73">
        <v>86.41</v>
      </c>
      <c r="E73">
        <v>3.637</v>
      </c>
      <c r="F73">
        <v>214.9980596</v>
      </c>
      <c r="G73">
        <v>7.6820000000000004</v>
      </c>
    </row>
    <row r="74" spans="1:7" x14ac:dyDescent="0.35">
      <c r="A74" s="13">
        <v>40718</v>
      </c>
      <c r="B74">
        <v>15682.81</v>
      </c>
      <c r="C74">
        <v>0</v>
      </c>
      <c r="D74">
        <v>83.58</v>
      </c>
      <c r="E74">
        <v>3.5939999999999999</v>
      </c>
      <c r="F74">
        <v>215.0910982</v>
      </c>
      <c r="G74">
        <v>7.6820000000000004</v>
      </c>
    </row>
    <row r="75" spans="1:7" x14ac:dyDescent="0.35">
      <c r="A75" s="13">
        <v>40725</v>
      </c>
      <c r="B75">
        <v>15363.5</v>
      </c>
      <c r="C75">
        <v>0</v>
      </c>
      <c r="D75">
        <v>85.55</v>
      </c>
      <c r="E75">
        <v>3.524</v>
      </c>
      <c r="F75">
        <v>215.1841368</v>
      </c>
      <c r="G75">
        <v>7.9619999999999997</v>
      </c>
    </row>
    <row r="76" spans="1:7" x14ac:dyDescent="0.35">
      <c r="A76" s="13">
        <v>40732</v>
      </c>
      <c r="B76">
        <v>16148.87</v>
      </c>
      <c r="C76">
        <v>0</v>
      </c>
      <c r="D76">
        <v>85.83</v>
      </c>
      <c r="E76">
        <v>3.48</v>
      </c>
      <c r="F76">
        <v>215.2771754</v>
      </c>
      <c r="G76">
        <v>7.9619999999999997</v>
      </c>
    </row>
    <row r="77" spans="1:7" x14ac:dyDescent="0.35">
      <c r="A77" s="13">
        <v>40739</v>
      </c>
      <c r="B77">
        <v>15654.85</v>
      </c>
      <c r="C77">
        <v>0</v>
      </c>
      <c r="D77">
        <v>88.54</v>
      </c>
      <c r="E77">
        <v>3.5750000000000002</v>
      </c>
      <c r="F77">
        <v>215.36110869999999</v>
      </c>
      <c r="G77">
        <v>7.9619999999999997</v>
      </c>
    </row>
    <row r="78" spans="1:7" x14ac:dyDescent="0.35">
      <c r="A78" s="13">
        <v>40746</v>
      </c>
      <c r="B78">
        <v>15766.6</v>
      </c>
      <c r="C78">
        <v>0</v>
      </c>
      <c r="D78">
        <v>85.77</v>
      </c>
      <c r="E78">
        <v>3.6509999999999998</v>
      </c>
      <c r="F78">
        <v>215.42227840000001</v>
      </c>
      <c r="G78">
        <v>7.9619999999999997</v>
      </c>
    </row>
    <row r="79" spans="1:7" x14ac:dyDescent="0.35">
      <c r="A79" s="13">
        <v>40753</v>
      </c>
      <c r="B79">
        <v>15922.41</v>
      </c>
      <c r="C79">
        <v>0</v>
      </c>
      <c r="D79">
        <v>86.83</v>
      </c>
      <c r="E79">
        <v>3.6819999999999999</v>
      </c>
      <c r="F79">
        <v>215.4834482</v>
      </c>
      <c r="G79">
        <v>7.9619999999999997</v>
      </c>
    </row>
    <row r="80" spans="1:7" x14ac:dyDescent="0.35">
      <c r="A80" s="13">
        <v>40760</v>
      </c>
      <c r="B80">
        <v>15295.55</v>
      </c>
      <c r="C80">
        <v>0</v>
      </c>
      <c r="D80">
        <v>91.65</v>
      </c>
      <c r="E80">
        <v>3.6840000000000002</v>
      </c>
      <c r="F80">
        <v>215.54461800000001</v>
      </c>
      <c r="G80">
        <v>7.9619999999999997</v>
      </c>
    </row>
    <row r="81" spans="1:7" x14ac:dyDescent="0.35">
      <c r="A81" s="13">
        <v>40767</v>
      </c>
      <c r="B81">
        <v>14539.79</v>
      </c>
      <c r="C81">
        <v>0</v>
      </c>
      <c r="D81">
        <v>90.76</v>
      </c>
      <c r="E81">
        <v>3.6379999999999999</v>
      </c>
      <c r="F81">
        <v>215.6057878</v>
      </c>
      <c r="G81">
        <v>7.9619999999999997</v>
      </c>
    </row>
    <row r="82" spans="1:7" x14ac:dyDescent="0.35">
      <c r="A82" s="13">
        <v>40774</v>
      </c>
      <c r="B82">
        <v>14689.24</v>
      </c>
      <c r="C82">
        <v>0</v>
      </c>
      <c r="D82">
        <v>89.94</v>
      </c>
      <c r="E82">
        <v>3.5539999999999998</v>
      </c>
      <c r="F82">
        <v>215.66931070000001</v>
      </c>
      <c r="G82">
        <v>7.9619999999999997</v>
      </c>
    </row>
    <row r="83" spans="1:7" x14ac:dyDescent="0.35">
      <c r="A83" s="13">
        <v>40781</v>
      </c>
      <c r="B83">
        <v>14537.37</v>
      </c>
      <c r="C83">
        <v>0</v>
      </c>
      <c r="D83">
        <v>87.96</v>
      </c>
      <c r="E83">
        <v>3.5230000000000001</v>
      </c>
      <c r="F83">
        <v>215.73322580000001</v>
      </c>
      <c r="G83">
        <v>7.9619999999999997</v>
      </c>
    </row>
    <row r="84" spans="1:7" x14ac:dyDescent="0.35">
      <c r="A84" s="13">
        <v>40788</v>
      </c>
      <c r="B84">
        <v>15277.27</v>
      </c>
      <c r="C84">
        <v>0</v>
      </c>
      <c r="D84">
        <v>87.83</v>
      </c>
      <c r="E84">
        <v>3.5329999999999999</v>
      </c>
      <c r="F84">
        <v>215.79714089999999</v>
      </c>
      <c r="G84">
        <v>7.9619999999999997</v>
      </c>
    </row>
    <row r="85" spans="1:7" x14ac:dyDescent="0.35">
      <c r="A85" s="13">
        <v>40795</v>
      </c>
      <c r="B85">
        <v>17746.68</v>
      </c>
      <c r="C85">
        <v>1</v>
      </c>
      <c r="D85">
        <v>76</v>
      </c>
      <c r="E85">
        <v>3.5459999999999998</v>
      </c>
      <c r="F85">
        <v>215.86105599999999</v>
      </c>
      <c r="G85">
        <v>7.9619999999999997</v>
      </c>
    </row>
    <row r="86" spans="1:7" x14ac:dyDescent="0.35">
      <c r="A86" s="13">
        <v>40802</v>
      </c>
      <c r="B86">
        <v>18535.48</v>
      </c>
      <c r="C86">
        <v>0</v>
      </c>
      <c r="D86">
        <v>79.94</v>
      </c>
      <c r="E86">
        <v>3.5259999999999998</v>
      </c>
      <c r="F86">
        <v>216.0410526</v>
      </c>
      <c r="G86">
        <v>7.9619999999999997</v>
      </c>
    </row>
    <row r="87" spans="1:7" x14ac:dyDescent="0.35">
      <c r="A87" s="13">
        <v>40809</v>
      </c>
      <c r="B87">
        <v>17859.3</v>
      </c>
      <c r="C87">
        <v>0</v>
      </c>
      <c r="D87">
        <v>75.8</v>
      </c>
      <c r="E87">
        <v>3.4670000000000001</v>
      </c>
      <c r="F87">
        <v>216.37582459999999</v>
      </c>
      <c r="G87">
        <v>7.9619999999999997</v>
      </c>
    </row>
    <row r="88" spans="1:7" x14ac:dyDescent="0.35">
      <c r="A88" s="13">
        <v>40816</v>
      </c>
      <c r="B88">
        <v>18337.68</v>
      </c>
      <c r="C88">
        <v>0</v>
      </c>
      <c r="D88">
        <v>79.69</v>
      </c>
      <c r="E88">
        <v>3.355</v>
      </c>
      <c r="F88">
        <v>216.71059650000001</v>
      </c>
      <c r="G88">
        <v>7.9619999999999997</v>
      </c>
    </row>
    <row r="89" spans="1:7" x14ac:dyDescent="0.35">
      <c r="A89" s="13">
        <v>40823</v>
      </c>
      <c r="B89">
        <v>20797.580000000002</v>
      </c>
      <c r="C89">
        <v>0</v>
      </c>
      <c r="D89">
        <v>69.31</v>
      </c>
      <c r="E89">
        <v>3.2850000000000001</v>
      </c>
      <c r="F89">
        <v>217.0453684</v>
      </c>
      <c r="G89">
        <v>7.8659999999999997</v>
      </c>
    </row>
    <row r="90" spans="1:7" x14ac:dyDescent="0.35">
      <c r="A90" s="13">
        <v>40830</v>
      </c>
      <c r="B90">
        <v>23077.55</v>
      </c>
      <c r="C90">
        <v>0</v>
      </c>
      <c r="D90">
        <v>71.739999999999995</v>
      </c>
      <c r="E90">
        <v>3.274</v>
      </c>
      <c r="F90">
        <v>217.35527329999999</v>
      </c>
      <c r="G90">
        <v>7.8659999999999997</v>
      </c>
    </row>
    <row r="91" spans="1:7" x14ac:dyDescent="0.35">
      <c r="A91" s="13">
        <v>40837</v>
      </c>
      <c r="B91">
        <v>23351.8</v>
      </c>
      <c r="C91">
        <v>0</v>
      </c>
      <c r="D91">
        <v>63.71</v>
      </c>
      <c r="E91">
        <v>3.3530000000000002</v>
      </c>
      <c r="F91">
        <v>217.51597620000001</v>
      </c>
      <c r="G91">
        <v>7.8659999999999997</v>
      </c>
    </row>
    <row r="92" spans="1:7" x14ac:dyDescent="0.35">
      <c r="A92" s="13">
        <v>40844</v>
      </c>
      <c r="B92">
        <v>31579.9</v>
      </c>
      <c r="C92">
        <v>0</v>
      </c>
      <c r="D92">
        <v>66.569999999999993</v>
      </c>
      <c r="E92">
        <v>3.3719999999999999</v>
      </c>
      <c r="F92">
        <v>217.6766791</v>
      </c>
      <c r="G92">
        <v>7.8659999999999997</v>
      </c>
    </row>
    <row r="93" spans="1:7" x14ac:dyDescent="0.35">
      <c r="A93" s="13">
        <v>40851</v>
      </c>
      <c r="B93">
        <v>39886.06</v>
      </c>
      <c r="C93">
        <v>0</v>
      </c>
      <c r="D93">
        <v>54.98</v>
      </c>
      <c r="E93">
        <v>3.3319999999999999</v>
      </c>
      <c r="F93">
        <v>217.83738199999999</v>
      </c>
      <c r="G93">
        <v>7.8659999999999997</v>
      </c>
    </row>
    <row r="94" spans="1:7" x14ac:dyDescent="0.35">
      <c r="A94" s="13">
        <v>40858</v>
      </c>
      <c r="B94">
        <v>18689.54</v>
      </c>
      <c r="C94">
        <v>0</v>
      </c>
      <c r="D94">
        <v>59.11</v>
      </c>
      <c r="E94">
        <v>3.2970000000000002</v>
      </c>
      <c r="F94">
        <v>217.99808490000001</v>
      </c>
      <c r="G94">
        <v>7.8659999999999997</v>
      </c>
    </row>
    <row r="95" spans="1:7" x14ac:dyDescent="0.35">
      <c r="A95" s="13">
        <v>40865</v>
      </c>
      <c r="B95">
        <v>19050.66</v>
      </c>
      <c r="C95">
        <v>0</v>
      </c>
      <c r="D95">
        <v>62.25</v>
      </c>
      <c r="E95">
        <v>3.3079999999999998</v>
      </c>
      <c r="F95">
        <v>218.2205088</v>
      </c>
      <c r="G95">
        <v>7.8659999999999997</v>
      </c>
    </row>
    <row r="96" spans="1:7" x14ac:dyDescent="0.35">
      <c r="A96" s="13">
        <v>40872</v>
      </c>
      <c r="B96">
        <v>20911.25</v>
      </c>
      <c r="C96">
        <v>1</v>
      </c>
      <c r="D96">
        <v>60.14</v>
      </c>
      <c r="E96">
        <v>3.2360000000000002</v>
      </c>
      <c r="F96">
        <v>218.4676211</v>
      </c>
      <c r="G96">
        <v>7.8659999999999997</v>
      </c>
    </row>
    <row r="97" spans="1:7" x14ac:dyDescent="0.35">
      <c r="A97" s="13">
        <v>40879</v>
      </c>
      <c r="B97">
        <v>25293.49</v>
      </c>
      <c r="C97">
        <v>0</v>
      </c>
      <c r="D97">
        <v>48.91</v>
      </c>
      <c r="E97">
        <v>3.1720000000000002</v>
      </c>
      <c r="F97">
        <v>218.71473330000001</v>
      </c>
      <c r="G97">
        <v>7.8659999999999997</v>
      </c>
    </row>
    <row r="98" spans="1:7" x14ac:dyDescent="0.35">
      <c r="A98" s="13">
        <v>40886</v>
      </c>
      <c r="B98">
        <v>33305.919999999998</v>
      </c>
      <c r="C98">
        <v>0</v>
      </c>
      <c r="D98">
        <v>43.93</v>
      </c>
      <c r="E98">
        <v>3.1579999999999999</v>
      </c>
      <c r="F98">
        <v>218.9618456</v>
      </c>
      <c r="G98">
        <v>7.8659999999999997</v>
      </c>
    </row>
    <row r="99" spans="1:7" x14ac:dyDescent="0.35">
      <c r="A99" s="13">
        <v>40893</v>
      </c>
      <c r="B99">
        <v>45773.03</v>
      </c>
      <c r="C99">
        <v>0</v>
      </c>
      <c r="D99">
        <v>51.63</v>
      </c>
      <c r="E99">
        <v>3.1589999999999998</v>
      </c>
      <c r="F99">
        <v>219.17945330000001</v>
      </c>
      <c r="G99">
        <v>7.8659999999999997</v>
      </c>
    </row>
    <row r="100" spans="1:7" x14ac:dyDescent="0.35">
      <c r="A100" s="13">
        <v>40900</v>
      </c>
      <c r="B100">
        <v>46788.75</v>
      </c>
      <c r="C100">
        <v>0</v>
      </c>
      <c r="D100">
        <v>47.96</v>
      </c>
      <c r="E100">
        <v>3.1120000000000001</v>
      </c>
      <c r="F100">
        <v>219.35772159999999</v>
      </c>
      <c r="G100">
        <v>7.8659999999999997</v>
      </c>
    </row>
    <row r="101" spans="1:7" x14ac:dyDescent="0.35">
      <c r="A101" s="13">
        <v>40907</v>
      </c>
      <c r="B101">
        <v>23350.880000000001</v>
      </c>
      <c r="C101">
        <v>1</v>
      </c>
      <c r="D101">
        <v>44.55</v>
      </c>
      <c r="E101">
        <v>3.129</v>
      </c>
      <c r="F101">
        <v>219.53598980000001</v>
      </c>
      <c r="G101">
        <v>7.8659999999999997</v>
      </c>
    </row>
    <row r="102" spans="1:7" x14ac:dyDescent="0.35">
      <c r="A102" s="13">
        <v>40914</v>
      </c>
      <c r="B102">
        <v>16567.689999999999</v>
      </c>
      <c r="C102">
        <v>0</v>
      </c>
      <c r="D102">
        <v>49.01</v>
      </c>
      <c r="E102">
        <v>3.157</v>
      </c>
      <c r="F102">
        <v>219.7142581</v>
      </c>
      <c r="G102">
        <v>7.3479999999999999</v>
      </c>
    </row>
    <row r="103" spans="1:7" x14ac:dyDescent="0.35">
      <c r="A103" s="13">
        <v>40921</v>
      </c>
      <c r="B103">
        <v>16894.400000000001</v>
      </c>
      <c r="C103">
        <v>0</v>
      </c>
      <c r="D103">
        <v>48.53</v>
      </c>
      <c r="E103">
        <v>3.2610000000000001</v>
      </c>
      <c r="F103">
        <v>219.89252629999999</v>
      </c>
      <c r="G103">
        <v>7.3479999999999999</v>
      </c>
    </row>
    <row r="104" spans="1:7" x14ac:dyDescent="0.35">
      <c r="A104" s="13">
        <v>40928</v>
      </c>
      <c r="B104">
        <v>18365.099999999999</v>
      </c>
      <c r="C104">
        <v>0</v>
      </c>
      <c r="D104">
        <v>54.11</v>
      </c>
      <c r="E104">
        <v>3.2679999999999998</v>
      </c>
      <c r="F104">
        <v>219.98568929999999</v>
      </c>
      <c r="G104">
        <v>7.3479999999999999</v>
      </c>
    </row>
    <row r="105" spans="1:7" x14ac:dyDescent="0.35">
      <c r="A105" s="13">
        <v>40935</v>
      </c>
      <c r="B105">
        <v>18378.16</v>
      </c>
      <c r="C105">
        <v>0</v>
      </c>
      <c r="D105">
        <v>54.26</v>
      </c>
      <c r="E105">
        <v>3.29</v>
      </c>
      <c r="F105">
        <v>220.07885229999999</v>
      </c>
      <c r="G105">
        <v>7.3479999999999999</v>
      </c>
    </row>
    <row r="106" spans="1:7" x14ac:dyDescent="0.35">
      <c r="A106" s="13">
        <v>40942</v>
      </c>
      <c r="B106">
        <v>23510.49</v>
      </c>
      <c r="C106">
        <v>0</v>
      </c>
      <c r="D106">
        <v>56.55</v>
      </c>
      <c r="E106">
        <v>3.36</v>
      </c>
      <c r="F106">
        <v>220.1720153</v>
      </c>
      <c r="G106">
        <v>7.3479999999999999</v>
      </c>
    </row>
    <row r="107" spans="1:7" x14ac:dyDescent="0.35">
      <c r="A107" s="13">
        <v>40949</v>
      </c>
      <c r="B107">
        <v>36988.49</v>
      </c>
      <c r="C107">
        <v>1</v>
      </c>
      <c r="D107">
        <v>48.02</v>
      </c>
      <c r="E107">
        <v>3.4089999999999998</v>
      </c>
      <c r="F107">
        <v>220.2651783</v>
      </c>
      <c r="G107">
        <v>7.3479999999999999</v>
      </c>
    </row>
    <row r="108" spans="1:7" x14ac:dyDescent="0.35">
      <c r="A108" s="13">
        <v>40956</v>
      </c>
      <c r="B108">
        <v>54060.1</v>
      </c>
      <c r="C108">
        <v>0</v>
      </c>
      <c r="D108">
        <v>45.32</v>
      </c>
      <c r="E108">
        <v>3.51</v>
      </c>
      <c r="F108">
        <v>220.42575859999999</v>
      </c>
      <c r="G108">
        <v>7.3479999999999999</v>
      </c>
    </row>
    <row r="109" spans="1:7" x14ac:dyDescent="0.35">
      <c r="A109" s="13">
        <v>40963</v>
      </c>
      <c r="B109">
        <v>20124.22</v>
      </c>
      <c r="C109">
        <v>0</v>
      </c>
      <c r="D109">
        <v>57.25</v>
      </c>
      <c r="E109">
        <v>3.5550000000000002</v>
      </c>
      <c r="F109">
        <v>220.63690199999999</v>
      </c>
      <c r="G109">
        <v>7.3479999999999999</v>
      </c>
    </row>
    <row r="110" spans="1:7" x14ac:dyDescent="0.35">
      <c r="A110" s="13">
        <v>40970</v>
      </c>
      <c r="B110">
        <v>20113.03</v>
      </c>
      <c r="C110">
        <v>0</v>
      </c>
      <c r="D110">
        <v>60.96</v>
      </c>
      <c r="E110">
        <v>3.63</v>
      </c>
      <c r="F110">
        <v>220.84804539999999</v>
      </c>
      <c r="G110">
        <v>7.3479999999999999</v>
      </c>
    </row>
    <row r="111" spans="1:7" x14ac:dyDescent="0.35">
      <c r="A111" s="13">
        <v>40977</v>
      </c>
      <c r="B111">
        <v>21140.07</v>
      </c>
      <c r="C111">
        <v>0</v>
      </c>
      <c r="D111">
        <v>58.76</v>
      </c>
      <c r="E111">
        <v>3.669</v>
      </c>
      <c r="F111">
        <v>221.05918869999999</v>
      </c>
      <c r="G111">
        <v>7.3479999999999999</v>
      </c>
    </row>
    <row r="112" spans="1:7" x14ac:dyDescent="0.35">
      <c r="A112" s="13">
        <v>40984</v>
      </c>
      <c r="B112">
        <v>22366.880000000001</v>
      </c>
      <c r="C112">
        <v>0</v>
      </c>
      <c r="D112">
        <v>64.739999999999995</v>
      </c>
      <c r="E112">
        <v>3.734</v>
      </c>
      <c r="F112">
        <v>221.21181319999999</v>
      </c>
      <c r="G112">
        <v>7.3479999999999999</v>
      </c>
    </row>
    <row r="113" spans="1:7" x14ac:dyDescent="0.35">
      <c r="A113" s="13">
        <v>40991</v>
      </c>
      <c r="B113">
        <v>22107.7</v>
      </c>
      <c r="C113">
        <v>0</v>
      </c>
      <c r="D113">
        <v>65.930000000000007</v>
      </c>
      <c r="E113">
        <v>3.7869999999999999</v>
      </c>
      <c r="F113">
        <v>221.28641260000001</v>
      </c>
      <c r="G113">
        <v>7.3479999999999999</v>
      </c>
    </row>
    <row r="114" spans="1:7" x14ac:dyDescent="0.35">
      <c r="A114" s="13">
        <v>40998</v>
      </c>
      <c r="B114">
        <v>28952.86</v>
      </c>
      <c r="C114">
        <v>0</v>
      </c>
      <c r="D114">
        <v>67.61</v>
      </c>
      <c r="E114">
        <v>3.8450000000000002</v>
      </c>
      <c r="F114">
        <v>221.36101189999999</v>
      </c>
      <c r="G114">
        <v>7.3479999999999999</v>
      </c>
    </row>
    <row r="115" spans="1:7" x14ac:dyDescent="0.35">
      <c r="A115" s="13">
        <v>41005</v>
      </c>
      <c r="B115">
        <v>57592.12</v>
      </c>
      <c r="C115">
        <v>0</v>
      </c>
      <c r="D115">
        <v>70.430000000000007</v>
      </c>
      <c r="E115">
        <v>3.891</v>
      </c>
      <c r="F115">
        <v>221.43561120000001</v>
      </c>
      <c r="G115">
        <v>7.1429999999999998</v>
      </c>
    </row>
    <row r="116" spans="1:7" x14ac:dyDescent="0.35">
      <c r="A116" s="13">
        <v>41012</v>
      </c>
      <c r="B116">
        <v>34684.21</v>
      </c>
      <c r="C116">
        <v>0</v>
      </c>
      <c r="D116">
        <v>69.069999999999993</v>
      </c>
      <c r="E116">
        <v>3.891</v>
      </c>
      <c r="F116">
        <v>221.5102105</v>
      </c>
      <c r="G116">
        <v>7.1429999999999998</v>
      </c>
    </row>
    <row r="117" spans="1:7" x14ac:dyDescent="0.35">
      <c r="A117" s="13">
        <v>41019</v>
      </c>
      <c r="B117">
        <v>16976.189999999999</v>
      </c>
      <c r="C117">
        <v>0</v>
      </c>
      <c r="D117">
        <v>66.760000000000005</v>
      </c>
      <c r="E117">
        <v>3.8769999999999998</v>
      </c>
      <c r="F117">
        <v>221.56407369999999</v>
      </c>
      <c r="G117">
        <v>7.1429999999999998</v>
      </c>
    </row>
    <row r="118" spans="1:7" x14ac:dyDescent="0.35">
      <c r="A118" s="13">
        <v>41026</v>
      </c>
      <c r="B118">
        <v>16347.6</v>
      </c>
      <c r="C118">
        <v>0</v>
      </c>
      <c r="D118">
        <v>67.23</v>
      </c>
      <c r="E118">
        <v>3.8140000000000001</v>
      </c>
      <c r="F118">
        <v>221.6179368</v>
      </c>
      <c r="G118">
        <v>7.1429999999999998</v>
      </c>
    </row>
    <row r="119" spans="1:7" x14ac:dyDescent="0.35">
      <c r="A119" s="13">
        <v>41033</v>
      </c>
      <c r="B119">
        <v>17147.439999999999</v>
      </c>
      <c r="C119">
        <v>0</v>
      </c>
      <c r="D119">
        <v>75.55</v>
      </c>
      <c r="E119">
        <v>3.7490000000000001</v>
      </c>
      <c r="F119">
        <v>221.67179999999999</v>
      </c>
      <c r="G119">
        <v>7.1429999999999998</v>
      </c>
    </row>
    <row r="120" spans="1:7" x14ac:dyDescent="0.35">
      <c r="A120" s="13">
        <v>41040</v>
      </c>
      <c r="B120">
        <v>18164.2</v>
      </c>
      <c r="C120">
        <v>0</v>
      </c>
      <c r="D120">
        <v>73.77</v>
      </c>
      <c r="E120">
        <v>3.6880000000000002</v>
      </c>
      <c r="F120">
        <v>221.72566320000001</v>
      </c>
      <c r="G120">
        <v>7.1429999999999998</v>
      </c>
    </row>
    <row r="121" spans="1:7" x14ac:dyDescent="0.35">
      <c r="A121" s="13">
        <v>41047</v>
      </c>
      <c r="B121">
        <v>18517.79</v>
      </c>
      <c r="C121">
        <v>0</v>
      </c>
      <c r="D121">
        <v>70.33</v>
      </c>
      <c r="E121">
        <v>3.63</v>
      </c>
      <c r="F121">
        <v>221.74267399999999</v>
      </c>
      <c r="G121">
        <v>7.1429999999999998</v>
      </c>
    </row>
    <row r="122" spans="1:7" x14ac:dyDescent="0.35">
      <c r="A122" s="13">
        <v>41054</v>
      </c>
      <c r="B122">
        <v>16963.55</v>
      </c>
      <c r="C122">
        <v>0</v>
      </c>
      <c r="D122">
        <v>77.22</v>
      </c>
      <c r="E122">
        <v>3.5609999999999999</v>
      </c>
      <c r="F122">
        <v>221.744944</v>
      </c>
      <c r="G122">
        <v>7.1429999999999998</v>
      </c>
    </row>
    <row r="123" spans="1:7" x14ac:dyDescent="0.35">
      <c r="A123" s="13">
        <v>41061</v>
      </c>
      <c r="B123">
        <v>16065.49</v>
      </c>
      <c r="C123">
        <v>0</v>
      </c>
      <c r="D123">
        <v>77.95</v>
      </c>
      <c r="E123">
        <v>3.5009999999999999</v>
      </c>
      <c r="F123">
        <v>221.74721389999999</v>
      </c>
      <c r="G123">
        <v>7.1429999999999998</v>
      </c>
    </row>
    <row r="124" spans="1:7" x14ac:dyDescent="0.35">
      <c r="A124" s="13">
        <v>41068</v>
      </c>
      <c r="B124">
        <v>17666</v>
      </c>
      <c r="C124">
        <v>0</v>
      </c>
      <c r="D124">
        <v>78.3</v>
      </c>
      <c r="E124">
        <v>3.452</v>
      </c>
      <c r="F124">
        <v>221.7494839</v>
      </c>
      <c r="G124">
        <v>7.1429999999999998</v>
      </c>
    </row>
    <row r="125" spans="1:7" x14ac:dyDescent="0.35">
      <c r="A125" s="13">
        <v>41075</v>
      </c>
      <c r="B125">
        <v>17558.82</v>
      </c>
      <c r="C125">
        <v>0</v>
      </c>
      <c r="D125">
        <v>79.349999999999994</v>
      </c>
      <c r="E125">
        <v>3.3929999999999998</v>
      </c>
      <c r="F125">
        <v>221.76264209999999</v>
      </c>
      <c r="G125">
        <v>7.1429999999999998</v>
      </c>
    </row>
    <row r="126" spans="1:7" x14ac:dyDescent="0.35">
      <c r="A126" s="13">
        <v>41082</v>
      </c>
      <c r="B126">
        <v>16633.41</v>
      </c>
      <c r="C126">
        <v>0</v>
      </c>
      <c r="D126">
        <v>78.39</v>
      </c>
      <c r="E126">
        <v>3.3460000000000001</v>
      </c>
      <c r="F126">
        <v>221.8030211</v>
      </c>
      <c r="G126">
        <v>7.1429999999999998</v>
      </c>
    </row>
    <row r="127" spans="1:7" x14ac:dyDescent="0.35">
      <c r="A127" s="13">
        <v>41089</v>
      </c>
      <c r="B127">
        <v>15722.82</v>
      </c>
      <c r="C127">
        <v>0</v>
      </c>
      <c r="D127">
        <v>84.88</v>
      </c>
      <c r="E127">
        <v>3.286</v>
      </c>
      <c r="F127">
        <v>221.8434</v>
      </c>
      <c r="G127">
        <v>7.1429999999999998</v>
      </c>
    </row>
    <row r="128" spans="1:7" x14ac:dyDescent="0.35">
      <c r="A128" s="13">
        <v>41096</v>
      </c>
      <c r="B128">
        <v>17823.37</v>
      </c>
      <c r="C128">
        <v>0</v>
      </c>
      <c r="D128">
        <v>81.569999999999993</v>
      </c>
      <c r="E128">
        <v>3.2269999999999999</v>
      </c>
      <c r="F128">
        <v>221.88377890000001</v>
      </c>
      <c r="G128">
        <v>6.9080000000000004</v>
      </c>
    </row>
    <row r="129" spans="1:7" x14ac:dyDescent="0.35">
      <c r="A129" s="13">
        <v>41103</v>
      </c>
      <c r="B129">
        <v>16566.18</v>
      </c>
      <c r="C129">
        <v>0</v>
      </c>
      <c r="D129">
        <v>77.12</v>
      </c>
      <c r="E129">
        <v>3.2559999999999998</v>
      </c>
      <c r="F129">
        <v>221.92415790000001</v>
      </c>
      <c r="G129">
        <v>6.9080000000000004</v>
      </c>
    </row>
    <row r="130" spans="1:7" x14ac:dyDescent="0.35">
      <c r="A130" s="13">
        <v>41110</v>
      </c>
      <c r="B130">
        <v>16348.06</v>
      </c>
      <c r="C130">
        <v>0</v>
      </c>
      <c r="D130">
        <v>80.42</v>
      </c>
      <c r="E130">
        <v>3.3109999999999999</v>
      </c>
      <c r="F130">
        <v>221.93272669999999</v>
      </c>
      <c r="G130">
        <v>6.9080000000000004</v>
      </c>
    </row>
    <row r="131" spans="1:7" x14ac:dyDescent="0.35">
      <c r="A131" s="13">
        <v>41117</v>
      </c>
      <c r="B131">
        <v>15731.18</v>
      </c>
      <c r="C131">
        <v>0</v>
      </c>
      <c r="D131">
        <v>82.66</v>
      </c>
      <c r="E131">
        <v>3.407</v>
      </c>
      <c r="F131">
        <v>221.9412954</v>
      </c>
      <c r="G131">
        <v>6.9080000000000004</v>
      </c>
    </row>
    <row r="132" spans="1:7" x14ac:dyDescent="0.35">
      <c r="A132" s="13">
        <v>41124</v>
      </c>
      <c r="B132">
        <v>16628.310000000001</v>
      </c>
      <c r="C132">
        <v>0</v>
      </c>
      <c r="D132">
        <v>86.11</v>
      </c>
      <c r="E132">
        <v>3.4169999999999998</v>
      </c>
      <c r="F132">
        <v>221.94986420000001</v>
      </c>
      <c r="G132">
        <v>6.9080000000000004</v>
      </c>
    </row>
    <row r="133" spans="1:7" x14ac:dyDescent="0.35">
      <c r="A133" s="13">
        <v>41131</v>
      </c>
      <c r="B133">
        <v>16119.92</v>
      </c>
      <c r="C133">
        <v>0</v>
      </c>
      <c r="D133">
        <v>85.05</v>
      </c>
      <c r="E133">
        <v>3.4940000000000002</v>
      </c>
      <c r="F133">
        <v>221.95843289999999</v>
      </c>
      <c r="G133">
        <v>6.9080000000000004</v>
      </c>
    </row>
    <row r="134" spans="1:7" x14ac:dyDescent="0.35">
      <c r="A134" s="13">
        <v>41138</v>
      </c>
      <c r="B134">
        <v>17330.7</v>
      </c>
      <c r="C134">
        <v>0</v>
      </c>
      <c r="D134">
        <v>84.85</v>
      </c>
      <c r="E134">
        <v>3.5710000000000002</v>
      </c>
      <c r="F134">
        <v>222.0384109</v>
      </c>
      <c r="G134">
        <v>6.9080000000000004</v>
      </c>
    </row>
    <row r="135" spans="1:7" x14ac:dyDescent="0.35">
      <c r="A135" s="13">
        <v>41145</v>
      </c>
      <c r="B135">
        <v>16286.4</v>
      </c>
      <c r="C135">
        <v>0</v>
      </c>
      <c r="D135">
        <v>77.66</v>
      </c>
      <c r="E135">
        <v>3.62</v>
      </c>
      <c r="F135">
        <v>222.17194570000001</v>
      </c>
      <c r="G135">
        <v>6.9080000000000004</v>
      </c>
    </row>
    <row r="136" spans="1:7" x14ac:dyDescent="0.35">
      <c r="A136" s="13">
        <v>41152</v>
      </c>
      <c r="B136">
        <v>16680.240000000002</v>
      </c>
      <c r="C136">
        <v>0</v>
      </c>
      <c r="D136">
        <v>80.489999999999995</v>
      </c>
      <c r="E136">
        <v>3.6379999999999999</v>
      </c>
      <c r="F136">
        <v>222.30548049999999</v>
      </c>
      <c r="G136">
        <v>6.9080000000000004</v>
      </c>
    </row>
    <row r="137" spans="1:7" x14ac:dyDescent="0.35">
      <c r="A137" s="13">
        <v>41159</v>
      </c>
      <c r="B137">
        <v>18322.37</v>
      </c>
      <c r="C137">
        <v>1</v>
      </c>
      <c r="D137">
        <v>83.96</v>
      </c>
      <c r="E137">
        <v>3.73</v>
      </c>
      <c r="F137">
        <v>222.43901529999999</v>
      </c>
      <c r="G137">
        <v>6.9080000000000004</v>
      </c>
    </row>
    <row r="138" spans="1:7" x14ac:dyDescent="0.35">
      <c r="A138" s="13">
        <v>41166</v>
      </c>
      <c r="B138">
        <v>19616.22</v>
      </c>
      <c r="C138">
        <v>0</v>
      </c>
      <c r="D138">
        <v>74.97</v>
      </c>
      <c r="E138">
        <v>3.7170000000000001</v>
      </c>
      <c r="F138">
        <v>222.58201930000001</v>
      </c>
      <c r="G138">
        <v>6.9080000000000004</v>
      </c>
    </row>
    <row r="139" spans="1:7" x14ac:dyDescent="0.35">
      <c r="A139" s="13">
        <v>41173</v>
      </c>
      <c r="B139">
        <v>19251.5</v>
      </c>
      <c r="C139">
        <v>0</v>
      </c>
      <c r="D139">
        <v>69.87</v>
      </c>
      <c r="E139">
        <v>3.7210000000000001</v>
      </c>
      <c r="F139">
        <v>222.78183859999999</v>
      </c>
      <c r="G139">
        <v>6.9080000000000004</v>
      </c>
    </row>
    <row r="140" spans="1:7" x14ac:dyDescent="0.35">
      <c r="A140" s="13">
        <v>41180</v>
      </c>
      <c r="B140">
        <v>18947.810000000001</v>
      </c>
      <c r="C140">
        <v>0</v>
      </c>
      <c r="D140">
        <v>76.08</v>
      </c>
      <c r="E140">
        <v>3.6659999999999999</v>
      </c>
      <c r="F140">
        <v>222.98165789999999</v>
      </c>
      <c r="G140">
        <v>6.9080000000000004</v>
      </c>
    </row>
    <row r="141" spans="1:7" x14ac:dyDescent="0.35">
      <c r="A141" s="13">
        <v>41187</v>
      </c>
      <c r="B141">
        <v>21904.47</v>
      </c>
      <c r="C141">
        <v>0</v>
      </c>
      <c r="D141">
        <v>68.55</v>
      </c>
      <c r="E141">
        <v>3.617</v>
      </c>
      <c r="F141">
        <v>223.18147719999999</v>
      </c>
      <c r="G141">
        <v>6.5730000000000004</v>
      </c>
    </row>
    <row r="142" spans="1:7" x14ac:dyDescent="0.35">
      <c r="A142" s="13">
        <v>41194</v>
      </c>
      <c r="B142">
        <v>22764.01</v>
      </c>
      <c r="C142">
        <v>0</v>
      </c>
      <c r="D142">
        <v>62.99</v>
      </c>
      <c r="E142">
        <v>3.601</v>
      </c>
      <c r="F142">
        <v>223.38129649999999</v>
      </c>
      <c r="G142">
        <v>6.5730000000000004</v>
      </c>
    </row>
    <row r="143" spans="1:7" x14ac:dyDescent="0.35">
      <c r="A143" s="13">
        <v>41201</v>
      </c>
      <c r="B143">
        <v>24185.27</v>
      </c>
      <c r="C143">
        <v>0</v>
      </c>
      <c r="D143">
        <v>67.97</v>
      </c>
      <c r="E143">
        <v>3.5939999999999999</v>
      </c>
      <c r="F143">
        <v>223.42572329999999</v>
      </c>
      <c r="G143">
        <v>6.5730000000000004</v>
      </c>
    </row>
    <row r="144" spans="1:7" x14ac:dyDescent="0.35">
      <c r="A144" s="13">
        <v>41208</v>
      </c>
      <c r="B144">
        <v>27390.81</v>
      </c>
      <c r="C144">
        <v>0</v>
      </c>
      <c r="D144">
        <v>69.16</v>
      </c>
      <c r="E144">
        <v>3.5059999999999998</v>
      </c>
      <c r="F144">
        <v>223.44425129999999</v>
      </c>
      <c r="G144">
        <v>6.5730000000000004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9C04-C30E-48E6-AADB-751E7367ECAD}">
  <dimension ref="A1:N144"/>
  <sheetViews>
    <sheetView workbookViewId="0">
      <selection activeCell="M18" sqref="M18"/>
    </sheetView>
  </sheetViews>
  <sheetFormatPr defaultRowHeight="14.5" x14ac:dyDescent="0.35"/>
  <cols>
    <col min="1" max="1" width="10.90625"/>
    <col min="2" max="2" width="12.08984375" bestFit="1" customWidth="1"/>
    <col min="3" max="3" width="13" bestFit="1" customWidth="1"/>
    <col min="4" max="4" width="11.36328125" bestFit="1" customWidth="1"/>
    <col min="6" max="6" width="11.81640625" bestFit="1" customWidth="1"/>
    <col min="7" max="7" width="8.7265625" style="14"/>
    <col min="11" max="11" width="10.81640625" bestFit="1" customWidth="1"/>
  </cols>
  <sheetData>
    <row r="1" spans="1:14" x14ac:dyDescent="0.35">
      <c r="A1" s="43" t="s">
        <v>18</v>
      </c>
      <c r="B1" s="43" t="s">
        <v>19</v>
      </c>
      <c r="C1" s="43" t="s">
        <v>26</v>
      </c>
      <c r="D1" s="43" t="s">
        <v>27</v>
      </c>
      <c r="E1" s="43" t="s">
        <v>60</v>
      </c>
      <c r="F1" s="43" t="s">
        <v>61</v>
      </c>
      <c r="G1" s="44" t="s">
        <v>62</v>
      </c>
    </row>
    <row r="2" spans="1:14" x14ac:dyDescent="0.35">
      <c r="A2" s="21">
        <v>40214</v>
      </c>
      <c r="B2" s="19">
        <v>24924.5</v>
      </c>
      <c r="C2" s="19"/>
      <c r="D2" s="20"/>
      <c r="E2" s="19"/>
      <c r="F2" s="19"/>
      <c r="G2" s="20"/>
    </row>
    <row r="3" spans="1:14" x14ac:dyDescent="0.35">
      <c r="A3" s="21">
        <v>40221</v>
      </c>
      <c r="B3" s="19">
        <v>46039.49</v>
      </c>
      <c r="C3" s="19">
        <f>B2</f>
        <v>24924.5</v>
      </c>
      <c r="D3" s="20">
        <f>IF(C3=0,0,(B3/C3)-1)</f>
        <v>0.84715801721198014</v>
      </c>
      <c r="E3" s="19">
        <f t="shared" ref="E3:E66" si="0">AVERAGE(ABS(B3-C3))</f>
        <v>21114.989999999998</v>
      </c>
      <c r="F3" s="19">
        <f t="shared" ref="F3:F66" si="1">AVERAGE((B3-C3)^2)</f>
        <v>445842802.70009989</v>
      </c>
      <c r="G3" s="20">
        <f t="shared" ref="G3:G66" si="2">AVERAGE(ABS(B3-C3)/B3)</f>
        <v>0.45862779974322043</v>
      </c>
      <c r="L3" s="15"/>
    </row>
    <row r="4" spans="1:14" x14ac:dyDescent="0.35">
      <c r="A4" s="21">
        <v>40228</v>
      </c>
      <c r="B4" s="19">
        <v>41595.550000000003</v>
      </c>
      <c r="C4" s="19">
        <f t="shared" ref="C4:C67" si="3">B3</f>
        <v>46039.49</v>
      </c>
      <c r="D4" s="20">
        <f t="shared" ref="D4:D67" si="4">IF(C4=0,0,(B4/C4)-1)</f>
        <v>-9.6524527096194968E-2</v>
      </c>
      <c r="E4" s="19">
        <f t="shared" si="0"/>
        <v>4443.9399999999951</v>
      </c>
      <c r="F4" s="19">
        <f t="shared" si="1"/>
        <v>19748602.723599955</v>
      </c>
      <c r="G4" s="20">
        <f t="shared" si="2"/>
        <v>0.10683690923668505</v>
      </c>
      <c r="M4" s="15"/>
      <c r="N4" s="16"/>
    </row>
    <row r="5" spans="1:14" x14ac:dyDescent="0.35">
      <c r="A5" s="21">
        <v>40235</v>
      </c>
      <c r="B5" s="19">
        <v>19403.54</v>
      </c>
      <c r="C5" s="19">
        <f t="shared" si="3"/>
        <v>41595.550000000003</v>
      </c>
      <c r="D5" s="20">
        <f t="shared" si="4"/>
        <v>-0.53351884997313415</v>
      </c>
      <c r="E5" s="19">
        <f t="shared" si="0"/>
        <v>22192.010000000002</v>
      </c>
      <c r="F5" s="19">
        <f t="shared" si="1"/>
        <v>492485307.84010011</v>
      </c>
      <c r="G5" s="20">
        <f t="shared" si="2"/>
        <v>1.1437093437589223</v>
      </c>
    </row>
    <row r="6" spans="1:14" x14ac:dyDescent="0.35">
      <c r="A6" s="21">
        <v>40242</v>
      </c>
      <c r="B6" s="19">
        <v>21827.9</v>
      </c>
      <c r="C6" s="19">
        <f t="shared" si="3"/>
        <v>19403.54</v>
      </c>
      <c r="D6" s="20">
        <f t="shared" si="4"/>
        <v>0.12494421121094401</v>
      </c>
      <c r="E6" s="19">
        <f t="shared" si="0"/>
        <v>2424.3600000000006</v>
      </c>
      <c r="F6" s="19">
        <f t="shared" si="1"/>
        <v>5877521.4096000027</v>
      </c>
      <c r="G6" s="20">
        <f t="shared" si="2"/>
        <v>0.11106702889421338</v>
      </c>
    </row>
    <row r="7" spans="1:14" x14ac:dyDescent="0.35">
      <c r="A7" s="21">
        <v>40249</v>
      </c>
      <c r="B7" s="19">
        <v>21043.39</v>
      </c>
      <c r="C7" s="19">
        <f t="shared" si="3"/>
        <v>21827.9</v>
      </c>
      <c r="D7" s="20">
        <f t="shared" si="4"/>
        <v>-3.5940699746654592E-2</v>
      </c>
      <c r="E7" s="19">
        <f t="shared" si="0"/>
        <v>784.51000000000204</v>
      </c>
      <c r="F7" s="19">
        <f t="shared" si="1"/>
        <v>615455.94010000315</v>
      </c>
      <c r="G7" s="20">
        <f t="shared" si="2"/>
        <v>3.7280590247103819E-2</v>
      </c>
    </row>
    <row r="8" spans="1:14" x14ac:dyDescent="0.35">
      <c r="A8" s="21">
        <v>40256</v>
      </c>
      <c r="B8" s="19">
        <v>22136.639999999999</v>
      </c>
      <c r="C8" s="19">
        <f t="shared" si="3"/>
        <v>21043.39</v>
      </c>
      <c r="D8" s="20">
        <f t="shared" si="4"/>
        <v>5.1952180708526585E-2</v>
      </c>
      <c r="E8" s="19">
        <f t="shared" si="0"/>
        <v>1093.25</v>
      </c>
      <c r="F8" s="19">
        <f t="shared" si="1"/>
        <v>1195195.5625</v>
      </c>
      <c r="G8" s="20">
        <f t="shared" si="2"/>
        <v>4.9386447085013808E-2</v>
      </c>
    </row>
    <row r="9" spans="1:14" x14ac:dyDescent="0.35">
      <c r="A9" s="21">
        <v>40263</v>
      </c>
      <c r="B9" s="19">
        <v>26229.21</v>
      </c>
      <c r="C9" s="19">
        <f t="shared" si="3"/>
        <v>22136.639999999999</v>
      </c>
      <c r="D9" s="20">
        <f t="shared" si="4"/>
        <v>0.18487765080879481</v>
      </c>
      <c r="E9" s="19">
        <f t="shared" si="0"/>
        <v>4092.5699999999997</v>
      </c>
      <c r="F9" s="19">
        <f t="shared" si="1"/>
        <v>16749129.204899998</v>
      </c>
      <c r="G9" s="20">
        <f t="shared" si="2"/>
        <v>0.15603100512748955</v>
      </c>
    </row>
    <row r="10" spans="1:14" x14ac:dyDescent="0.35">
      <c r="A10" s="21">
        <v>40270</v>
      </c>
      <c r="B10" s="19">
        <v>57258.43</v>
      </c>
      <c r="C10" s="19">
        <f t="shared" si="3"/>
        <v>26229.21</v>
      </c>
      <c r="D10" s="20">
        <f t="shared" si="4"/>
        <v>1.1830024617592372</v>
      </c>
      <c r="E10" s="19">
        <f t="shared" si="0"/>
        <v>31029.22</v>
      </c>
      <c r="F10" s="19">
        <f t="shared" si="1"/>
        <v>962812493.80840003</v>
      </c>
      <c r="G10" s="20">
        <f t="shared" si="2"/>
        <v>0.54191531273211646</v>
      </c>
    </row>
    <row r="11" spans="1:14" x14ac:dyDescent="0.35">
      <c r="A11" s="21">
        <v>40277</v>
      </c>
      <c r="B11" s="19">
        <v>42960.91</v>
      </c>
      <c r="C11" s="19">
        <f t="shared" si="3"/>
        <v>57258.43</v>
      </c>
      <c r="D11" s="20">
        <f t="shared" si="4"/>
        <v>-0.2497015723274284</v>
      </c>
      <c r="E11" s="19">
        <f t="shared" si="0"/>
        <v>14297.519999999997</v>
      </c>
      <c r="F11" s="19">
        <f t="shared" si="1"/>
        <v>204419078.15039992</v>
      </c>
      <c r="G11" s="20">
        <f t="shared" si="2"/>
        <v>0.3328030062677908</v>
      </c>
    </row>
    <row r="12" spans="1:14" x14ac:dyDescent="0.35">
      <c r="A12" s="21">
        <v>40284</v>
      </c>
      <c r="B12" s="19">
        <v>17596.96</v>
      </c>
      <c r="C12" s="19">
        <f t="shared" si="3"/>
        <v>42960.91</v>
      </c>
      <c r="D12" s="20">
        <f t="shared" si="4"/>
        <v>-0.59039601349226545</v>
      </c>
      <c r="E12" s="19">
        <f t="shared" si="0"/>
        <v>25363.950000000004</v>
      </c>
      <c r="F12" s="19">
        <f t="shared" si="1"/>
        <v>643329959.6025002</v>
      </c>
      <c r="G12" s="20">
        <f t="shared" si="2"/>
        <v>1.4413824887935192</v>
      </c>
    </row>
    <row r="13" spans="1:14" x14ac:dyDescent="0.35">
      <c r="A13" s="21">
        <v>40291</v>
      </c>
      <c r="B13" s="19">
        <v>16145.35</v>
      </c>
      <c r="C13" s="19">
        <f t="shared" si="3"/>
        <v>17596.96</v>
      </c>
      <c r="D13" s="20">
        <f t="shared" si="4"/>
        <v>-8.2492089542739122E-2</v>
      </c>
      <c r="E13" s="19">
        <f t="shared" si="0"/>
        <v>1451.6099999999988</v>
      </c>
      <c r="F13" s="19">
        <f t="shared" si="1"/>
        <v>2107171.5920999963</v>
      </c>
      <c r="G13" s="20">
        <f t="shared" si="2"/>
        <v>8.9908859207140063E-2</v>
      </c>
    </row>
    <row r="14" spans="1:14" x14ac:dyDescent="0.35">
      <c r="A14" s="21">
        <v>40298</v>
      </c>
      <c r="B14" s="19">
        <v>16555.11</v>
      </c>
      <c r="C14" s="19">
        <f t="shared" si="3"/>
        <v>16145.35</v>
      </c>
      <c r="D14" s="20">
        <f t="shared" si="4"/>
        <v>2.5379443616892816E-2</v>
      </c>
      <c r="E14" s="19">
        <f t="shared" si="0"/>
        <v>409.76000000000022</v>
      </c>
      <c r="F14" s="19">
        <f t="shared" si="1"/>
        <v>167903.25760000019</v>
      </c>
      <c r="G14" s="20">
        <f t="shared" si="2"/>
        <v>2.4751270151632952E-2</v>
      </c>
    </row>
    <row r="15" spans="1:14" x14ac:dyDescent="0.35">
      <c r="A15" s="21">
        <v>40305</v>
      </c>
      <c r="B15" s="19">
        <v>17413.939999999999</v>
      </c>
      <c r="C15" s="19">
        <f t="shared" si="3"/>
        <v>16555.11</v>
      </c>
      <c r="D15" s="20">
        <f t="shared" si="4"/>
        <v>5.1877033737619316E-2</v>
      </c>
      <c r="E15" s="19">
        <f t="shared" si="0"/>
        <v>858.82999999999811</v>
      </c>
      <c r="F15" s="19">
        <f t="shared" si="1"/>
        <v>737588.96889999672</v>
      </c>
      <c r="G15" s="20">
        <f t="shared" si="2"/>
        <v>4.9318534461471566E-2</v>
      </c>
    </row>
    <row r="16" spans="1:14" ht="15" thickBot="1" x14ac:dyDescent="0.4">
      <c r="A16" s="21">
        <v>40312</v>
      </c>
      <c r="B16" s="19">
        <v>18926.740000000002</v>
      </c>
      <c r="C16" s="19">
        <f t="shared" si="3"/>
        <v>17413.939999999999</v>
      </c>
      <c r="D16" s="20">
        <f t="shared" si="4"/>
        <v>8.6872930537259307E-2</v>
      </c>
      <c r="E16" s="19">
        <f t="shared" si="0"/>
        <v>1512.8000000000029</v>
      </c>
      <c r="F16" s="19">
        <f t="shared" si="1"/>
        <v>2288563.8400000087</v>
      </c>
      <c r="G16" s="20">
        <f t="shared" si="2"/>
        <v>7.9929242965244035E-2</v>
      </c>
    </row>
    <row r="17" spans="1:12" x14ac:dyDescent="0.35">
      <c r="A17" s="21">
        <v>40319</v>
      </c>
      <c r="B17" s="19">
        <v>14773.04</v>
      </c>
      <c r="C17" s="19">
        <f t="shared" si="3"/>
        <v>18926.740000000002</v>
      </c>
      <c r="D17" s="20">
        <f t="shared" si="4"/>
        <v>-0.21946198869958589</v>
      </c>
      <c r="E17" s="19">
        <f t="shared" si="0"/>
        <v>4153.7000000000007</v>
      </c>
      <c r="F17" s="19">
        <f t="shared" si="1"/>
        <v>17253223.690000005</v>
      </c>
      <c r="G17" s="23">
        <f t="shared" si="2"/>
        <v>0.28116758636001798</v>
      </c>
      <c r="H17" s="24"/>
      <c r="I17" s="25"/>
      <c r="J17" s="26" t="s">
        <v>28</v>
      </c>
      <c r="K17" s="26" t="s">
        <v>29</v>
      </c>
      <c r="L17" s="27" t="s">
        <v>30</v>
      </c>
    </row>
    <row r="18" spans="1:12" ht="15" thickBot="1" x14ac:dyDescent="0.4">
      <c r="A18" s="21">
        <v>40326</v>
      </c>
      <c r="B18" s="19">
        <v>15580.43</v>
      </c>
      <c r="C18" s="19">
        <f t="shared" si="3"/>
        <v>14773.04</v>
      </c>
      <c r="D18" s="20">
        <f t="shared" si="4"/>
        <v>5.4652935347091702E-2</v>
      </c>
      <c r="E18" s="19">
        <f t="shared" si="0"/>
        <v>807.38999999999942</v>
      </c>
      <c r="F18" s="19">
        <f t="shared" si="1"/>
        <v>651878.6120999991</v>
      </c>
      <c r="G18" s="23">
        <f t="shared" si="2"/>
        <v>5.1820777732065122E-2</v>
      </c>
      <c r="H18" s="28" t="s">
        <v>31</v>
      </c>
      <c r="I18" s="29">
        <v>143</v>
      </c>
      <c r="J18" s="30">
        <f>SUM(E2:E144)/142</f>
        <v>4878.3209154929591</v>
      </c>
      <c r="K18" s="30">
        <f>SUM(F2:F144)/142</f>
        <v>85001512.986895099</v>
      </c>
      <c r="L18" s="31">
        <f>SUM(G2:G144)/142*100</f>
        <v>19.0854757777774</v>
      </c>
    </row>
    <row r="19" spans="1:12" x14ac:dyDescent="0.35">
      <c r="A19" s="21">
        <v>40333</v>
      </c>
      <c r="B19" s="19">
        <v>17558.09</v>
      </c>
      <c r="C19" s="19">
        <f t="shared" si="3"/>
        <v>15580.43</v>
      </c>
      <c r="D19" s="20">
        <f t="shared" si="4"/>
        <v>0.12693231188099419</v>
      </c>
      <c r="E19" s="19">
        <f t="shared" si="0"/>
        <v>1977.6599999999999</v>
      </c>
      <c r="F19" s="19">
        <f t="shared" si="1"/>
        <v>3911139.0755999996</v>
      </c>
      <c r="G19" s="20">
        <f t="shared" si="2"/>
        <v>0.1126352581630462</v>
      </c>
    </row>
    <row r="20" spans="1:12" x14ac:dyDescent="0.35">
      <c r="A20" s="21">
        <v>40340</v>
      </c>
      <c r="B20" s="19">
        <v>16637.62</v>
      </c>
      <c r="C20" s="19">
        <f t="shared" si="3"/>
        <v>17558.09</v>
      </c>
      <c r="D20" s="20">
        <f t="shared" si="4"/>
        <v>-5.2424267104223765E-2</v>
      </c>
      <c r="E20" s="19">
        <f t="shared" si="0"/>
        <v>920.47000000000116</v>
      </c>
      <c r="F20" s="19">
        <f t="shared" si="1"/>
        <v>847265.0209000021</v>
      </c>
      <c r="G20" s="20">
        <f t="shared" si="2"/>
        <v>5.5324619747295661E-2</v>
      </c>
    </row>
    <row r="21" spans="1:12" x14ac:dyDescent="0.35">
      <c r="A21" s="21">
        <v>40347</v>
      </c>
      <c r="B21" s="19">
        <v>16216.27</v>
      </c>
      <c r="C21" s="19">
        <f t="shared" si="3"/>
        <v>16637.62</v>
      </c>
      <c r="D21" s="20">
        <f t="shared" si="4"/>
        <v>-2.5325136648150282E-2</v>
      </c>
      <c r="E21" s="19">
        <f t="shared" si="0"/>
        <v>421.34999999999854</v>
      </c>
      <c r="F21" s="19">
        <f t="shared" si="1"/>
        <v>177535.82249999879</v>
      </c>
      <c r="G21" s="20">
        <f t="shared" si="2"/>
        <v>2.5983163822506566E-2</v>
      </c>
      <c r="H21" t="s">
        <v>63</v>
      </c>
    </row>
    <row r="22" spans="1:12" x14ac:dyDescent="0.35">
      <c r="A22" s="21">
        <v>40354</v>
      </c>
      <c r="B22" s="19">
        <v>16328.72</v>
      </c>
      <c r="C22" s="19">
        <f t="shared" si="3"/>
        <v>16216.27</v>
      </c>
      <c r="D22" s="20">
        <f t="shared" si="4"/>
        <v>6.9343936675942963E-3</v>
      </c>
      <c r="E22" s="19">
        <f t="shared" si="0"/>
        <v>112.44999999999891</v>
      </c>
      <c r="F22" s="19">
        <f t="shared" si="1"/>
        <v>12645.002499999755</v>
      </c>
      <c r="G22" s="20">
        <f t="shared" si="2"/>
        <v>6.8866390017098041E-3</v>
      </c>
    </row>
    <row r="23" spans="1:12" x14ac:dyDescent="0.35">
      <c r="A23" s="21">
        <v>40361</v>
      </c>
      <c r="B23" s="19">
        <v>16333.14</v>
      </c>
      <c r="C23" s="19">
        <f t="shared" si="3"/>
        <v>16328.72</v>
      </c>
      <c r="D23" s="20">
        <f t="shared" si="4"/>
        <v>2.7068870064517192E-4</v>
      </c>
      <c r="E23" s="19">
        <f t="shared" si="0"/>
        <v>4.4200000000000728</v>
      </c>
      <c r="F23" s="19">
        <f t="shared" si="1"/>
        <v>19.536400000000643</v>
      </c>
      <c r="G23" s="20">
        <f t="shared" si="2"/>
        <v>2.706154481012269E-4</v>
      </c>
    </row>
    <row r="24" spans="1:12" x14ac:dyDescent="0.35">
      <c r="A24" s="21">
        <v>40368</v>
      </c>
      <c r="B24" s="19">
        <v>17688.759999999998</v>
      </c>
      <c r="C24" s="19">
        <f t="shared" si="3"/>
        <v>16333.14</v>
      </c>
      <c r="D24" s="20">
        <f t="shared" si="4"/>
        <v>8.2998125283931801E-2</v>
      </c>
      <c r="E24" s="19">
        <f t="shared" si="0"/>
        <v>1355.619999999999</v>
      </c>
      <c r="F24" s="19">
        <f t="shared" si="1"/>
        <v>1837705.5843999973</v>
      </c>
      <c r="G24" s="20">
        <f t="shared" si="2"/>
        <v>7.6637367458205041E-2</v>
      </c>
    </row>
    <row r="25" spans="1:12" x14ac:dyDescent="0.35">
      <c r="A25" s="21">
        <v>40375</v>
      </c>
      <c r="B25" s="19">
        <v>17150.84</v>
      </c>
      <c r="C25" s="19">
        <f t="shared" si="3"/>
        <v>17688.759999999998</v>
      </c>
      <c r="D25" s="20">
        <f t="shared" si="4"/>
        <v>-3.0410271833638869E-2</v>
      </c>
      <c r="E25" s="19">
        <f t="shared" si="0"/>
        <v>537.91999999999825</v>
      </c>
      <c r="F25" s="19">
        <f t="shared" si="1"/>
        <v>289357.92639999813</v>
      </c>
      <c r="G25" s="20">
        <f t="shared" si="2"/>
        <v>3.1364061468709299E-2</v>
      </c>
    </row>
    <row r="26" spans="1:12" x14ac:dyDescent="0.35">
      <c r="A26" s="21">
        <v>40382</v>
      </c>
      <c r="B26" s="19">
        <v>15360.45</v>
      </c>
      <c r="C26" s="19">
        <f t="shared" si="3"/>
        <v>17150.84</v>
      </c>
      <c r="D26" s="20">
        <f t="shared" si="4"/>
        <v>-0.10439080534830947</v>
      </c>
      <c r="E26" s="19">
        <f t="shared" si="0"/>
        <v>1790.3899999999994</v>
      </c>
      <c r="F26" s="19">
        <f t="shared" si="1"/>
        <v>3205496.3520999979</v>
      </c>
      <c r="G26" s="20">
        <f t="shared" si="2"/>
        <v>0.1165584341604575</v>
      </c>
    </row>
    <row r="27" spans="1:12" x14ac:dyDescent="0.35">
      <c r="A27" s="21">
        <v>40389</v>
      </c>
      <c r="B27" s="19">
        <v>15381.82</v>
      </c>
      <c r="C27" s="19">
        <f t="shared" si="3"/>
        <v>15360.45</v>
      </c>
      <c r="D27" s="20">
        <f t="shared" si="4"/>
        <v>1.3912352828204799E-3</v>
      </c>
      <c r="E27" s="19">
        <f t="shared" si="0"/>
        <v>21.369999999998981</v>
      </c>
      <c r="F27" s="19">
        <f t="shared" si="1"/>
        <v>456.67689999995645</v>
      </c>
      <c r="G27" s="20">
        <f t="shared" si="2"/>
        <v>1.3893024362526009E-3</v>
      </c>
    </row>
    <row r="28" spans="1:12" x14ac:dyDescent="0.35">
      <c r="A28" s="21">
        <v>40396</v>
      </c>
      <c r="B28" s="19">
        <v>17508.41</v>
      </c>
      <c r="C28" s="19">
        <f t="shared" si="3"/>
        <v>15381.82</v>
      </c>
      <c r="D28" s="20">
        <f t="shared" si="4"/>
        <v>0.13825347065561822</v>
      </c>
      <c r="E28" s="19">
        <f t="shared" si="0"/>
        <v>2126.59</v>
      </c>
      <c r="F28" s="19">
        <f t="shared" si="1"/>
        <v>4522385.0281000007</v>
      </c>
      <c r="G28" s="20">
        <f t="shared" si="2"/>
        <v>0.12146105785733828</v>
      </c>
    </row>
    <row r="29" spans="1:12" x14ac:dyDescent="0.35">
      <c r="A29" s="21">
        <v>40403</v>
      </c>
      <c r="B29" s="19">
        <v>15536.4</v>
      </c>
      <c r="C29" s="19">
        <f t="shared" si="3"/>
        <v>17508.41</v>
      </c>
      <c r="D29" s="20">
        <f t="shared" si="4"/>
        <v>-0.11263215791725234</v>
      </c>
      <c r="E29" s="19">
        <f t="shared" si="0"/>
        <v>1972.0100000000002</v>
      </c>
      <c r="F29" s="19">
        <f t="shared" si="1"/>
        <v>3888823.4401000007</v>
      </c>
      <c r="G29" s="20">
        <f t="shared" si="2"/>
        <v>0.12692837465564741</v>
      </c>
    </row>
    <row r="30" spans="1:12" x14ac:dyDescent="0.35">
      <c r="A30" s="21">
        <v>40410</v>
      </c>
      <c r="B30" s="19">
        <v>15740.13</v>
      </c>
      <c r="C30" s="19">
        <f t="shared" si="3"/>
        <v>15536.4</v>
      </c>
      <c r="D30" s="20">
        <f t="shared" si="4"/>
        <v>1.3113076388352463E-2</v>
      </c>
      <c r="E30" s="19">
        <f t="shared" si="0"/>
        <v>203.72999999999956</v>
      </c>
      <c r="F30" s="19">
        <f t="shared" si="1"/>
        <v>41505.912899999821</v>
      </c>
      <c r="G30" s="20">
        <f t="shared" si="2"/>
        <v>1.294334926077482E-2</v>
      </c>
    </row>
    <row r="31" spans="1:12" x14ac:dyDescent="0.35">
      <c r="A31" s="21">
        <v>40417</v>
      </c>
      <c r="B31" s="19">
        <v>15793.87</v>
      </c>
      <c r="C31" s="19">
        <f t="shared" si="3"/>
        <v>15740.13</v>
      </c>
      <c r="D31" s="20">
        <f t="shared" si="4"/>
        <v>3.4142030593140582E-3</v>
      </c>
      <c r="E31" s="19">
        <f t="shared" si="0"/>
        <v>53.740000000001601</v>
      </c>
      <c r="F31" s="19">
        <f t="shared" si="1"/>
        <v>2887.9876000001718</v>
      </c>
      <c r="G31" s="20">
        <f t="shared" si="2"/>
        <v>3.4025859399882106E-3</v>
      </c>
    </row>
    <row r="32" spans="1:12" x14ac:dyDescent="0.35">
      <c r="A32" s="21">
        <v>40424</v>
      </c>
      <c r="B32" s="19">
        <v>16241.78</v>
      </c>
      <c r="C32" s="19">
        <f t="shared" si="3"/>
        <v>15793.87</v>
      </c>
      <c r="D32" s="20">
        <f t="shared" si="4"/>
        <v>2.8359737037217503E-2</v>
      </c>
      <c r="E32" s="19">
        <f t="shared" si="0"/>
        <v>447.90999999999985</v>
      </c>
      <c r="F32" s="19">
        <f t="shared" si="1"/>
        <v>200623.36809999988</v>
      </c>
      <c r="G32" s="20">
        <f t="shared" si="2"/>
        <v>2.7577642352008207E-2</v>
      </c>
    </row>
    <row r="33" spans="1:7" x14ac:dyDescent="0.35">
      <c r="A33" s="21">
        <v>40431</v>
      </c>
      <c r="B33" s="19">
        <v>18194.740000000002</v>
      </c>
      <c r="C33" s="19">
        <f t="shared" si="3"/>
        <v>16241.78</v>
      </c>
      <c r="D33" s="20">
        <f t="shared" si="4"/>
        <v>0.12024297829425112</v>
      </c>
      <c r="E33" s="19">
        <f t="shared" si="0"/>
        <v>1952.9600000000009</v>
      </c>
      <c r="F33" s="19">
        <f t="shared" si="1"/>
        <v>3814052.7616000036</v>
      </c>
      <c r="G33" s="20">
        <f t="shared" si="2"/>
        <v>0.10733651593812282</v>
      </c>
    </row>
    <row r="34" spans="1:7" x14ac:dyDescent="0.35">
      <c r="A34" s="21">
        <v>40438</v>
      </c>
      <c r="B34" s="19">
        <v>19354.23</v>
      </c>
      <c r="C34" s="19">
        <f t="shared" si="3"/>
        <v>18194.740000000002</v>
      </c>
      <c r="D34" s="20">
        <f t="shared" si="4"/>
        <v>6.3726659463119395E-2</v>
      </c>
      <c r="E34" s="19">
        <f t="shared" si="0"/>
        <v>1159.489999999998</v>
      </c>
      <c r="F34" s="19">
        <f t="shared" si="1"/>
        <v>1344417.0600999952</v>
      </c>
      <c r="G34" s="20">
        <f t="shared" si="2"/>
        <v>5.9908867467215077E-2</v>
      </c>
    </row>
    <row r="35" spans="1:7" x14ac:dyDescent="0.35">
      <c r="A35" s="21">
        <v>40445</v>
      </c>
      <c r="B35" s="19">
        <v>18122.52</v>
      </c>
      <c r="C35" s="19">
        <f t="shared" si="3"/>
        <v>19354.23</v>
      </c>
      <c r="D35" s="20">
        <f t="shared" si="4"/>
        <v>-6.3640351489054336E-2</v>
      </c>
      <c r="E35" s="19">
        <f t="shared" si="0"/>
        <v>1231.7099999999991</v>
      </c>
      <c r="F35" s="19">
        <f t="shared" si="1"/>
        <v>1517109.5240999979</v>
      </c>
      <c r="G35" s="20">
        <f t="shared" si="2"/>
        <v>6.7965713377609691E-2</v>
      </c>
    </row>
    <row r="36" spans="1:7" x14ac:dyDescent="0.35">
      <c r="A36" s="21">
        <v>40452</v>
      </c>
      <c r="B36" s="19">
        <v>20094.189999999999</v>
      </c>
      <c r="C36" s="19">
        <f t="shared" si="3"/>
        <v>18122.52</v>
      </c>
      <c r="D36" s="20">
        <f t="shared" si="4"/>
        <v>0.10879667949049021</v>
      </c>
      <c r="E36" s="19">
        <f t="shared" si="0"/>
        <v>1971.6699999999983</v>
      </c>
      <c r="F36" s="19">
        <f t="shared" si="1"/>
        <v>3887482.5888999933</v>
      </c>
      <c r="G36" s="20">
        <f t="shared" si="2"/>
        <v>9.8121397279512051E-2</v>
      </c>
    </row>
    <row r="37" spans="1:7" x14ac:dyDescent="0.35">
      <c r="A37" s="21">
        <v>40459</v>
      </c>
      <c r="B37" s="19">
        <v>23388.03</v>
      </c>
      <c r="C37" s="19">
        <f t="shared" si="3"/>
        <v>20094.189999999999</v>
      </c>
      <c r="D37" s="20">
        <f t="shared" si="4"/>
        <v>0.16392001867206396</v>
      </c>
      <c r="E37" s="19">
        <f t="shared" si="0"/>
        <v>3293.84</v>
      </c>
      <c r="F37" s="19">
        <f t="shared" si="1"/>
        <v>10849381.945600001</v>
      </c>
      <c r="G37" s="20">
        <f t="shared" si="2"/>
        <v>0.14083443539280566</v>
      </c>
    </row>
    <row r="38" spans="1:7" x14ac:dyDescent="0.35">
      <c r="A38" s="21">
        <v>40466</v>
      </c>
      <c r="B38" s="19">
        <v>26978.34</v>
      </c>
      <c r="C38" s="19">
        <f t="shared" si="3"/>
        <v>23388.03</v>
      </c>
      <c r="D38" s="20">
        <f t="shared" si="4"/>
        <v>0.15351057784687305</v>
      </c>
      <c r="E38" s="19">
        <f t="shared" si="0"/>
        <v>3590.3100000000013</v>
      </c>
      <c r="F38" s="19">
        <f t="shared" si="1"/>
        <v>12890325.896100009</v>
      </c>
      <c r="G38" s="20">
        <f t="shared" si="2"/>
        <v>0.13308120514457158</v>
      </c>
    </row>
    <row r="39" spans="1:7" x14ac:dyDescent="0.35">
      <c r="A39" s="21">
        <v>40473</v>
      </c>
      <c r="B39" s="19">
        <v>25543.040000000001</v>
      </c>
      <c r="C39" s="19">
        <f t="shared" si="3"/>
        <v>26978.34</v>
      </c>
      <c r="D39" s="20">
        <f t="shared" si="4"/>
        <v>-5.3201939037020085E-2</v>
      </c>
      <c r="E39" s="19">
        <f t="shared" si="0"/>
        <v>1435.2999999999993</v>
      </c>
      <c r="F39" s="19">
        <f t="shared" si="1"/>
        <v>2060086.089999998</v>
      </c>
      <c r="G39" s="20">
        <f t="shared" si="2"/>
        <v>5.6191432186615188E-2</v>
      </c>
    </row>
    <row r="40" spans="1:7" x14ac:dyDescent="0.35">
      <c r="A40" s="21">
        <v>40480</v>
      </c>
      <c r="B40" s="19">
        <v>38640.93</v>
      </c>
      <c r="C40" s="19">
        <f t="shared" si="3"/>
        <v>25543.040000000001</v>
      </c>
      <c r="D40" s="20">
        <f t="shared" si="4"/>
        <v>0.51277725752298853</v>
      </c>
      <c r="E40" s="19">
        <f t="shared" si="0"/>
        <v>13097.89</v>
      </c>
      <c r="F40" s="19">
        <f t="shared" si="1"/>
        <v>171554722.45209998</v>
      </c>
      <c r="G40" s="20">
        <f t="shared" si="2"/>
        <v>0.33896415018996695</v>
      </c>
    </row>
    <row r="41" spans="1:7" x14ac:dyDescent="0.35">
      <c r="A41" s="21">
        <v>40487</v>
      </c>
      <c r="B41" s="19">
        <v>34238.879999999997</v>
      </c>
      <c r="C41" s="19">
        <f t="shared" si="3"/>
        <v>38640.93</v>
      </c>
      <c r="D41" s="20">
        <f t="shared" si="4"/>
        <v>-0.11392194753076601</v>
      </c>
      <c r="E41" s="19">
        <f t="shared" si="0"/>
        <v>4402.0500000000029</v>
      </c>
      <c r="F41" s="19">
        <f t="shared" si="1"/>
        <v>19378044.202500027</v>
      </c>
      <c r="G41" s="20">
        <f t="shared" si="2"/>
        <v>0.1285687499123804</v>
      </c>
    </row>
    <row r="42" spans="1:7" x14ac:dyDescent="0.35">
      <c r="A42" s="21">
        <v>40494</v>
      </c>
      <c r="B42" s="19">
        <v>19549.39</v>
      </c>
      <c r="C42" s="19">
        <f t="shared" si="3"/>
        <v>34238.879999999997</v>
      </c>
      <c r="D42" s="20">
        <f t="shared" si="4"/>
        <v>-0.42902951264760991</v>
      </c>
      <c r="E42" s="19">
        <f t="shared" si="0"/>
        <v>14689.489999999998</v>
      </c>
      <c r="F42" s="19">
        <f t="shared" si="1"/>
        <v>215781116.46009994</v>
      </c>
      <c r="G42" s="20">
        <f t="shared" si="2"/>
        <v>0.75140400800229568</v>
      </c>
    </row>
    <row r="43" spans="1:7" x14ac:dyDescent="0.35">
      <c r="A43" s="21">
        <v>40501</v>
      </c>
      <c r="B43" s="19">
        <v>19552.84</v>
      </c>
      <c r="C43" s="19">
        <f t="shared" si="3"/>
        <v>19549.39</v>
      </c>
      <c r="D43" s="20">
        <f t="shared" si="4"/>
        <v>1.7647609465054614E-4</v>
      </c>
      <c r="E43" s="19">
        <f t="shared" si="0"/>
        <v>3.4500000000007276</v>
      </c>
      <c r="F43" s="19">
        <f t="shared" si="1"/>
        <v>11.90250000000502</v>
      </c>
      <c r="G43" s="20">
        <f t="shared" si="2"/>
        <v>1.7644495633374629E-4</v>
      </c>
    </row>
    <row r="44" spans="1:7" x14ac:dyDescent="0.35">
      <c r="A44" s="21">
        <v>40508</v>
      </c>
      <c r="B44" s="19">
        <v>18820.29</v>
      </c>
      <c r="C44" s="19">
        <f t="shared" si="3"/>
        <v>19552.84</v>
      </c>
      <c r="D44" s="20">
        <f t="shared" si="4"/>
        <v>-3.7465145728190818E-2</v>
      </c>
      <c r="E44" s="19">
        <f t="shared" si="0"/>
        <v>732.54999999999927</v>
      </c>
      <c r="F44" s="19">
        <f t="shared" si="1"/>
        <v>536629.5024999989</v>
      </c>
      <c r="G44" s="20">
        <f t="shared" si="2"/>
        <v>3.8923417226833339E-2</v>
      </c>
    </row>
    <row r="45" spans="1:7" x14ac:dyDescent="0.35">
      <c r="A45" s="21">
        <v>40515</v>
      </c>
      <c r="B45" s="19">
        <v>22517.56</v>
      </c>
      <c r="C45" s="19">
        <f t="shared" si="3"/>
        <v>18820.29</v>
      </c>
      <c r="D45" s="20">
        <f t="shared" si="4"/>
        <v>0.19645127678691465</v>
      </c>
      <c r="E45" s="19">
        <f t="shared" si="0"/>
        <v>3697.2700000000004</v>
      </c>
      <c r="F45" s="19">
        <f t="shared" si="1"/>
        <v>13669805.452900004</v>
      </c>
      <c r="G45" s="20">
        <f t="shared" si="2"/>
        <v>0.16419496606204226</v>
      </c>
    </row>
    <row r="46" spans="1:7" x14ac:dyDescent="0.35">
      <c r="A46" s="21">
        <v>40522</v>
      </c>
      <c r="B46" s="19">
        <v>31497.65</v>
      </c>
      <c r="C46" s="19">
        <f t="shared" si="3"/>
        <v>22517.56</v>
      </c>
      <c r="D46" s="20">
        <f t="shared" si="4"/>
        <v>0.39880386684880609</v>
      </c>
      <c r="E46" s="19">
        <f t="shared" si="0"/>
        <v>8980.09</v>
      </c>
      <c r="F46" s="19">
        <f t="shared" si="1"/>
        <v>80642016.408100009</v>
      </c>
      <c r="G46" s="20">
        <f t="shared" si="2"/>
        <v>0.28510349184780454</v>
      </c>
    </row>
    <row r="47" spans="1:7" x14ac:dyDescent="0.35">
      <c r="A47" s="21">
        <v>40529</v>
      </c>
      <c r="B47" s="19">
        <v>44912.86</v>
      </c>
      <c r="C47" s="19">
        <f t="shared" si="3"/>
        <v>31497.65</v>
      </c>
      <c r="D47" s="20">
        <f t="shared" si="4"/>
        <v>0.42591145688646614</v>
      </c>
      <c r="E47" s="19">
        <f t="shared" si="0"/>
        <v>13415.21</v>
      </c>
      <c r="F47" s="19">
        <f t="shared" si="1"/>
        <v>179967859.34409997</v>
      </c>
      <c r="G47" s="20">
        <f t="shared" si="2"/>
        <v>0.29869418246800578</v>
      </c>
    </row>
    <row r="48" spans="1:7" x14ac:dyDescent="0.35">
      <c r="A48" s="21">
        <v>40536</v>
      </c>
      <c r="B48" s="19">
        <v>55931.23</v>
      </c>
      <c r="C48" s="19">
        <f t="shared" si="3"/>
        <v>44912.86</v>
      </c>
      <c r="D48" s="20">
        <f t="shared" si="4"/>
        <v>0.24532773018685528</v>
      </c>
      <c r="E48" s="19">
        <f t="shared" si="0"/>
        <v>11018.370000000003</v>
      </c>
      <c r="F48" s="19">
        <f t="shared" si="1"/>
        <v>121404477.45690006</v>
      </c>
      <c r="G48" s="20">
        <f t="shared" si="2"/>
        <v>0.19699852837135892</v>
      </c>
    </row>
    <row r="49" spans="1:7" x14ac:dyDescent="0.35">
      <c r="A49" s="21">
        <v>40543</v>
      </c>
      <c r="B49" s="19">
        <v>19124.580000000002</v>
      </c>
      <c r="C49" s="19">
        <f t="shared" si="3"/>
        <v>55931.23</v>
      </c>
      <c r="D49" s="20">
        <f t="shared" si="4"/>
        <v>-0.65806974028641951</v>
      </c>
      <c r="E49" s="19">
        <f t="shared" si="0"/>
        <v>36806.65</v>
      </c>
      <c r="F49" s="19">
        <f t="shared" si="1"/>
        <v>1354729484.2225001</v>
      </c>
      <c r="G49" s="20">
        <f t="shared" si="2"/>
        <v>1.9245729840864478</v>
      </c>
    </row>
    <row r="50" spans="1:7" x14ac:dyDescent="0.35">
      <c r="A50" s="21">
        <v>40550</v>
      </c>
      <c r="B50" s="19">
        <v>15984.24</v>
      </c>
      <c r="C50" s="19">
        <f t="shared" si="3"/>
        <v>19124.580000000002</v>
      </c>
      <c r="D50" s="20">
        <f t="shared" si="4"/>
        <v>-0.16420439037092593</v>
      </c>
      <c r="E50" s="19">
        <f t="shared" si="0"/>
        <v>3140.340000000002</v>
      </c>
      <c r="F50" s="19">
        <f t="shared" si="1"/>
        <v>9861735.3156000115</v>
      </c>
      <c r="G50" s="20">
        <f t="shared" si="2"/>
        <v>0.19646476779627947</v>
      </c>
    </row>
    <row r="51" spans="1:7" x14ac:dyDescent="0.35">
      <c r="A51" s="21">
        <v>40557</v>
      </c>
      <c r="B51" s="19">
        <v>17359.7</v>
      </c>
      <c r="C51" s="19">
        <f t="shared" si="3"/>
        <v>15984.24</v>
      </c>
      <c r="D51" s="20">
        <f t="shared" si="4"/>
        <v>8.6051010245091542E-2</v>
      </c>
      <c r="E51" s="19">
        <f t="shared" si="0"/>
        <v>1375.4600000000009</v>
      </c>
      <c r="F51" s="19">
        <f t="shared" si="1"/>
        <v>1891890.2116000026</v>
      </c>
      <c r="G51" s="20">
        <f t="shared" si="2"/>
        <v>7.9232936053042449E-2</v>
      </c>
    </row>
    <row r="52" spans="1:7" x14ac:dyDescent="0.35">
      <c r="A52" s="21">
        <v>40564</v>
      </c>
      <c r="B52" s="19">
        <v>17341.47</v>
      </c>
      <c r="C52" s="19">
        <f t="shared" si="3"/>
        <v>17359.7</v>
      </c>
      <c r="D52" s="20">
        <f t="shared" si="4"/>
        <v>-1.0501333548390557E-3</v>
      </c>
      <c r="E52" s="19">
        <f t="shared" si="0"/>
        <v>18.229999999999563</v>
      </c>
      <c r="F52" s="19">
        <f t="shared" si="1"/>
        <v>332.33289999998408</v>
      </c>
      <c r="G52" s="20">
        <f t="shared" si="2"/>
        <v>1.0512372941855312E-3</v>
      </c>
    </row>
    <row r="53" spans="1:7" x14ac:dyDescent="0.35">
      <c r="A53" s="21">
        <v>40571</v>
      </c>
      <c r="B53" s="19">
        <v>18461.18</v>
      </c>
      <c r="C53" s="19">
        <f t="shared" si="3"/>
        <v>17341.47</v>
      </c>
      <c r="D53" s="20">
        <f t="shared" si="4"/>
        <v>6.4568343975452969E-2</v>
      </c>
      <c r="E53" s="19">
        <f t="shared" si="0"/>
        <v>1119.7099999999991</v>
      </c>
      <c r="F53" s="19">
        <f t="shared" si="1"/>
        <v>1253750.4840999981</v>
      </c>
      <c r="G53" s="20">
        <f t="shared" si="2"/>
        <v>6.0652135995640531E-2</v>
      </c>
    </row>
    <row r="54" spans="1:7" x14ac:dyDescent="0.35">
      <c r="A54" s="21">
        <v>40578</v>
      </c>
      <c r="B54" s="19">
        <v>21665.759999999998</v>
      </c>
      <c r="C54" s="19">
        <f t="shared" si="3"/>
        <v>18461.18</v>
      </c>
      <c r="D54" s="20">
        <f t="shared" si="4"/>
        <v>0.17358478710461611</v>
      </c>
      <c r="E54" s="19">
        <f t="shared" si="0"/>
        <v>3204.5799999999981</v>
      </c>
      <c r="F54" s="19">
        <f t="shared" si="1"/>
        <v>10269332.976399988</v>
      </c>
      <c r="G54" s="20">
        <f t="shared" si="2"/>
        <v>0.14790988176736003</v>
      </c>
    </row>
    <row r="55" spans="1:7" x14ac:dyDescent="0.35">
      <c r="A55" s="21">
        <v>40585</v>
      </c>
      <c r="B55" s="19">
        <v>37887.17</v>
      </c>
      <c r="C55" s="19">
        <f t="shared" si="3"/>
        <v>21665.759999999998</v>
      </c>
      <c r="D55" s="20">
        <f t="shared" si="4"/>
        <v>0.74871179224730633</v>
      </c>
      <c r="E55" s="19">
        <f t="shared" si="0"/>
        <v>16221.41</v>
      </c>
      <c r="F55" s="19">
        <f t="shared" si="1"/>
        <v>263134142.3881</v>
      </c>
      <c r="G55" s="20">
        <f t="shared" si="2"/>
        <v>0.42815047943670642</v>
      </c>
    </row>
    <row r="56" spans="1:7" x14ac:dyDescent="0.35">
      <c r="A56" s="21">
        <v>40592</v>
      </c>
      <c r="B56" s="19">
        <v>46845.87</v>
      </c>
      <c r="C56" s="19">
        <f t="shared" si="3"/>
        <v>37887.17</v>
      </c>
      <c r="D56" s="20">
        <f t="shared" si="4"/>
        <v>0.23645735482486563</v>
      </c>
      <c r="E56" s="19">
        <f t="shared" si="0"/>
        <v>8958.7000000000044</v>
      </c>
      <c r="F56" s="19">
        <f t="shared" si="1"/>
        <v>80258305.690000072</v>
      </c>
      <c r="G56" s="20">
        <f t="shared" si="2"/>
        <v>0.19123777613693596</v>
      </c>
    </row>
    <row r="57" spans="1:7" x14ac:dyDescent="0.35">
      <c r="A57" s="21">
        <v>40599</v>
      </c>
      <c r="B57" s="19">
        <v>19363.830000000002</v>
      </c>
      <c r="C57" s="19">
        <f t="shared" si="3"/>
        <v>46845.87</v>
      </c>
      <c r="D57" s="20">
        <f t="shared" si="4"/>
        <v>-0.58664808658692857</v>
      </c>
      <c r="E57" s="19">
        <f t="shared" si="0"/>
        <v>27482.04</v>
      </c>
      <c r="F57" s="19">
        <f t="shared" si="1"/>
        <v>755262522.56160009</v>
      </c>
      <c r="G57" s="20">
        <f t="shared" si="2"/>
        <v>1.4192460892292484</v>
      </c>
    </row>
    <row r="58" spans="1:7" x14ac:dyDescent="0.35">
      <c r="A58" s="21">
        <v>40606</v>
      </c>
      <c r="B58" s="19">
        <v>20327.61</v>
      </c>
      <c r="C58" s="19">
        <f t="shared" si="3"/>
        <v>19363.830000000002</v>
      </c>
      <c r="D58" s="20">
        <f t="shared" si="4"/>
        <v>4.9772178334554606E-2</v>
      </c>
      <c r="E58" s="19">
        <f t="shared" si="0"/>
        <v>963.77999999999884</v>
      </c>
      <c r="F58" s="19">
        <f t="shared" si="1"/>
        <v>928871.88839999773</v>
      </c>
      <c r="G58" s="20">
        <f t="shared" si="2"/>
        <v>4.7412361807413601E-2</v>
      </c>
    </row>
    <row r="59" spans="1:7" x14ac:dyDescent="0.35">
      <c r="A59" s="21">
        <v>40613</v>
      </c>
      <c r="B59" s="19">
        <v>21280.400000000001</v>
      </c>
      <c r="C59" s="19">
        <f t="shared" si="3"/>
        <v>20327.61</v>
      </c>
      <c r="D59" s="20">
        <f t="shared" si="4"/>
        <v>4.6871717826148851E-2</v>
      </c>
      <c r="E59" s="19">
        <f t="shared" si="0"/>
        <v>952.79000000000087</v>
      </c>
      <c r="F59" s="19">
        <f t="shared" si="1"/>
        <v>907808.78410000168</v>
      </c>
      <c r="G59" s="20">
        <f t="shared" si="2"/>
        <v>4.4773124565327754E-2</v>
      </c>
    </row>
    <row r="60" spans="1:7" x14ac:dyDescent="0.35">
      <c r="A60" s="21">
        <v>40620</v>
      </c>
      <c r="B60" s="19">
        <v>20334.23</v>
      </c>
      <c r="C60" s="19">
        <f t="shared" si="3"/>
        <v>21280.400000000001</v>
      </c>
      <c r="D60" s="20">
        <f t="shared" si="4"/>
        <v>-4.4462040187214558E-2</v>
      </c>
      <c r="E60" s="19">
        <f t="shared" si="0"/>
        <v>946.17000000000189</v>
      </c>
      <c r="F60" s="19">
        <f t="shared" si="1"/>
        <v>895237.66890000354</v>
      </c>
      <c r="G60" s="20">
        <f t="shared" si="2"/>
        <v>4.6530898883311633E-2</v>
      </c>
    </row>
    <row r="61" spans="1:7" x14ac:dyDescent="0.35">
      <c r="A61" s="21">
        <v>40627</v>
      </c>
      <c r="B61" s="19">
        <v>20881.099999999999</v>
      </c>
      <c r="C61" s="19">
        <f t="shared" si="3"/>
        <v>20334.23</v>
      </c>
      <c r="D61" s="20">
        <f t="shared" si="4"/>
        <v>2.6894059917685453E-2</v>
      </c>
      <c r="E61" s="19">
        <f t="shared" si="0"/>
        <v>546.86999999999898</v>
      </c>
      <c r="F61" s="19">
        <f t="shared" si="1"/>
        <v>299066.79689999891</v>
      </c>
      <c r="G61" s="20">
        <f t="shared" si="2"/>
        <v>2.6189712227804043E-2</v>
      </c>
    </row>
    <row r="62" spans="1:7" x14ac:dyDescent="0.35">
      <c r="A62" s="21">
        <v>40634</v>
      </c>
      <c r="B62" s="19">
        <v>20398.09</v>
      </c>
      <c r="C62" s="19">
        <f t="shared" si="3"/>
        <v>20881.099999999999</v>
      </c>
      <c r="D62" s="20">
        <f t="shared" si="4"/>
        <v>-2.3131444224681608E-2</v>
      </c>
      <c r="E62" s="19">
        <f t="shared" si="0"/>
        <v>483.0099999999984</v>
      </c>
      <c r="F62" s="19">
        <f t="shared" si="1"/>
        <v>233298.66009999847</v>
      </c>
      <c r="G62" s="20">
        <f t="shared" si="2"/>
        <v>2.3679177805372875E-2</v>
      </c>
    </row>
    <row r="63" spans="1:7" x14ac:dyDescent="0.35">
      <c r="A63" s="21">
        <v>40641</v>
      </c>
      <c r="B63" s="19">
        <v>23873.79</v>
      </c>
      <c r="C63" s="19">
        <f t="shared" si="3"/>
        <v>20398.09</v>
      </c>
      <c r="D63" s="20">
        <f t="shared" si="4"/>
        <v>0.17039340448051754</v>
      </c>
      <c r="E63" s="19">
        <f t="shared" si="0"/>
        <v>3475.7000000000007</v>
      </c>
      <c r="F63" s="19">
        <f t="shared" si="1"/>
        <v>12080490.490000006</v>
      </c>
      <c r="G63" s="20">
        <f t="shared" si="2"/>
        <v>0.14558643600366764</v>
      </c>
    </row>
    <row r="64" spans="1:7" x14ac:dyDescent="0.35">
      <c r="A64" s="21">
        <v>40648</v>
      </c>
      <c r="B64" s="19">
        <v>28762.37</v>
      </c>
      <c r="C64" s="19">
        <f t="shared" si="3"/>
        <v>23873.79</v>
      </c>
      <c r="D64" s="20">
        <f t="shared" si="4"/>
        <v>0.20476765524032836</v>
      </c>
      <c r="E64" s="19">
        <f t="shared" si="0"/>
        <v>4888.5799999999981</v>
      </c>
      <c r="F64" s="19">
        <f t="shared" si="1"/>
        <v>23898214.416399982</v>
      </c>
      <c r="G64" s="20">
        <f t="shared" si="2"/>
        <v>0.16996443617128904</v>
      </c>
    </row>
    <row r="65" spans="1:7" x14ac:dyDescent="0.35">
      <c r="A65" s="21">
        <v>40655</v>
      </c>
      <c r="B65" s="19">
        <v>50510.31</v>
      </c>
      <c r="C65" s="19">
        <f t="shared" si="3"/>
        <v>28762.37</v>
      </c>
      <c r="D65" s="20">
        <f t="shared" si="4"/>
        <v>0.756124756061479</v>
      </c>
      <c r="E65" s="19">
        <f t="shared" si="0"/>
        <v>21747.94</v>
      </c>
      <c r="F65" s="19">
        <f t="shared" si="1"/>
        <v>472972894.24359995</v>
      </c>
      <c r="G65" s="20">
        <f t="shared" si="2"/>
        <v>0.43056437388723212</v>
      </c>
    </row>
    <row r="66" spans="1:7" x14ac:dyDescent="0.35">
      <c r="A66" s="21">
        <v>40662</v>
      </c>
      <c r="B66" s="19">
        <v>41512.39</v>
      </c>
      <c r="C66" s="19">
        <f t="shared" si="3"/>
        <v>50510.31</v>
      </c>
      <c r="D66" s="20">
        <f t="shared" si="4"/>
        <v>-0.17814026482910117</v>
      </c>
      <c r="E66" s="19">
        <f t="shared" si="0"/>
        <v>8997.9199999999983</v>
      </c>
      <c r="F66" s="19">
        <f t="shared" si="1"/>
        <v>80962564.326399967</v>
      </c>
      <c r="G66" s="20">
        <f t="shared" si="2"/>
        <v>0.21675263698380168</v>
      </c>
    </row>
    <row r="67" spans="1:7" x14ac:dyDescent="0.35">
      <c r="A67" s="21">
        <v>40669</v>
      </c>
      <c r="B67" s="19">
        <v>20138.189999999999</v>
      </c>
      <c r="C67" s="19">
        <f t="shared" si="3"/>
        <v>41512.39</v>
      </c>
      <c r="D67" s="20">
        <f t="shared" si="4"/>
        <v>-0.51488724209808212</v>
      </c>
      <c r="E67" s="19">
        <f t="shared" ref="E67:E130" si="5">AVERAGE(ABS(B67-C67))</f>
        <v>21374.2</v>
      </c>
      <c r="F67" s="19">
        <f t="shared" ref="F67:F130" si="6">AVERAGE((B67-C67)^2)</f>
        <v>456856425.64000005</v>
      </c>
      <c r="G67" s="20">
        <f t="shared" ref="G67:G130" si="7">AVERAGE(ABS(B67-C67)/B67)</f>
        <v>1.0613764196285764</v>
      </c>
    </row>
    <row r="68" spans="1:7" x14ac:dyDescent="0.35">
      <c r="A68" s="21">
        <v>40676</v>
      </c>
      <c r="B68" s="19">
        <v>17235.150000000001</v>
      </c>
      <c r="C68" s="19">
        <f t="shared" ref="C68:C131" si="8">B67</f>
        <v>20138.189999999999</v>
      </c>
      <c r="D68" s="20">
        <f t="shared" ref="D68:D131" si="9">IF(C68=0,0,(B68/C68)-1)</f>
        <v>-0.14415595443284612</v>
      </c>
      <c r="E68" s="19">
        <f t="shared" si="5"/>
        <v>2903.0399999999972</v>
      </c>
      <c r="F68" s="19">
        <f t="shared" si="6"/>
        <v>8427641.2415999845</v>
      </c>
      <c r="G68" s="20">
        <f t="shared" si="7"/>
        <v>0.16843717635181574</v>
      </c>
    </row>
    <row r="69" spans="1:7" x14ac:dyDescent="0.35">
      <c r="A69" s="21">
        <v>40683</v>
      </c>
      <c r="B69" s="19">
        <v>15136.78</v>
      </c>
      <c r="C69" s="19">
        <f t="shared" si="8"/>
        <v>17235.150000000001</v>
      </c>
      <c r="D69" s="20">
        <f t="shared" si="9"/>
        <v>-0.12174944807558974</v>
      </c>
      <c r="E69" s="19">
        <f t="shared" si="5"/>
        <v>2098.3700000000008</v>
      </c>
      <c r="F69" s="19">
        <f t="shared" si="6"/>
        <v>4403156.6569000036</v>
      </c>
      <c r="G69" s="20">
        <f t="shared" si="7"/>
        <v>0.13862723776126765</v>
      </c>
    </row>
    <row r="70" spans="1:7" x14ac:dyDescent="0.35">
      <c r="A70" s="21">
        <v>40690</v>
      </c>
      <c r="B70" s="19">
        <v>15741.6</v>
      </c>
      <c r="C70" s="19">
        <f t="shared" si="8"/>
        <v>15136.78</v>
      </c>
      <c r="D70" s="20">
        <f t="shared" si="9"/>
        <v>3.9956978961179335E-2</v>
      </c>
      <c r="E70" s="19">
        <f t="shared" si="5"/>
        <v>604.81999999999971</v>
      </c>
      <c r="F70" s="19">
        <f t="shared" si="6"/>
        <v>365807.23239999963</v>
      </c>
      <c r="G70" s="20">
        <f t="shared" si="7"/>
        <v>3.8421761447375087E-2</v>
      </c>
    </row>
    <row r="71" spans="1:7" x14ac:dyDescent="0.35">
      <c r="A71" s="21">
        <v>40697</v>
      </c>
      <c r="B71" s="19">
        <v>16434.150000000001</v>
      </c>
      <c r="C71" s="19">
        <f t="shared" si="8"/>
        <v>15741.6</v>
      </c>
      <c r="D71" s="20">
        <f t="shared" si="9"/>
        <v>4.3994892514102935E-2</v>
      </c>
      <c r="E71" s="19">
        <f t="shared" si="5"/>
        <v>692.55000000000109</v>
      </c>
      <c r="F71" s="19">
        <f t="shared" si="6"/>
        <v>479625.50250000152</v>
      </c>
      <c r="G71" s="20">
        <f t="shared" si="7"/>
        <v>4.2140907804784612E-2</v>
      </c>
    </row>
    <row r="72" spans="1:7" x14ac:dyDescent="0.35">
      <c r="A72" s="21">
        <v>40704</v>
      </c>
      <c r="B72" s="19">
        <v>15883.52</v>
      </c>
      <c r="C72" s="19">
        <f t="shared" si="8"/>
        <v>16434.150000000001</v>
      </c>
      <c r="D72" s="20">
        <f t="shared" si="9"/>
        <v>-3.3505231484439513E-2</v>
      </c>
      <c r="E72" s="19">
        <f t="shared" si="5"/>
        <v>550.63000000000102</v>
      </c>
      <c r="F72" s="19">
        <f t="shared" si="6"/>
        <v>303193.3969000011</v>
      </c>
      <c r="G72" s="20">
        <f t="shared" si="7"/>
        <v>3.4666748932226675E-2</v>
      </c>
    </row>
    <row r="73" spans="1:7" x14ac:dyDescent="0.35">
      <c r="A73" s="21">
        <v>40711</v>
      </c>
      <c r="B73" s="19">
        <v>14978.09</v>
      </c>
      <c r="C73" s="19">
        <f t="shared" si="8"/>
        <v>15883.52</v>
      </c>
      <c r="D73" s="20">
        <f t="shared" si="9"/>
        <v>-5.7004366790232908E-2</v>
      </c>
      <c r="E73" s="19">
        <f t="shared" si="5"/>
        <v>905.43000000000029</v>
      </c>
      <c r="F73" s="19">
        <f t="shared" si="6"/>
        <v>819803.48490000051</v>
      </c>
      <c r="G73" s="20">
        <f t="shared" si="7"/>
        <v>6.0450297734891453E-2</v>
      </c>
    </row>
    <row r="74" spans="1:7" x14ac:dyDescent="0.35">
      <c r="A74" s="21">
        <v>40718</v>
      </c>
      <c r="B74" s="19">
        <v>15682.81</v>
      </c>
      <c r="C74" s="19">
        <f t="shared" si="8"/>
        <v>14978.09</v>
      </c>
      <c r="D74" s="20">
        <f t="shared" si="9"/>
        <v>4.7050057784403743E-2</v>
      </c>
      <c r="E74" s="19">
        <f t="shared" si="5"/>
        <v>704.71999999999935</v>
      </c>
      <c r="F74" s="19">
        <f t="shared" si="6"/>
        <v>496630.27839999908</v>
      </c>
      <c r="G74" s="20">
        <f t="shared" si="7"/>
        <v>4.4935824638569197E-2</v>
      </c>
    </row>
    <row r="75" spans="1:7" x14ac:dyDescent="0.35">
      <c r="A75" s="21">
        <v>40725</v>
      </c>
      <c r="B75" s="19">
        <v>15363.5</v>
      </c>
      <c r="C75" s="19">
        <f t="shared" si="8"/>
        <v>15682.81</v>
      </c>
      <c r="D75" s="20">
        <f t="shared" si="9"/>
        <v>-2.0360509373001379E-2</v>
      </c>
      <c r="E75" s="19">
        <f t="shared" si="5"/>
        <v>319.30999999999949</v>
      </c>
      <c r="F75" s="19">
        <f t="shared" si="6"/>
        <v>101958.87609999967</v>
      </c>
      <c r="G75" s="20">
        <f t="shared" si="7"/>
        <v>2.0783675594753765E-2</v>
      </c>
    </row>
    <row r="76" spans="1:7" x14ac:dyDescent="0.35">
      <c r="A76" s="21">
        <v>40732</v>
      </c>
      <c r="B76" s="19">
        <v>16148.87</v>
      </c>
      <c r="C76" s="19">
        <f t="shared" si="8"/>
        <v>15363.5</v>
      </c>
      <c r="D76" s="20">
        <f t="shared" si="9"/>
        <v>5.1119211117258478E-2</v>
      </c>
      <c r="E76" s="19">
        <f t="shared" si="5"/>
        <v>785.3700000000008</v>
      </c>
      <c r="F76" s="19">
        <f t="shared" si="6"/>
        <v>616806.03690000123</v>
      </c>
      <c r="G76" s="20">
        <f t="shared" si="7"/>
        <v>4.8633124175251938E-2</v>
      </c>
    </row>
    <row r="77" spans="1:7" x14ac:dyDescent="0.35">
      <c r="A77" s="21">
        <v>40739</v>
      </c>
      <c r="B77" s="19">
        <v>15654.85</v>
      </c>
      <c r="C77" s="19">
        <f t="shared" si="8"/>
        <v>16148.87</v>
      </c>
      <c r="D77" s="20">
        <f t="shared" si="9"/>
        <v>-3.0591614150092261E-2</v>
      </c>
      <c r="E77" s="19">
        <f t="shared" si="5"/>
        <v>494.02000000000044</v>
      </c>
      <c r="F77" s="19">
        <f t="shared" si="6"/>
        <v>244055.76040000044</v>
      </c>
      <c r="G77" s="20">
        <f t="shared" si="7"/>
        <v>3.1556993519580225E-2</v>
      </c>
    </row>
    <row r="78" spans="1:7" x14ac:dyDescent="0.35">
      <c r="A78" s="21">
        <v>40746</v>
      </c>
      <c r="B78" s="19">
        <v>15766.6</v>
      </c>
      <c r="C78" s="19">
        <f t="shared" si="8"/>
        <v>15654.85</v>
      </c>
      <c r="D78" s="20">
        <f t="shared" si="9"/>
        <v>7.1383628715702141E-3</v>
      </c>
      <c r="E78" s="19">
        <f t="shared" si="5"/>
        <v>111.75</v>
      </c>
      <c r="F78" s="19">
        <f t="shared" si="6"/>
        <v>12488.0625</v>
      </c>
      <c r="G78" s="20">
        <f t="shared" si="7"/>
        <v>7.0877678129717247E-3</v>
      </c>
    </row>
    <row r="79" spans="1:7" x14ac:dyDescent="0.35">
      <c r="A79" s="21">
        <v>40753</v>
      </c>
      <c r="B79" s="19">
        <v>15922.41</v>
      </c>
      <c r="C79" s="19">
        <f t="shared" si="8"/>
        <v>15766.6</v>
      </c>
      <c r="D79" s="20">
        <f t="shared" si="9"/>
        <v>9.882282800349973E-3</v>
      </c>
      <c r="E79" s="19">
        <f t="shared" si="5"/>
        <v>155.80999999999949</v>
      </c>
      <c r="F79" s="19">
        <f t="shared" si="6"/>
        <v>24276.756099999842</v>
      </c>
      <c r="G79" s="20">
        <f t="shared" si="7"/>
        <v>9.7855789418812532E-3</v>
      </c>
    </row>
    <row r="80" spans="1:7" x14ac:dyDescent="0.35">
      <c r="A80" s="21">
        <v>40760</v>
      </c>
      <c r="B80" s="19">
        <v>15295.55</v>
      </c>
      <c r="C80" s="19">
        <f t="shared" si="8"/>
        <v>15922.41</v>
      </c>
      <c r="D80" s="20">
        <f t="shared" si="9"/>
        <v>-3.9369668285140325E-2</v>
      </c>
      <c r="E80" s="19">
        <f t="shared" si="5"/>
        <v>626.86000000000058</v>
      </c>
      <c r="F80" s="19">
        <f t="shared" si="6"/>
        <v>392953.45960000076</v>
      </c>
      <c r="G80" s="20">
        <f t="shared" si="7"/>
        <v>4.0983161769272802E-2</v>
      </c>
    </row>
    <row r="81" spans="1:7" x14ac:dyDescent="0.35">
      <c r="A81" s="21">
        <v>40767</v>
      </c>
      <c r="B81" s="19">
        <v>14539.79</v>
      </c>
      <c r="C81" s="19">
        <f t="shared" si="8"/>
        <v>15295.55</v>
      </c>
      <c r="D81" s="20">
        <f t="shared" si="9"/>
        <v>-4.9410449444446169E-2</v>
      </c>
      <c r="E81" s="19">
        <f t="shared" si="5"/>
        <v>755.7599999999984</v>
      </c>
      <c r="F81" s="19">
        <f t="shared" si="6"/>
        <v>571173.17759999761</v>
      </c>
      <c r="G81" s="20">
        <f t="shared" si="7"/>
        <v>5.1978742471521143E-2</v>
      </c>
    </row>
    <row r="82" spans="1:7" x14ac:dyDescent="0.35">
      <c r="A82" s="21">
        <v>40774</v>
      </c>
      <c r="B82" s="19">
        <v>14689.24</v>
      </c>
      <c r="C82" s="19">
        <f t="shared" si="8"/>
        <v>14539.79</v>
      </c>
      <c r="D82" s="20">
        <f t="shared" si="9"/>
        <v>1.0278690407495406E-2</v>
      </c>
      <c r="E82" s="19">
        <f t="shared" si="5"/>
        <v>149.44999999999891</v>
      </c>
      <c r="F82" s="19">
        <f t="shared" si="6"/>
        <v>22335.302499999674</v>
      </c>
      <c r="G82" s="20">
        <f t="shared" si="7"/>
        <v>1.017411384115168E-2</v>
      </c>
    </row>
    <row r="83" spans="1:7" x14ac:dyDescent="0.35">
      <c r="A83" s="21">
        <v>40781</v>
      </c>
      <c r="B83" s="19">
        <v>14537.37</v>
      </c>
      <c r="C83" s="19">
        <f t="shared" si="8"/>
        <v>14689.24</v>
      </c>
      <c r="D83" s="20">
        <f t="shared" si="9"/>
        <v>-1.0338860281403184E-2</v>
      </c>
      <c r="E83" s="19">
        <f t="shared" si="5"/>
        <v>151.86999999999898</v>
      </c>
      <c r="F83" s="19">
        <f t="shared" si="6"/>
        <v>23064.496899999689</v>
      </c>
      <c r="G83" s="20">
        <f t="shared" si="7"/>
        <v>1.0446869000376202E-2</v>
      </c>
    </row>
    <row r="84" spans="1:7" x14ac:dyDescent="0.35">
      <c r="A84" s="21">
        <v>40788</v>
      </c>
      <c r="B84" s="19">
        <v>15277.27</v>
      </c>
      <c r="C84" s="19">
        <f t="shared" si="8"/>
        <v>14537.37</v>
      </c>
      <c r="D84" s="20">
        <f t="shared" si="9"/>
        <v>5.0896413863030121E-2</v>
      </c>
      <c r="E84" s="19">
        <f t="shared" si="5"/>
        <v>739.89999999999964</v>
      </c>
      <c r="F84" s="19">
        <f t="shared" si="6"/>
        <v>547452.00999999943</v>
      </c>
      <c r="G84" s="20">
        <f t="shared" si="7"/>
        <v>4.8431427866366152E-2</v>
      </c>
    </row>
    <row r="85" spans="1:7" x14ac:dyDescent="0.35">
      <c r="A85" s="21">
        <v>40795</v>
      </c>
      <c r="B85" s="19">
        <v>17746.68</v>
      </c>
      <c r="C85" s="19">
        <f t="shared" si="8"/>
        <v>15277.27</v>
      </c>
      <c r="D85" s="20">
        <f t="shared" si="9"/>
        <v>0.1616394813994908</v>
      </c>
      <c r="E85" s="19">
        <f t="shared" si="5"/>
        <v>2469.41</v>
      </c>
      <c r="F85" s="19">
        <f t="shared" si="6"/>
        <v>6097985.7480999995</v>
      </c>
      <c r="G85" s="20">
        <f t="shared" si="7"/>
        <v>0.13914771664333836</v>
      </c>
    </row>
    <row r="86" spans="1:7" x14ac:dyDescent="0.35">
      <c r="A86" s="21">
        <v>40802</v>
      </c>
      <c r="B86" s="19">
        <v>18535.48</v>
      </c>
      <c r="C86" s="19">
        <f t="shared" si="8"/>
        <v>17746.68</v>
      </c>
      <c r="D86" s="20">
        <f t="shared" si="9"/>
        <v>4.4447750227084581E-2</v>
      </c>
      <c r="E86" s="19">
        <f t="shared" si="5"/>
        <v>788.79999999999927</v>
      </c>
      <c r="F86" s="19">
        <f t="shared" si="6"/>
        <v>622205.4399999989</v>
      </c>
      <c r="G86" s="20">
        <f t="shared" si="7"/>
        <v>4.2556221905232519E-2</v>
      </c>
    </row>
    <row r="87" spans="1:7" x14ac:dyDescent="0.35">
      <c r="A87" s="21">
        <v>40809</v>
      </c>
      <c r="B87" s="19">
        <v>17859.3</v>
      </c>
      <c r="C87" s="19">
        <f t="shared" si="8"/>
        <v>18535.48</v>
      </c>
      <c r="D87" s="20">
        <f t="shared" si="9"/>
        <v>-3.6480306957251685E-2</v>
      </c>
      <c r="E87" s="19">
        <f t="shared" si="5"/>
        <v>676.18000000000029</v>
      </c>
      <c r="F87" s="19">
        <f t="shared" si="6"/>
        <v>457219.39240000042</v>
      </c>
      <c r="G87" s="20">
        <f t="shared" si="7"/>
        <v>3.7861506330035349E-2</v>
      </c>
    </row>
    <row r="88" spans="1:7" x14ac:dyDescent="0.35">
      <c r="A88" s="21">
        <v>40816</v>
      </c>
      <c r="B88" s="19">
        <v>18337.68</v>
      </c>
      <c r="C88" s="19">
        <f t="shared" si="8"/>
        <v>17859.3</v>
      </c>
      <c r="D88" s="20">
        <f t="shared" si="9"/>
        <v>2.6786044245855178E-2</v>
      </c>
      <c r="E88" s="19">
        <f t="shared" si="5"/>
        <v>478.38000000000102</v>
      </c>
      <c r="F88" s="19">
        <f t="shared" si="6"/>
        <v>228847.42440000098</v>
      </c>
      <c r="G88" s="20">
        <f t="shared" si="7"/>
        <v>2.6087269491015277E-2</v>
      </c>
    </row>
    <row r="89" spans="1:7" x14ac:dyDescent="0.35">
      <c r="A89" s="21">
        <v>40823</v>
      </c>
      <c r="B89" s="19">
        <v>20797.580000000002</v>
      </c>
      <c r="C89" s="19">
        <f t="shared" si="8"/>
        <v>18337.68</v>
      </c>
      <c r="D89" s="20">
        <f t="shared" si="9"/>
        <v>0.13414455918087786</v>
      </c>
      <c r="E89" s="19">
        <f t="shared" si="5"/>
        <v>2459.9000000000015</v>
      </c>
      <c r="F89" s="19">
        <f t="shared" si="6"/>
        <v>6051108.0100000072</v>
      </c>
      <c r="G89" s="20">
        <f t="shared" si="7"/>
        <v>0.11827818428874903</v>
      </c>
    </row>
    <row r="90" spans="1:7" x14ac:dyDescent="0.35">
      <c r="A90" s="21">
        <v>40830</v>
      </c>
      <c r="B90" s="19">
        <v>23077.55</v>
      </c>
      <c r="C90" s="19">
        <f t="shared" si="8"/>
        <v>20797.580000000002</v>
      </c>
      <c r="D90" s="20">
        <f t="shared" si="9"/>
        <v>0.10962669695224148</v>
      </c>
      <c r="E90" s="19">
        <f t="shared" si="5"/>
        <v>2279.9699999999975</v>
      </c>
      <c r="F90" s="19">
        <f t="shared" si="6"/>
        <v>5198263.2008999884</v>
      </c>
      <c r="G90" s="20">
        <f t="shared" si="7"/>
        <v>9.87960160415641E-2</v>
      </c>
    </row>
    <row r="91" spans="1:7" x14ac:dyDescent="0.35">
      <c r="A91" s="21">
        <v>40837</v>
      </c>
      <c r="B91" s="19">
        <v>23351.8</v>
      </c>
      <c r="C91" s="19">
        <f t="shared" si="8"/>
        <v>23077.55</v>
      </c>
      <c r="D91" s="20">
        <f t="shared" si="9"/>
        <v>1.1883843822242834E-2</v>
      </c>
      <c r="E91" s="19">
        <f t="shared" si="5"/>
        <v>274.25</v>
      </c>
      <c r="F91" s="19">
        <f t="shared" si="6"/>
        <v>75213.0625</v>
      </c>
      <c r="G91" s="20">
        <f t="shared" si="7"/>
        <v>1.174427667246208E-2</v>
      </c>
    </row>
    <row r="92" spans="1:7" x14ac:dyDescent="0.35">
      <c r="A92" s="21">
        <v>40844</v>
      </c>
      <c r="B92" s="19">
        <v>31579.9</v>
      </c>
      <c r="C92" s="19">
        <f t="shared" si="8"/>
        <v>23351.8</v>
      </c>
      <c r="D92" s="20">
        <f t="shared" si="9"/>
        <v>0.35235399412465007</v>
      </c>
      <c r="E92" s="19">
        <f t="shared" si="5"/>
        <v>8228.1000000000022</v>
      </c>
      <c r="F92" s="19">
        <f t="shared" si="6"/>
        <v>67701629.610000029</v>
      </c>
      <c r="G92" s="20">
        <f t="shared" si="7"/>
        <v>0.26054864011602324</v>
      </c>
    </row>
    <row r="93" spans="1:7" x14ac:dyDescent="0.35">
      <c r="A93" s="21">
        <v>40851</v>
      </c>
      <c r="B93" s="19">
        <v>39886.06</v>
      </c>
      <c r="C93" s="19">
        <f t="shared" si="8"/>
        <v>31579.9</v>
      </c>
      <c r="D93" s="20">
        <f t="shared" si="9"/>
        <v>0.26302046554928915</v>
      </c>
      <c r="E93" s="19">
        <f t="shared" si="5"/>
        <v>8306.1599999999962</v>
      </c>
      <c r="F93" s="19">
        <f t="shared" si="6"/>
        <v>68992293.945599943</v>
      </c>
      <c r="G93" s="20">
        <f t="shared" si="7"/>
        <v>0.20824719212677303</v>
      </c>
    </row>
    <row r="94" spans="1:7" x14ac:dyDescent="0.35">
      <c r="A94" s="21">
        <v>40858</v>
      </c>
      <c r="B94" s="19">
        <v>18689.54</v>
      </c>
      <c r="C94" s="19">
        <f t="shared" si="8"/>
        <v>39886.06</v>
      </c>
      <c r="D94" s="20">
        <f t="shared" si="9"/>
        <v>-0.53142676915192921</v>
      </c>
      <c r="E94" s="19">
        <f t="shared" si="5"/>
        <v>21196.519999999997</v>
      </c>
      <c r="F94" s="19">
        <f t="shared" si="6"/>
        <v>449292460.11039984</v>
      </c>
      <c r="G94" s="20">
        <f t="shared" si="7"/>
        <v>1.1341381328807449</v>
      </c>
    </row>
    <row r="95" spans="1:7" x14ac:dyDescent="0.35">
      <c r="A95" s="21">
        <v>40865</v>
      </c>
      <c r="B95" s="19">
        <v>19050.66</v>
      </c>
      <c r="C95" s="19">
        <f t="shared" si="8"/>
        <v>18689.54</v>
      </c>
      <c r="D95" s="20">
        <f t="shared" si="9"/>
        <v>1.9322037888573007E-2</v>
      </c>
      <c r="E95" s="19">
        <f t="shared" si="5"/>
        <v>361.11999999999898</v>
      </c>
      <c r="F95" s="19">
        <f t="shared" si="6"/>
        <v>130407.65439999926</v>
      </c>
      <c r="G95" s="20">
        <f t="shared" si="7"/>
        <v>1.8955773710727028E-2</v>
      </c>
    </row>
    <row r="96" spans="1:7" x14ac:dyDescent="0.35">
      <c r="A96" s="21">
        <v>40872</v>
      </c>
      <c r="B96" s="19">
        <v>20911.25</v>
      </c>
      <c r="C96" s="19">
        <f t="shared" si="8"/>
        <v>19050.66</v>
      </c>
      <c r="D96" s="20">
        <f t="shared" si="9"/>
        <v>9.7665382721648486E-2</v>
      </c>
      <c r="E96" s="19">
        <f t="shared" si="5"/>
        <v>1860.5900000000001</v>
      </c>
      <c r="F96" s="19">
        <f t="shared" si="6"/>
        <v>3461795.1481000003</v>
      </c>
      <c r="G96" s="20">
        <f t="shared" si="7"/>
        <v>8.8975551437623299E-2</v>
      </c>
    </row>
    <row r="97" spans="1:7" x14ac:dyDescent="0.35">
      <c r="A97" s="21">
        <v>40879</v>
      </c>
      <c r="B97" s="19">
        <v>25293.49</v>
      </c>
      <c r="C97" s="19">
        <f t="shared" si="8"/>
        <v>20911.25</v>
      </c>
      <c r="D97" s="20">
        <f t="shared" si="9"/>
        <v>0.20956375156913154</v>
      </c>
      <c r="E97" s="19">
        <f t="shared" si="5"/>
        <v>4382.2400000000016</v>
      </c>
      <c r="F97" s="19">
        <f t="shared" si="6"/>
        <v>19204027.417600013</v>
      </c>
      <c r="G97" s="20">
        <f t="shared" si="7"/>
        <v>0.17325564799480028</v>
      </c>
    </row>
    <row r="98" spans="1:7" x14ac:dyDescent="0.35">
      <c r="A98" s="21">
        <v>40886</v>
      </c>
      <c r="B98" s="19">
        <v>33305.919999999998</v>
      </c>
      <c r="C98" s="19">
        <f t="shared" si="8"/>
        <v>25293.49</v>
      </c>
      <c r="D98" s="20">
        <f t="shared" si="9"/>
        <v>0.31677834889530843</v>
      </c>
      <c r="E98" s="19">
        <f t="shared" si="5"/>
        <v>8012.4299999999967</v>
      </c>
      <c r="F98" s="19">
        <f t="shared" si="6"/>
        <v>64199034.504899949</v>
      </c>
      <c r="G98" s="20">
        <f t="shared" si="7"/>
        <v>0.24057074538100126</v>
      </c>
    </row>
    <row r="99" spans="1:7" x14ac:dyDescent="0.35">
      <c r="A99" s="21">
        <v>40893</v>
      </c>
      <c r="B99" s="19">
        <v>45773.03</v>
      </c>
      <c r="C99" s="19">
        <f t="shared" si="8"/>
        <v>33305.919999999998</v>
      </c>
      <c r="D99" s="20">
        <f t="shared" si="9"/>
        <v>0.37432114170693986</v>
      </c>
      <c r="E99" s="19">
        <f t="shared" si="5"/>
        <v>12467.11</v>
      </c>
      <c r="F99" s="19">
        <f t="shared" si="6"/>
        <v>155428831.75210002</v>
      </c>
      <c r="G99" s="20">
        <f t="shared" si="7"/>
        <v>0.27236802982018016</v>
      </c>
    </row>
    <row r="100" spans="1:7" x14ac:dyDescent="0.35">
      <c r="A100" s="21">
        <v>40900</v>
      </c>
      <c r="B100" s="19">
        <v>46788.75</v>
      </c>
      <c r="C100" s="19">
        <f t="shared" si="8"/>
        <v>45773.03</v>
      </c>
      <c r="D100" s="20">
        <f t="shared" si="9"/>
        <v>2.219035969434402E-2</v>
      </c>
      <c r="E100" s="19">
        <f t="shared" si="5"/>
        <v>1015.7200000000012</v>
      </c>
      <c r="F100" s="19">
        <f t="shared" si="6"/>
        <v>1031687.1184000024</v>
      </c>
      <c r="G100" s="20">
        <f t="shared" si="7"/>
        <v>2.1708637225828883E-2</v>
      </c>
    </row>
    <row r="101" spans="1:7" x14ac:dyDescent="0.35">
      <c r="A101" s="21">
        <v>40907</v>
      </c>
      <c r="B101" s="19">
        <v>23350.880000000001</v>
      </c>
      <c r="C101" s="19">
        <f t="shared" si="8"/>
        <v>46788.75</v>
      </c>
      <c r="D101" s="20">
        <f t="shared" si="9"/>
        <v>-0.50092960380433327</v>
      </c>
      <c r="E101" s="19">
        <f t="shared" si="5"/>
        <v>23437.87</v>
      </c>
      <c r="F101" s="19">
        <f t="shared" si="6"/>
        <v>549333750.13689995</v>
      </c>
      <c r="G101" s="20">
        <f t="shared" si="7"/>
        <v>1.0037253414004097</v>
      </c>
    </row>
    <row r="102" spans="1:7" x14ac:dyDescent="0.35">
      <c r="A102" s="21">
        <v>40914</v>
      </c>
      <c r="B102" s="19">
        <v>16567.689999999999</v>
      </c>
      <c r="C102" s="19">
        <f t="shared" si="8"/>
        <v>23350.880000000001</v>
      </c>
      <c r="D102" s="20">
        <f t="shared" si="9"/>
        <v>-0.29048969460679863</v>
      </c>
      <c r="E102" s="19">
        <f t="shared" si="5"/>
        <v>6783.1900000000023</v>
      </c>
      <c r="F102" s="19">
        <f t="shared" si="6"/>
        <v>46011666.576100029</v>
      </c>
      <c r="G102" s="20">
        <f t="shared" si="7"/>
        <v>0.40942279822956629</v>
      </c>
    </row>
    <row r="103" spans="1:7" x14ac:dyDescent="0.35">
      <c r="A103" s="21">
        <v>40921</v>
      </c>
      <c r="B103" s="19">
        <v>16894.400000000001</v>
      </c>
      <c r="C103" s="19">
        <f t="shared" si="8"/>
        <v>16567.689999999999</v>
      </c>
      <c r="D103" s="20">
        <f t="shared" si="9"/>
        <v>1.9719707454690649E-2</v>
      </c>
      <c r="E103" s="19">
        <f t="shared" si="5"/>
        <v>326.71000000000276</v>
      </c>
      <c r="F103" s="19">
        <f t="shared" si="6"/>
        <v>106739.42410000181</v>
      </c>
      <c r="G103" s="20">
        <f t="shared" si="7"/>
        <v>1.9338360640212302E-2</v>
      </c>
    </row>
    <row r="104" spans="1:7" x14ac:dyDescent="0.35">
      <c r="A104" s="21">
        <v>40928</v>
      </c>
      <c r="B104" s="19">
        <v>18365.099999999999</v>
      </c>
      <c r="C104" s="19">
        <f t="shared" si="8"/>
        <v>16894.400000000001</v>
      </c>
      <c r="D104" s="20">
        <f t="shared" si="9"/>
        <v>8.7052514442655271E-2</v>
      </c>
      <c r="E104" s="19">
        <f t="shared" si="5"/>
        <v>1470.6999999999971</v>
      </c>
      <c r="F104" s="19">
        <f t="shared" si="6"/>
        <v>2162958.4899999914</v>
      </c>
      <c r="G104" s="20">
        <f t="shared" si="7"/>
        <v>8.0081241049599364E-2</v>
      </c>
    </row>
    <row r="105" spans="1:7" x14ac:dyDescent="0.35">
      <c r="A105" s="21">
        <v>40935</v>
      </c>
      <c r="B105" s="19">
        <v>18378.16</v>
      </c>
      <c r="C105" s="19">
        <f t="shared" si="8"/>
        <v>18365.099999999999</v>
      </c>
      <c r="D105" s="20">
        <f t="shared" si="9"/>
        <v>7.1113143952405977E-4</v>
      </c>
      <c r="E105" s="19">
        <f t="shared" si="5"/>
        <v>13.06000000000131</v>
      </c>
      <c r="F105" s="19">
        <f t="shared" si="6"/>
        <v>170.5636000000342</v>
      </c>
      <c r="G105" s="20">
        <f t="shared" si="7"/>
        <v>7.1062609096891687E-4</v>
      </c>
    </row>
    <row r="106" spans="1:7" x14ac:dyDescent="0.35">
      <c r="A106" s="21">
        <v>40942</v>
      </c>
      <c r="B106" s="19">
        <v>23510.49</v>
      </c>
      <c r="C106" s="19">
        <f t="shared" si="8"/>
        <v>18378.16</v>
      </c>
      <c r="D106" s="20">
        <f t="shared" si="9"/>
        <v>0.27926245064794308</v>
      </c>
      <c r="E106" s="19">
        <f t="shared" si="5"/>
        <v>5132.3300000000017</v>
      </c>
      <c r="F106" s="19">
        <f t="shared" si="6"/>
        <v>26340811.228900019</v>
      </c>
      <c r="G106" s="20">
        <f t="shared" si="7"/>
        <v>0.21829957606157938</v>
      </c>
    </row>
    <row r="107" spans="1:7" x14ac:dyDescent="0.35">
      <c r="A107" s="21">
        <v>40949</v>
      </c>
      <c r="B107" s="19">
        <v>36988.49</v>
      </c>
      <c r="C107" s="19">
        <f t="shared" si="8"/>
        <v>23510.49</v>
      </c>
      <c r="D107" s="20">
        <f t="shared" si="9"/>
        <v>0.5732760142387503</v>
      </c>
      <c r="E107" s="19">
        <f t="shared" si="5"/>
        <v>13477.999999999996</v>
      </c>
      <c r="F107" s="19">
        <f t="shared" si="6"/>
        <v>181656483.99999991</v>
      </c>
      <c r="G107" s="20">
        <f t="shared" si="7"/>
        <v>0.3643836231216791</v>
      </c>
    </row>
    <row r="108" spans="1:7" x14ac:dyDescent="0.35">
      <c r="A108" s="21">
        <v>40956</v>
      </c>
      <c r="B108" s="19">
        <v>54060.1</v>
      </c>
      <c r="C108" s="19">
        <f t="shared" si="8"/>
        <v>36988.49</v>
      </c>
      <c r="D108" s="20">
        <f t="shared" si="9"/>
        <v>0.46153844074197137</v>
      </c>
      <c r="E108" s="19">
        <f t="shared" si="5"/>
        <v>17071.61</v>
      </c>
      <c r="F108" s="19">
        <f t="shared" si="6"/>
        <v>291439867.9921</v>
      </c>
      <c r="G108" s="20">
        <f t="shared" si="7"/>
        <v>0.31578946394845736</v>
      </c>
    </row>
    <row r="109" spans="1:7" x14ac:dyDescent="0.35">
      <c r="A109" s="21">
        <v>40963</v>
      </c>
      <c r="B109" s="19">
        <v>20124.22</v>
      </c>
      <c r="C109" s="19">
        <f t="shared" si="8"/>
        <v>54060.1</v>
      </c>
      <c r="D109" s="20">
        <f t="shared" si="9"/>
        <v>-0.62774356688204414</v>
      </c>
      <c r="E109" s="19">
        <f t="shared" si="5"/>
        <v>33935.879999999997</v>
      </c>
      <c r="F109" s="19">
        <f t="shared" si="6"/>
        <v>1151643951.3743999</v>
      </c>
      <c r="G109" s="20">
        <f t="shared" si="7"/>
        <v>1.686320264835109</v>
      </c>
    </row>
    <row r="110" spans="1:7" x14ac:dyDescent="0.35">
      <c r="A110" s="21">
        <v>40970</v>
      </c>
      <c r="B110" s="19">
        <v>20113.03</v>
      </c>
      <c r="C110" s="19">
        <f t="shared" si="8"/>
        <v>20124.22</v>
      </c>
      <c r="D110" s="20">
        <f t="shared" si="9"/>
        <v>-5.5604639583561877E-4</v>
      </c>
      <c r="E110" s="19">
        <f t="shared" si="5"/>
        <v>11.190000000002328</v>
      </c>
      <c r="F110" s="19">
        <f t="shared" si="6"/>
        <v>125.21610000005211</v>
      </c>
      <c r="G110" s="20">
        <f t="shared" si="7"/>
        <v>5.5635575544820098E-4</v>
      </c>
    </row>
    <row r="111" spans="1:7" x14ac:dyDescent="0.35">
      <c r="A111" s="21">
        <v>40977</v>
      </c>
      <c r="B111" s="19">
        <v>21140.07</v>
      </c>
      <c r="C111" s="19">
        <f t="shared" si="8"/>
        <v>20113.03</v>
      </c>
      <c r="D111" s="20">
        <f t="shared" si="9"/>
        <v>5.1063415109508625E-2</v>
      </c>
      <c r="E111" s="19">
        <f t="shared" si="5"/>
        <v>1027.0400000000009</v>
      </c>
      <c r="F111" s="19">
        <f t="shared" si="6"/>
        <v>1054811.1616000019</v>
      </c>
      <c r="G111" s="20">
        <f t="shared" si="7"/>
        <v>4.8582620587349093E-2</v>
      </c>
    </row>
    <row r="112" spans="1:7" x14ac:dyDescent="0.35">
      <c r="A112" s="21">
        <v>40984</v>
      </c>
      <c r="B112" s="19">
        <v>22366.880000000001</v>
      </c>
      <c r="C112" s="19">
        <f t="shared" si="8"/>
        <v>21140.07</v>
      </c>
      <c r="D112" s="20">
        <f t="shared" si="9"/>
        <v>5.803244738546276E-2</v>
      </c>
      <c r="E112" s="19">
        <f t="shared" si="5"/>
        <v>1226.8100000000013</v>
      </c>
      <c r="F112" s="19">
        <f t="shared" si="6"/>
        <v>1505062.7761000032</v>
      </c>
      <c r="G112" s="20">
        <f t="shared" si="7"/>
        <v>5.4849402330588853E-2</v>
      </c>
    </row>
    <row r="113" spans="1:7" x14ac:dyDescent="0.35">
      <c r="A113" s="21">
        <v>40991</v>
      </c>
      <c r="B113" s="19">
        <v>22107.7</v>
      </c>
      <c r="C113" s="19">
        <f t="shared" si="8"/>
        <v>22366.880000000001</v>
      </c>
      <c r="D113" s="20">
        <f t="shared" si="9"/>
        <v>-1.158766891046048E-2</v>
      </c>
      <c r="E113" s="19">
        <f t="shared" si="5"/>
        <v>259.18000000000029</v>
      </c>
      <c r="F113" s="19">
        <f t="shared" si="6"/>
        <v>67174.272400000147</v>
      </c>
      <c r="G113" s="20">
        <f t="shared" si="7"/>
        <v>1.1723517145609914E-2</v>
      </c>
    </row>
    <row r="114" spans="1:7" x14ac:dyDescent="0.35">
      <c r="A114" s="21">
        <v>40998</v>
      </c>
      <c r="B114" s="19">
        <v>28952.86</v>
      </c>
      <c r="C114" s="19">
        <f t="shared" si="8"/>
        <v>22107.7</v>
      </c>
      <c r="D114" s="20">
        <f t="shared" si="9"/>
        <v>0.30962786721368563</v>
      </c>
      <c r="E114" s="19">
        <f t="shared" si="5"/>
        <v>6845.16</v>
      </c>
      <c r="F114" s="19">
        <f t="shared" si="6"/>
        <v>46856215.4256</v>
      </c>
      <c r="G114" s="20">
        <f t="shared" si="7"/>
        <v>0.23642431179510418</v>
      </c>
    </row>
    <row r="115" spans="1:7" x14ac:dyDescent="0.35">
      <c r="A115" s="21">
        <v>41005</v>
      </c>
      <c r="B115" s="19">
        <v>57592.12</v>
      </c>
      <c r="C115" s="19">
        <f t="shared" si="8"/>
        <v>28952.86</v>
      </c>
      <c r="D115" s="20">
        <f t="shared" si="9"/>
        <v>0.98916860026954168</v>
      </c>
      <c r="E115" s="19">
        <f t="shared" si="5"/>
        <v>28639.260000000002</v>
      </c>
      <c r="F115" s="19">
        <f t="shared" si="6"/>
        <v>820207213.3476001</v>
      </c>
      <c r="G115" s="20">
        <f t="shared" si="7"/>
        <v>0.49727740531169889</v>
      </c>
    </row>
    <row r="116" spans="1:7" x14ac:dyDescent="0.35">
      <c r="A116" s="21">
        <v>41012</v>
      </c>
      <c r="B116" s="19">
        <v>34684.21</v>
      </c>
      <c r="C116" s="19">
        <f t="shared" si="8"/>
        <v>57592.12</v>
      </c>
      <c r="D116" s="20">
        <f t="shared" si="9"/>
        <v>-0.39776118677346839</v>
      </c>
      <c r="E116" s="19">
        <f t="shared" si="5"/>
        <v>22907.910000000003</v>
      </c>
      <c r="F116" s="19">
        <f t="shared" si="6"/>
        <v>524772340.56810015</v>
      </c>
      <c r="G116" s="20">
        <f t="shared" si="7"/>
        <v>0.6604708597947021</v>
      </c>
    </row>
    <row r="117" spans="1:7" x14ac:dyDescent="0.35">
      <c r="A117" s="21">
        <v>41019</v>
      </c>
      <c r="B117" s="19">
        <v>16976.189999999999</v>
      </c>
      <c r="C117" s="19">
        <f t="shared" si="8"/>
        <v>34684.21</v>
      </c>
      <c r="D117" s="20">
        <f t="shared" si="9"/>
        <v>-0.51054990152579527</v>
      </c>
      <c r="E117" s="19">
        <f t="shared" si="5"/>
        <v>17708.02</v>
      </c>
      <c r="F117" s="19">
        <f t="shared" si="6"/>
        <v>313573972.3204</v>
      </c>
      <c r="G117" s="20">
        <f t="shared" si="7"/>
        <v>1.0431092017702441</v>
      </c>
    </row>
    <row r="118" spans="1:7" x14ac:dyDescent="0.35">
      <c r="A118" s="21">
        <v>41026</v>
      </c>
      <c r="B118" s="19">
        <v>16347.6</v>
      </c>
      <c r="C118" s="19">
        <f t="shared" si="8"/>
        <v>16976.189999999999</v>
      </c>
      <c r="D118" s="20">
        <f t="shared" si="9"/>
        <v>-3.702774297413014E-2</v>
      </c>
      <c r="E118" s="19">
        <f t="shared" si="5"/>
        <v>628.58999999999833</v>
      </c>
      <c r="F118" s="19">
        <f t="shared" si="6"/>
        <v>395125.38809999789</v>
      </c>
      <c r="G118" s="20">
        <f t="shared" si="7"/>
        <v>3.8451515818835692E-2</v>
      </c>
    </row>
    <row r="119" spans="1:7" x14ac:dyDescent="0.35">
      <c r="A119" s="21">
        <v>41033</v>
      </c>
      <c r="B119" s="19">
        <v>17147.439999999999</v>
      </c>
      <c r="C119" s="19">
        <f t="shared" si="8"/>
        <v>16347.6</v>
      </c>
      <c r="D119" s="20">
        <f t="shared" si="9"/>
        <v>4.8927059629547909E-2</v>
      </c>
      <c r="E119" s="19">
        <f t="shared" si="5"/>
        <v>799.83999999999833</v>
      </c>
      <c r="F119" s="19">
        <f t="shared" si="6"/>
        <v>639744.02559999737</v>
      </c>
      <c r="G119" s="20">
        <f t="shared" si="7"/>
        <v>4.6644863606462444E-2</v>
      </c>
    </row>
    <row r="120" spans="1:7" x14ac:dyDescent="0.35">
      <c r="A120" s="21">
        <v>41040</v>
      </c>
      <c r="B120" s="19">
        <v>18164.2</v>
      </c>
      <c r="C120" s="19">
        <f t="shared" si="8"/>
        <v>17147.439999999999</v>
      </c>
      <c r="D120" s="20">
        <f t="shared" si="9"/>
        <v>5.9295148430319689E-2</v>
      </c>
      <c r="E120" s="19">
        <f t="shared" si="5"/>
        <v>1016.760000000002</v>
      </c>
      <c r="F120" s="19">
        <f t="shared" si="6"/>
        <v>1033800.8976000041</v>
      </c>
      <c r="G120" s="20">
        <f t="shared" si="7"/>
        <v>5.5976040783519337E-2</v>
      </c>
    </row>
    <row r="121" spans="1:7" x14ac:dyDescent="0.35">
      <c r="A121" s="21">
        <v>41047</v>
      </c>
      <c r="B121" s="19">
        <v>18517.79</v>
      </c>
      <c r="C121" s="19">
        <f t="shared" si="8"/>
        <v>18164.2</v>
      </c>
      <c r="D121" s="20">
        <f t="shared" si="9"/>
        <v>1.9466312857158607E-2</v>
      </c>
      <c r="E121" s="19">
        <f t="shared" si="5"/>
        <v>353.59000000000015</v>
      </c>
      <c r="F121" s="19">
        <f t="shared" si="6"/>
        <v>125025.8881000001</v>
      </c>
      <c r="G121" s="20">
        <f t="shared" si="7"/>
        <v>1.9094611182003906E-2</v>
      </c>
    </row>
    <row r="122" spans="1:7" x14ac:dyDescent="0.35">
      <c r="A122" s="21">
        <v>41054</v>
      </c>
      <c r="B122" s="19">
        <v>16963.55</v>
      </c>
      <c r="C122" s="19">
        <f t="shared" si="8"/>
        <v>18517.79</v>
      </c>
      <c r="D122" s="20">
        <f t="shared" si="9"/>
        <v>-8.3932261895182991E-2</v>
      </c>
      <c r="E122" s="19">
        <f t="shared" si="5"/>
        <v>1554.2400000000016</v>
      </c>
      <c r="F122" s="19">
        <f t="shared" si="6"/>
        <v>2415661.977600005</v>
      </c>
      <c r="G122" s="20">
        <f t="shared" si="7"/>
        <v>9.1622331410583374E-2</v>
      </c>
    </row>
    <row r="123" spans="1:7" x14ac:dyDescent="0.35">
      <c r="A123" s="21">
        <v>41061</v>
      </c>
      <c r="B123" s="19">
        <v>16065.49</v>
      </c>
      <c r="C123" s="19">
        <f t="shared" si="8"/>
        <v>16963.55</v>
      </c>
      <c r="D123" s="20">
        <f t="shared" si="9"/>
        <v>-5.2940569633125101E-2</v>
      </c>
      <c r="E123" s="19">
        <f t="shared" si="5"/>
        <v>898.05999999999949</v>
      </c>
      <c r="F123" s="19">
        <f t="shared" si="6"/>
        <v>806511.76359999913</v>
      </c>
      <c r="G123" s="20">
        <f t="shared" si="7"/>
        <v>5.5899944539506703E-2</v>
      </c>
    </row>
    <row r="124" spans="1:7" x14ac:dyDescent="0.35">
      <c r="A124" s="21">
        <v>41068</v>
      </c>
      <c r="B124" s="19">
        <v>17666</v>
      </c>
      <c r="C124" s="19">
        <f t="shared" si="8"/>
        <v>16065.49</v>
      </c>
      <c r="D124" s="20">
        <f t="shared" si="9"/>
        <v>9.9624101101180251E-2</v>
      </c>
      <c r="E124" s="19">
        <f t="shared" si="5"/>
        <v>1600.5100000000002</v>
      </c>
      <c r="F124" s="19">
        <f t="shared" si="6"/>
        <v>2561632.2601000005</v>
      </c>
      <c r="G124" s="20">
        <f t="shared" si="7"/>
        <v>9.0598324465074168E-2</v>
      </c>
    </row>
    <row r="125" spans="1:7" x14ac:dyDescent="0.35">
      <c r="A125" s="21">
        <v>41075</v>
      </c>
      <c r="B125" s="19">
        <v>17558.82</v>
      </c>
      <c r="C125" s="19">
        <f t="shared" si="8"/>
        <v>17666</v>
      </c>
      <c r="D125" s="20">
        <f t="shared" si="9"/>
        <v>-6.067021397033856E-3</v>
      </c>
      <c r="E125" s="19">
        <f t="shared" si="5"/>
        <v>107.18000000000029</v>
      </c>
      <c r="F125" s="19">
        <f t="shared" si="6"/>
        <v>11487.552400000062</v>
      </c>
      <c r="G125" s="20">
        <f t="shared" si="7"/>
        <v>6.1040548282857441E-3</v>
      </c>
    </row>
    <row r="126" spans="1:7" x14ac:dyDescent="0.35">
      <c r="A126" s="21">
        <v>41082</v>
      </c>
      <c r="B126" s="19">
        <v>16633.41</v>
      </c>
      <c r="C126" s="19">
        <f t="shared" si="8"/>
        <v>17558.82</v>
      </c>
      <c r="D126" s="20">
        <f t="shared" si="9"/>
        <v>-5.2703427679080983E-2</v>
      </c>
      <c r="E126" s="19">
        <f t="shared" si="5"/>
        <v>925.40999999999985</v>
      </c>
      <c r="F126" s="19">
        <f t="shared" si="6"/>
        <v>856383.66809999978</v>
      </c>
      <c r="G126" s="20">
        <f t="shared" si="7"/>
        <v>5.5635615306783147E-2</v>
      </c>
    </row>
    <row r="127" spans="1:7" x14ac:dyDescent="0.35">
      <c r="A127" s="21">
        <v>41089</v>
      </c>
      <c r="B127" s="19">
        <v>15722.82</v>
      </c>
      <c r="C127" s="19">
        <f t="shared" si="8"/>
        <v>16633.41</v>
      </c>
      <c r="D127" s="20">
        <f t="shared" si="9"/>
        <v>-5.4744637449566924E-2</v>
      </c>
      <c r="E127" s="19">
        <f t="shared" si="5"/>
        <v>910.59000000000015</v>
      </c>
      <c r="F127" s="19">
        <f t="shared" si="6"/>
        <v>829174.14810000022</v>
      </c>
      <c r="G127" s="20">
        <f t="shared" si="7"/>
        <v>5.7915183154167008E-2</v>
      </c>
    </row>
    <row r="128" spans="1:7" x14ac:dyDescent="0.35">
      <c r="A128" s="21">
        <v>41096</v>
      </c>
      <c r="B128" s="19">
        <v>17823.37</v>
      </c>
      <c r="C128" s="19">
        <f t="shared" si="8"/>
        <v>15722.82</v>
      </c>
      <c r="D128" s="20">
        <f t="shared" si="9"/>
        <v>0.1335988073386325</v>
      </c>
      <c r="E128" s="19">
        <f t="shared" si="5"/>
        <v>2100.5499999999993</v>
      </c>
      <c r="F128" s="19">
        <f t="shared" si="6"/>
        <v>4412310.3024999965</v>
      </c>
      <c r="G128" s="20">
        <f t="shared" si="7"/>
        <v>0.11785369433502191</v>
      </c>
    </row>
    <row r="129" spans="1:7" x14ac:dyDescent="0.35">
      <c r="A129" s="21">
        <v>41103</v>
      </c>
      <c r="B129" s="19">
        <v>16566.18</v>
      </c>
      <c r="C129" s="19">
        <f t="shared" si="8"/>
        <v>17823.37</v>
      </c>
      <c r="D129" s="20">
        <f t="shared" si="9"/>
        <v>-7.0536043408176985E-2</v>
      </c>
      <c r="E129" s="19">
        <f t="shared" si="5"/>
        <v>1257.1899999999987</v>
      </c>
      <c r="F129" s="19">
        <f t="shared" si="6"/>
        <v>1580526.6960999968</v>
      </c>
      <c r="G129" s="20">
        <f t="shared" si="7"/>
        <v>7.5888949655261426E-2</v>
      </c>
    </row>
    <row r="130" spans="1:7" x14ac:dyDescent="0.35">
      <c r="A130" s="21">
        <v>41110</v>
      </c>
      <c r="B130" s="19">
        <v>16348.06</v>
      </c>
      <c r="C130" s="19">
        <f t="shared" si="8"/>
        <v>16566.18</v>
      </c>
      <c r="D130" s="20">
        <f t="shared" si="9"/>
        <v>-1.3166583968060253E-2</v>
      </c>
      <c r="E130" s="19">
        <f t="shared" si="5"/>
        <v>218.1200000000008</v>
      </c>
      <c r="F130" s="19">
        <f t="shared" si="6"/>
        <v>47576.334400000349</v>
      </c>
      <c r="G130" s="20">
        <f t="shared" si="7"/>
        <v>1.3342255900700194E-2</v>
      </c>
    </row>
    <row r="131" spans="1:7" x14ac:dyDescent="0.35">
      <c r="A131" s="21">
        <v>41117</v>
      </c>
      <c r="B131" s="19">
        <v>15731.18</v>
      </c>
      <c r="C131" s="19">
        <f t="shared" si="8"/>
        <v>16348.06</v>
      </c>
      <c r="D131" s="20">
        <f t="shared" si="9"/>
        <v>-3.7734140931706794E-2</v>
      </c>
      <c r="E131" s="19">
        <f t="shared" ref="E131:E144" si="10">AVERAGE(ABS(B131-C131))</f>
        <v>616.8799999999992</v>
      </c>
      <c r="F131" s="19">
        <f t="shared" ref="F131:F144" si="11">AVERAGE((B131-C131)^2)</f>
        <v>380540.93439999904</v>
      </c>
      <c r="G131" s="20">
        <f t="shared" ref="G131:G144" si="12">AVERAGE(ABS(B131-C131)/B131)</f>
        <v>3.9213841555433171E-2</v>
      </c>
    </row>
    <row r="132" spans="1:7" x14ac:dyDescent="0.35">
      <c r="A132" s="21">
        <v>41124</v>
      </c>
      <c r="B132" s="19">
        <v>16628.310000000001</v>
      </c>
      <c r="C132" s="19">
        <f t="shared" ref="C132:C144" si="13">B131</f>
        <v>15731.18</v>
      </c>
      <c r="D132" s="20">
        <f t="shared" ref="D132:D144" si="14">IF(C132=0,0,(B132/C132)-1)</f>
        <v>5.7028779786385986E-2</v>
      </c>
      <c r="E132" s="19">
        <f t="shared" si="10"/>
        <v>897.13000000000102</v>
      </c>
      <c r="F132" s="19">
        <f t="shared" si="11"/>
        <v>804842.23690000188</v>
      </c>
      <c r="G132" s="20">
        <f t="shared" si="12"/>
        <v>5.3951965052371584E-2</v>
      </c>
    </row>
    <row r="133" spans="1:7" x14ac:dyDescent="0.35">
      <c r="A133" s="21">
        <v>41131</v>
      </c>
      <c r="B133" s="19">
        <v>16119.92</v>
      </c>
      <c r="C133" s="19">
        <f t="shared" si="13"/>
        <v>16628.310000000001</v>
      </c>
      <c r="D133" s="20">
        <f t="shared" si="14"/>
        <v>-3.0573762456918452E-2</v>
      </c>
      <c r="E133" s="19">
        <f t="shared" si="10"/>
        <v>508.39000000000124</v>
      </c>
      <c r="F133" s="19">
        <f t="shared" si="11"/>
        <v>258460.39210000125</v>
      </c>
      <c r="G133" s="20">
        <f t="shared" si="12"/>
        <v>3.1537997707184726E-2</v>
      </c>
    </row>
    <row r="134" spans="1:7" x14ac:dyDescent="0.35">
      <c r="A134" s="21">
        <v>41138</v>
      </c>
      <c r="B134" s="19">
        <v>17330.7</v>
      </c>
      <c r="C134" s="19">
        <f t="shared" si="13"/>
        <v>16119.92</v>
      </c>
      <c r="D134" s="20">
        <f t="shared" si="14"/>
        <v>7.5110794594514196E-2</v>
      </c>
      <c r="E134" s="19">
        <f t="shared" si="10"/>
        <v>1210.7800000000007</v>
      </c>
      <c r="F134" s="19">
        <f t="shared" si="11"/>
        <v>1465988.2084000015</v>
      </c>
      <c r="G134" s="20">
        <f t="shared" si="12"/>
        <v>6.9863306156127597E-2</v>
      </c>
    </row>
    <row r="135" spans="1:7" x14ac:dyDescent="0.35">
      <c r="A135" s="21">
        <v>41145</v>
      </c>
      <c r="B135" s="19">
        <v>16286.4</v>
      </c>
      <c r="C135" s="19">
        <f t="shared" si="13"/>
        <v>17330.7</v>
      </c>
      <c r="D135" s="20">
        <f t="shared" si="14"/>
        <v>-6.0257231387076171E-2</v>
      </c>
      <c r="E135" s="19">
        <f t="shared" si="10"/>
        <v>1044.3000000000011</v>
      </c>
      <c r="F135" s="19">
        <f t="shared" si="11"/>
        <v>1090562.4900000023</v>
      </c>
      <c r="G135" s="20">
        <f t="shared" si="12"/>
        <v>6.4120984379605131E-2</v>
      </c>
    </row>
    <row r="136" spans="1:7" x14ac:dyDescent="0.35">
      <c r="A136" s="21">
        <v>41152</v>
      </c>
      <c r="B136" s="19">
        <v>16680.240000000002</v>
      </c>
      <c r="C136" s="19">
        <f t="shared" si="13"/>
        <v>16286.4</v>
      </c>
      <c r="D136" s="20">
        <f t="shared" si="14"/>
        <v>2.41821396993811E-2</v>
      </c>
      <c r="E136" s="19">
        <f t="shared" si="10"/>
        <v>393.84000000000196</v>
      </c>
      <c r="F136" s="19">
        <f t="shared" si="11"/>
        <v>155109.94560000155</v>
      </c>
      <c r="G136" s="20">
        <f t="shared" si="12"/>
        <v>2.3611171062286988E-2</v>
      </c>
    </row>
    <row r="137" spans="1:7" x14ac:dyDescent="0.35">
      <c r="A137" s="21">
        <v>41159</v>
      </c>
      <c r="B137" s="19">
        <v>18322.37</v>
      </c>
      <c r="C137" s="19">
        <f t="shared" si="13"/>
        <v>16680.240000000002</v>
      </c>
      <c r="D137" s="20">
        <f t="shared" si="14"/>
        <v>9.8447624254806687E-2</v>
      </c>
      <c r="E137" s="19">
        <f t="shared" si="10"/>
        <v>1642.1299999999974</v>
      </c>
      <c r="F137" s="19">
        <f t="shared" si="11"/>
        <v>2696590.9368999912</v>
      </c>
      <c r="G137" s="20">
        <f t="shared" si="12"/>
        <v>8.9624322617652491E-2</v>
      </c>
    </row>
    <row r="138" spans="1:7" x14ac:dyDescent="0.35">
      <c r="A138" s="21">
        <v>41166</v>
      </c>
      <c r="B138" s="19">
        <v>19616.22</v>
      </c>
      <c r="C138" s="19">
        <f t="shared" si="13"/>
        <v>18322.37</v>
      </c>
      <c r="D138" s="20">
        <f t="shared" si="14"/>
        <v>7.061586465069758E-2</v>
      </c>
      <c r="E138" s="19">
        <f t="shared" si="10"/>
        <v>1293.8500000000022</v>
      </c>
      <c r="F138" s="19">
        <f t="shared" si="11"/>
        <v>1674047.8225000056</v>
      </c>
      <c r="G138" s="20">
        <f t="shared" si="12"/>
        <v>6.5958171350035941E-2</v>
      </c>
    </row>
    <row r="139" spans="1:7" x14ac:dyDescent="0.35">
      <c r="A139" s="21">
        <v>41173</v>
      </c>
      <c r="B139" s="19">
        <v>19251.5</v>
      </c>
      <c r="C139" s="19">
        <f t="shared" si="13"/>
        <v>19616.22</v>
      </c>
      <c r="D139" s="20">
        <f t="shared" si="14"/>
        <v>-1.8592776793898147E-2</v>
      </c>
      <c r="E139" s="19">
        <f t="shared" si="10"/>
        <v>364.72000000000116</v>
      </c>
      <c r="F139" s="19">
        <f t="shared" si="11"/>
        <v>133020.67840000085</v>
      </c>
      <c r="G139" s="20">
        <f t="shared" si="12"/>
        <v>1.8945017271381513E-2</v>
      </c>
    </row>
    <row r="140" spans="1:7" x14ac:dyDescent="0.35">
      <c r="A140" s="21">
        <v>41180</v>
      </c>
      <c r="B140" s="19">
        <v>18947.810000000001</v>
      </c>
      <c r="C140" s="19">
        <f t="shared" si="13"/>
        <v>19251.5</v>
      </c>
      <c r="D140" s="20">
        <f t="shared" si="14"/>
        <v>-1.5774874685089424E-2</v>
      </c>
      <c r="E140" s="19">
        <f t="shared" si="10"/>
        <v>303.68999999999869</v>
      </c>
      <c r="F140" s="19">
        <f t="shared" si="11"/>
        <v>92227.616099999199</v>
      </c>
      <c r="G140" s="20">
        <f t="shared" si="12"/>
        <v>1.6027709798652121E-2</v>
      </c>
    </row>
    <row r="141" spans="1:7" x14ac:dyDescent="0.35">
      <c r="A141" s="21">
        <v>41187</v>
      </c>
      <c r="B141" s="19">
        <v>21904.47</v>
      </c>
      <c r="C141" s="19">
        <f t="shared" si="13"/>
        <v>18947.810000000001</v>
      </c>
      <c r="D141" s="20">
        <f t="shared" si="14"/>
        <v>0.1560423077917712</v>
      </c>
      <c r="E141" s="19">
        <f t="shared" si="10"/>
        <v>2956.66</v>
      </c>
      <c r="F141" s="19">
        <f t="shared" si="11"/>
        <v>8741838.3555999994</v>
      </c>
      <c r="G141" s="20">
        <f t="shared" si="12"/>
        <v>0.13497975527369527</v>
      </c>
    </row>
    <row r="142" spans="1:7" x14ac:dyDescent="0.35">
      <c r="A142" s="21">
        <v>41194</v>
      </c>
      <c r="B142" s="19">
        <v>22764.01</v>
      </c>
      <c r="C142" s="19">
        <f t="shared" si="13"/>
        <v>21904.47</v>
      </c>
      <c r="D142" s="20">
        <f t="shared" si="14"/>
        <v>3.9240392486099784E-2</v>
      </c>
      <c r="E142" s="19">
        <f t="shared" si="10"/>
        <v>859.53999999999724</v>
      </c>
      <c r="F142" s="19">
        <f t="shared" si="11"/>
        <v>738809.0115999952</v>
      </c>
      <c r="G142" s="20">
        <f t="shared" si="12"/>
        <v>3.7758725286098423E-2</v>
      </c>
    </row>
    <row r="143" spans="1:7" x14ac:dyDescent="0.35">
      <c r="A143" s="21">
        <v>41201</v>
      </c>
      <c r="B143" s="19">
        <v>24185.27</v>
      </c>
      <c r="C143" s="19">
        <f t="shared" si="13"/>
        <v>22764.01</v>
      </c>
      <c r="D143" s="20">
        <f t="shared" si="14"/>
        <v>6.243451834716307E-2</v>
      </c>
      <c r="E143" s="19">
        <f t="shared" si="10"/>
        <v>1421.260000000002</v>
      </c>
      <c r="F143" s="19">
        <f t="shared" si="11"/>
        <v>2019979.9876000057</v>
      </c>
      <c r="G143" s="20">
        <f t="shared" si="12"/>
        <v>5.8765521327651171E-2</v>
      </c>
    </row>
    <row r="144" spans="1:7" x14ac:dyDescent="0.35">
      <c r="A144" s="21">
        <v>41208</v>
      </c>
      <c r="B144" s="19">
        <v>27390.81</v>
      </c>
      <c r="C144" s="19">
        <f t="shared" si="13"/>
        <v>24185.27</v>
      </c>
      <c r="D144" s="20">
        <f t="shared" si="14"/>
        <v>0.13254100533093083</v>
      </c>
      <c r="E144" s="19">
        <f t="shared" si="10"/>
        <v>3205.5400000000009</v>
      </c>
      <c r="F144" s="19">
        <f t="shared" si="11"/>
        <v>10275486.691600006</v>
      </c>
      <c r="G144" s="20">
        <f t="shared" si="12"/>
        <v>0.11702976290222891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9DC7-07D5-4267-A149-ACAADD2A8EF6}">
  <dimension ref="A1:L144"/>
  <sheetViews>
    <sheetView workbookViewId="0">
      <selection activeCell="G1" sqref="G1"/>
    </sheetView>
  </sheetViews>
  <sheetFormatPr defaultRowHeight="14.5" x14ac:dyDescent="0.35"/>
  <cols>
    <col min="1" max="1" width="10.453125" bestFit="1" customWidth="1"/>
    <col min="2" max="2" width="12.08984375" bestFit="1" customWidth="1"/>
    <col min="3" max="3" width="22.7265625" bestFit="1" customWidth="1"/>
    <col min="4" max="4" width="8.7265625" style="14"/>
    <col min="6" max="6" width="11.81640625" bestFit="1" customWidth="1"/>
    <col min="7" max="7" width="11.81640625" style="14" bestFit="1" customWidth="1"/>
    <col min="11" max="11" width="10.81640625" bestFit="1" customWidth="1"/>
  </cols>
  <sheetData>
    <row r="1" spans="1:7" x14ac:dyDescent="0.35">
      <c r="A1" s="43" t="s">
        <v>18</v>
      </c>
      <c r="B1" s="43" t="s">
        <v>19</v>
      </c>
      <c r="C1" s="43" t="s">
        <v>32</v>
      </c>
      <c r="D1" s="44" t="s">
        <v>33</v>
      </c>
      <c r="E1" s="43" t="s">
        <v>60</v>
      </c>
      <c r="F1" s="43" t="s">
        <v>61</v>
      </c>
      <c r="G1" s="44" t="s">
        <v>62</v>
      </c>
    </row>
    <row r="2" spans="1:7" x14ac:dyDescent="0.35">
      <c r="A2" s="21">
        <v>40214</v>
      </c>
      <c r="B2" s="19">
        <v>24924.5</v>
      </c>
      <c r="C2" s="19"/>
      <c r="D2" s="20"/>
      <c r="E2" s="19"/>
      <c r="F2" s="19"/>
      <c r="G2" s="20"/>
    </row>
    <row r="3" spans="1:7" x14ac:dyDescent="0.35">
      <c r="A3" s="21">
        <v>40221</v>
      </c>
      <c r="B3" s="19">
        <v>46039.49</v>
      </c>
      <c r="C3" s="19"/>
      <c r="D3" s="20"/>
      <c r="E3" s="19"/>
      <c r="F3" s="19"/>
      <c r="G3" s="20"/>
    </row>
    <row r="4" spans="1:7" x14ac:dyDescent="0.35">
      <c r="A4" s="21">
        <v>40228</v>
      </c>
      <c r="B4" s="19">
        <v>41595.550000000003</v>
      </c>
      <c r="C4" s="19"/>
      <c r="D4" s="20"/>
      <c r="E4" s="19"/>
      <c r="F4" s="19"/>
      <c r="G4" s="20"/>
    </row>
    <row r="5" spans="1:7" x14ac:dyDescent="0.35">
      <c r="A5" s="21">
        <v>40235</v>
      </c>
      <c r="B5" s="19">
        <v>19403.54</v>
      </c>
      <c r="C5" s="19">
        <f>AVERAGE(B2:B4)</f>
        <v>37519.846666666665</v>
      </c>
      <c r="D5" s="20">
        <f t="shared" ref="D5:D68" si="0">IF(C5=0,0,(B5/C5)-1)</f>
        <v>-0.48284596756525477</v>
      </c>
      <c r="E5" s="19">
        <f t="shared" ref="E5:E66" si="1">AVERAGE(ABS(B5-C5))</f>
        <v>18116.306666666664</v>
      </c>
      <c r="F5" s="19">
        <f t="shared" ref="F5:F66" si="2">E5^2</f>
        <v>328200567.24071097</v>
      </c>
      <c r="G5" s="20">
        <f t="shared" ref="G5:G66" si="3">AVERAGE(ABS(B5-C5)/B5)</f>
        <v>0.93365987168664388</v>
      </c>
    </row>
    <row r="6" spans="1:7" x14ac:dyDescent="0.35">
      <c r="A6" s="21">
        <v>40242</v>
      </c>
      <c r="B6" s="19">
        <v>21827.9</v>
      </c>
      <c r="C6" s="19">
        <f>AVERAGE(B3:B5)</f>
        <v>35679.526666666672</v>
      </c>
      <c r="D6" s="20">
        <f t="shared" si="0"/>
        <v>-0.38822338637153075</v>
      </c>
      <c r="E6" s="19">
        <f t="shared" si="1"/>
        <v>13851.626666666671</v>
      </c>
      <c r="F6" s="19">
        <f t="shared" si="2"/>
        <v>191867561.31271121</v>
      </c>
      <c r="G6" s="20">
        <f t="shared" si="3"/>
        <v>0.63458356812458683</v>
      </c>
    </row>
    <row r="7" spans="1:7" x14ac:dyDescent="0.35">
      <c r="A7" s="21">
        <v>40249</v>
      </c>
      <c r="B7" s="19">
        <v>21043.39</v>
      </c>
      <c r="C7" s="19">
        <f>AVERAGE(B4:B6)</f>
        <v>27608.99666666667</v>
      </c>
      <c r="D7" s="20">
        <f t="shared" si="0"/>
        <v>-0.23780678254757304</v>
      </c>
      <c r="E7" s="19">
        <f t="shared" si="1"/>
        <v>6565.6066666666702</v>
      </c>
      <c r="F7" s="19">
        <f t="shared" si="2"/>
        <v>43107190.901377827</v>
      </c>
      <c r="G7" s="20">
        <f t="shared" si="3"/>
        <v>0.31200327830576113</v>
      </c>
    </row>
    <row r="8" spans="1:7" x14ac:dyDescent="0.35">
      <c r="A8" s="21">
        <v>40256</v>
      </c>
      <c r="B8" s="19">
        <v>22136.639999999999</v>
      </c>
      <c r="C8" s="19">
        <f t="shared" ref="C8:C69" si="4">AVERAGE(B5:B7)</f>
        <v>20758.276666666668</v>
      </c>
      <c r="D8" s="20">
        <f t="shared" si="0"/>
        <v>6.6400662996590976E-2</v>
      </c>
      <c r="E8" s="19">
        <f t="shared" si="1"/>
        <v>1378.363333333331</v>
      </c>
      <c r="F8" s="19">
        <f t="shared" si="2"/>
        <v>1899885.4786777713</v>
      </c>
      <c r="G8" s="20">
        <f t="shared" si="3"/>
        <v>6.2266149394548179E-2</v>
      </c>
    </row>
    <row r="9" spans="1:7" x14ac:dyDescent="0.35">
      <c r="A9" s="21">
        <v>40263</v>
      </c>
      <c r="B9" s="19">
        <v>26229.21</v>
      </c>
      <c r="C9" s="19">
        <f t="shared" si="4"/>
        <v>21669.31</v>
      </c>
      <c r="D9" s="20">
        <f t="shared" si="0"/>
        <v>0.21043125046436639</v>
      </c>
      <c r="E9" s="19">
        <f t="shared" si="1"/>
        <v>4559.8999999999978</v>
      </c>
      <c r="F9" s="19">
        <f t="shared" si="2"/>
        <v>20792688.009999979</v>
      </c>
      <c r="G9" s="20">
        <f t="shared" si="3"/>
        <v>0.17384816393631367</v>
      </c>
    </row>
    <row r="10" spans="1:7" x14ac:dyDescent="0.35">
      <c r="A10" s="21">
        <v>40270</v>
      </c>
      <c r="B10" s="19">
        <v>57258.43</v>
      </c>
      <c r="C10" s="19">
        <f t="shared" si="4"/>
        <v>23136.41333333333</v>
      </c>
      <c r="D10" s="20">
        <f t="shared" si="0"/>
        <v>1.4748187705268063</v>
      </c>
      <c r="E10" s="19">
        <f t="shared" si="1"/>
        <v>34122.01666666667</v>
      </c>
      <c r="F10" s="19">
        <f t="shared" si="2"/>
        <v>1164312021.4002781</v>
      </c>
      <c r="G10" s="20">
        <f t="shared" si="3"/>
        <v>0.59593000832657606</v>
      </c>
    </row>
    <row r="11" spans="1:7" x14ac:dyDescent="0.35">
      <c r="A11" s="21">
        <v>40277</v>
      </c>
      <c r="B11" s="19">
        <v>42960.91</v>
      </c>
      <c r="C11" s="19">
        <f t="shared" si="4"/>
        <v>35208.093333333331</v>
      </c>
      <c r="D11" s="20">
        <f t="shared" si="0"/>
        <v>0.22019984420248839</v>
      </c>
      <c r="E11" s="19">
        <f t="shared" si="1"/>
        <v>7752.816666666673</v>
      </c>
      <c r="F11" s="19">
        <f t="shared" si="2"/>
        <v>60106166.266944543</v>
      </c>
      <c r="G11" s="20">
        <f t="shared" si="3"/>
        <v>0.18046211466811743</v>
      </c>
    </row>
    <row r="12" spans="1:7" x14ac:dyDescent="0.35">
      <c r="A12" s="21">
        <v>40284</v>
      </c>
      <c r="B12" s="19">
        <v>17596.96</v>
      </c>
      <c r="C12" s="19">
        <f t="shared" si="4"/>
        <v>42149.51666666667</v>
      </c>
      <c r="D12" s="20">
        <f t="shared" si="0"/>
        <v>-0.5825109896475682</v>
      </c>
      <c r="E12" s="19">
        <f t="shared" si="1"/>
        <v>24552.556666666671</v>
      </c>
      <c r="F12" s="19">
        <f t="shared" si="2"/>
        <v>602828038.86987793</v>
      </c>
      <c r="G12" s="20">
        <f t="shared" si="3"/>
        <v>1.3952726304240433</v>
      </c>
    </row>
    <row r="13" spans="1:7" x14ac:dyDescent="0.35">
      <c r="A13" s="21">
        <v>40291</v>
      </c>
      <c r="B13" s="19">
        <v>16145.35</v>
      </c>
      <c r="C13" s="19">
        <f t="shared" si="4"/>
        <v>39272.1</v>
      </c>
      <c r="D13" s="20">
        <f t="shared" si="0"/>
        <v>-0.5888849845055395</v>
      </c>
      <c r="E13" s="19">
        <f t="shared" si="1"/>
        <v>23126.75</v>
      </c>
      <c r="F13" s="19">
        <f t="shared" si="2"/>
        <v>534846565.5625</v>
      </c>
      <c r="G13" s="20">
        <f t="shared" si="3"/>
        <v>1.4324093314793422</v>
      </c>
    </row>
    <row r="14" spans="1:7" x14ac:dyDescent="0.35">
      <c r="A14" s="21">
        <v>40298</v>
      </c>
      <c r="B14" s="19">
        <v>16555.11</v>
      </c>
      <c r="C14" s="19">
        <f t="shared" si="4"/>
        <v>25567.74</v>
      </c>
      <c r="D14" s="20">
        <f t="shared" si="0"/>
        <v>-0.35250006453444849</v>
      </c>
      <c r="E14" s="19">
        <f t="shared" si="1"/>
        <v>9012.630000000001</v>
      </c>
      <c r="F14" s="19">
        <f t="shared" si="2"/>
        <v>81227499.516900018</v>
      </c>
      <c r="G14" s="20">
        <f t="shared" si="3"/>
        <v>0.54440169832758589</v>
      </c>
    </row>
    <row r="15" spans="1:7" x14ac:dyDescent="0.35">
      <c r="A15" s="21">
        <v>40305</v>
      </c>
      <c r="B15" s="19">
        <v>17413.939999999999</v>
      </c>
      <c r="C15" s="19">
        <f t="shared" si="4"/>
        <v>16765.806666666667</v>
      </c>
      <c r="D15" s="20">
        <f t="shared" si="0"/>
        <v>3.8658046476339969E-2</v>
      </c>
      <c r="E15" s="19">
        <f t="shared" si="1"/>
        <v>648.13333333333139</v>
      </c>
      <c r="F15" s="19">
        <f t="shared" si="2"/>
        <v>420076.81777777529</v>
      </c>
      <c r="G15" s="20">
        <f t="shared" si="3"/>
        <v>3.7219223985687985E-2</v>
      </c>
    </row>
    <row r="16" spans="1:7" ht="15" thickBot="1" x14ac:dyDescent="0.4">
      <c r="A16" s="21">
        <v>40312</v>
      </c>
      <c r="B16" s="19">
        <v>18926.740000000002</v>
      </c>
      <c r="C16" s="19">
        <f t="shared" si="4"/>
        <v>16704.8</v>
      </c>
      <c r="D16" s="20">
        <f t="shared" si="0"/>
        <v>0.13301206838752955</v>
      </c>
      <c r="E16" s="19">
        <f t="shared" si="1"/>
        <v>2221.9400000000023</v>
      </c>
      <c r="F16" s="19">
        <f t="shared" si="2"/>
        <v>4937017.3636000101</v>
      </c>
      <c r="G16" s="20">
        <f t="shared" si="3"/>
        <v>0.11739686813471323</v>
      </c>
    </row>
    <row r="17" spans="1:12" ht="15" thickBot="1" x14ac:dyDescent="0.4">
      <c r="A17" s="21">
        <v>40319</v>
      </c>
      <c r="B17" s="19">
        <v>14773.04</v>
      </c>
      <c r="C17" s="19">
        <f t="shared" si="4"/>
        <v>17631.930000000004</v>
      </c>
      <c r="D17" s="20">
        <f t="shared" si="0"/>
        <v>-0.16214277166481506</v>
      </c>
      <c r="E17" s="19">
        <f t="shared" si="1"/>
        <v>2858.8900000000031</v>
      </c>
      <c r="F17" s="19">
        <f t="shared" si="2"/>
        <v>8173252.0321000172</v>
      </c>
      <c r="G17" s="20">
        <f t="shared" si="3"/>
        <v>0.19352076485273192</v>
      </c>
      <c r="H17" s="24"/>
      <c r="I17" s="25"/>
      <c r="J17" s="33" t="s">
        <v>28</v>
      </c>
      <c r="K17" s="33" t="s">
        <v>29</v>
      </c>
      <c r="L17" s="34" t="s">
        <v>30</v>
      </c>
    </row>
    <row r="18" spans="1:12" ht="15" thickBot="1" x14ac:dyDescent="0.4">
      <c r="A18" s="21">
        <v>40326</v>
      </c>
      <c r="B18" s="19">
        <v>15580.43</v>
      </c>
      <c r="C18" s="19">
        <f t="shared" si="4"/>
        <v>17037.906666666666</v>
      </c>
      <c r="D18" s="20">
        <f t="shared" si="0"/>
        <v>-8.554317705696235E-2</v>
      </c>
      <c r="E18" s="19">
        <f t="shared" si="1"/>
        <v>1457.4766666666656</v>
      </c>
      <c r="F18" s="19">
        <f t="shared" si="2"/>
        <v>2124238.2338777743</v>
      </c>
      <c r="G18" s="20">
        <f t="shared" si="3"/>
        <v>9.354534288634303E-2</v>
      </c>
      <c r="H18" s="28" t="s">
        <v>31</v>
      </c>
      <c r="I18" s="32">
        <v>143</v>
      </c>
      <c r="J18" s="18">
        <f>SUM(E2:E144)/140</f>
        <v>6615.6164047619068</v>
      </c>
      <c r="K18" s="18">
        <f>SUM(F2:F144)/140</f>
        <v>110671856.0368669</v>
      </c>
      <c r="L18" s="35">
        <f>SUM(G2:G144)/140*100</f>
        <v>27.750657117343643</v>
      </c>
    </row>
    <row r="19" spans="1:12" x14ac:dyDescent="0.35">
      <c r="A19" s="21">
        <v>40333</v>
      </c>
      <c r="B19" s="19">
        <v>17558.09</v>
      </c>
      <c r="C19" s="19">
        <f t="shared" si="4"/>
        <v>16426.736666666668</v>
      </c>
      <c r="D19" s="20">
        <f t="shared" si="0"/>
        <v>6.8872677287698192E-2</v>
      </c>
      <c r="E19" s="19">
        <f t="shared" si="1"/>
        <v>1131.3533333333326</v>
      </c>
      <c r="F19" s="19">
        <f t="shared" si="2"/>
        <v>1279960.3648444426</v>
      </c>
      <c r="G19" s="20">
        <f t="shared" si="3"/>
        <v>6.4434874939889961E-2</v>
      </c>
    </row>
    <row r="20" spans="1:12" x14ac:dyDescent="0.35">
      <c r="A20" s="21">
        <v>40340</v>
      </c>
      <c r="B20" s="19">
        <v>16637.62</v>
      </c>
      <c r="C20" s="19">
        <f t="shared" si="4"/>
        <v>15970.519999999999</v>
      </c>
      <c r="D20" s="20">
        <f t="shared" si="0"/>
        <v>4.1770712537851029E-2</v>
      </c>
      <c r="E20" s="19">
        <f t="shared" si="1"/>
        <v>667.10000000000036</v>
      </c>
      <c r="F20" s="19">
        <f t="shared" si="2"/>
        <v>445022.4100000005</v>
      </c>
      <c r="G20" s="20">
        <f t="shared" si="3"/>
        <v>4.0095879098092181E-2</v>
      </c>
    </row>
    <row r="21" spans="1:12" x14ac:dyDescent="0.35">
      <c r="A21" s="21">
        <v>40347</v>
      </c>
      <c r="B21" s="19">
        <v>16216.27</v>
      </c>
      <c r="C21" s="19">
        <f t="shared" si="4"/>
        <v>16592.046666666665</v>
      </c>
      <c r="D21" s="20">
        <f t="shared" si="0"/>
        <v>-2.264799962391606E-2</v>
      </c>
      <c r="E21" s="19">
        <f t="shared" si="1"/>
        <v>375.77666666666482</v>
      </c>
      <c r="F21" s="19">
        <f t="shared" si="2"/>
        <v>141208.10321110973</v>
      </c>
      <c r="G21" s="20">
        <f t="shared" si="3"/>
        <v>2.3172817587932663E-2</v>
      </c>
    </row>
    <row r="22" spans="1:12" x14ac:dyDescent="0.35">
      <c r="A22" s="21">
        <v>40354</v>
      </c>
      <c r="B22" s="19">
        <v>16328.72</v>
      </c>
      <c r="C22" s="19">
        <f t="shared" si="4"/>
        <v>16803.993333333332</v>
      </c>
      <c r="D22" s="20">
        <f t="shared" si="0"/>
        <v>-2.8283356456143882E-2</v>
      </c>
      <c r="E22" s="19">
        <f t="shared" si="1"/>
        <v>475.27333333333263</v>
      </c>
      <c r="F22" s="19">
        <f t="shared" si="2"/>
        <v>225884.7413777771</v>
      </c>
      <c r="G22" s="20">
        <f t="shared" si="3"/>
        <v>2.9106588473152374E-2</v>
      </c>
    </row>
    <row r="23" spans="1:12" x14ac:dyDescent="0.35">
      <c r="A23" s="21">
        <v>40361</v>
      </c>
      <c r="B23" s="19">
        <v>16333.14</v>
      </c>
      <c r="C23" s="19">
        <f t="shared" si="4"/>
        <v>16394.203333333335</v>
      </c>
      <c r="D23" s="20">
        <f t="shared" si="0"/>
        <v>-3.7246904952787929E-3</v>
      </c>
      <c r="E23" s="19">
        <f t="shared" si="1"/>
        <v>61.063333333335322</v>
      </c>
      <c r="F23" s="19">
        <f t="shared" si="2"/>
        <v>3728.7306777780204</v>
      </c>
      <c r="G23" s="20">
        <f t="shared" si="3"/>
        <v>3.7386156815734958E-3</v>
      </c>
    </row>
    <row r="24" spans="1:12" x14ac:dyDescent="0.35">
      <c r="A24" s="21">
        <v>40368</v>
      </c>
      <c r="B24" s="19">
        <v>17688.759999999998</v>
      </c>
      <c r="C24" s="19">
        <f t="shared" si="4"/>
        <v>16292.71</v>
      </c>
      <c r="D24" s="20">
        <f t="shared" si="0"/>
        <v>8.5685561211118255E-2</v>
      </c>
      <c r="E24" s="19">
        <f t="shared" si="1"/>
        <v>1396.0499999999993</v>
      </c>
      <c r="F24" s="19">
        <f t="shared" si="2"/>
        <v>1948955.6024999979</v>
      </c>
      <c r="G24" s="20">
        <f t="shared" si="3"/>
        <v>7.8922999690198711E-2</v>
      </c>
    </row>
    <row r="25" spans="1:12" x14ac:dyDescent="0.35">
      <c r="A25" s="21">
        <v>40375</v>
      </c>
      <c r="B25" s="19">
        <v>17150.84</v>
      </c>
      <c r="C25" s="19">
        <f t="shared" si="4"/>
        <v>16783.539999999997</v>
      </c>
      <c r="D25" s="20">
        <f t="shared" si="0"/>
        <v>2.1884536873627569E-2</v>
      </c>
      <c r="E25" s="19">
        <f t="shared" si="1"/>
        <v>367.30000000000291</v>
      </c>
      <c r="F25" s="19">
        <f t="shared" si="2"/>
        <v>134909.29000000213</v>
      </c>
      <c r="G25" s="20">
        <f t="shared" si="3"/>
        <v>2.141586068087644E-2</v>
      </c>
    </row>
    <row r="26" spans="1:12" x14ac:dyDescent="0.35">
      <c r="A26" s="21">
        <v>40382</v>
      </c>
      <c r="B26" s="19">
        <v>15360.45</v>
      </c>
      <c r="C26" s="19">
        <f t="shared" si="4"/>
        <v>17057.579999999998</v>
      </c>
      <c r="D26" s="20">
        <f t="shared" si="0"/>
        <v>-9.9494183817399495E-2</v>
      </c>
      <c r="E26" s="19">
        <f t="shared" si="1"/>
        <v>1697.1299999999974</v>
      </c>
      <c r="F26" s="19">
        <f t="shared" si="2"/>
        <v>2880250.2368999911</v>
      </c>
      <c r="G26" s="20">
        <f t="shared" si="3"/>
        <v>0.11048699745124636</v>
      </c>
    </row>
    <row r="27" spans="1:12" x14ac:dyDescent="0.35">
      <c r="A27" s="21">
        <v>40389</v>
      </c>
      <c r="B27" s="19">
        <v>15381.82</v>
      </c>
      <c r="C27" s="19">
        <f t="shared" si="4"/>
        <v>16733.350000000002</v>
      </c>
      <c r="D27" s="20">
        <f t="shared" si="0"/>
        <v>-8.076864465274447E-2</v>
      </c>
      <c r="E27" s="19">
        <f t="shared" si="1"/>
        <v>1351.5300000000025</v>
      </c>
      <c r="F27" s="19">
        <f t="shared" si="2"/>
        <v>1826633.3409000067</v>
      </c>
      <c r="G27" s="20">
        <f t="shared" si="3"/>
        <v>8.7865415145932185E-2</v>
      </c>
    </row>
    <row r="28" spans="1:12" x14ac:dyDescent="0.35">
      <c r="A28" s="21">
        <v>40396</v>
      </c>
      <c r="B28" s="19">
        <v>17508.41</v>
      </c>
      <c r="C28" s="19">
        <f t="shared" si="4"/>
        <v>15964.37</v>
      </c>
      <c r="D28" s="20">
        <f t="shared" si="0"/>
        <v>9.6717878625965037E-2</v>
      </c>
      <c r="E28" s="19">
        <f t="shared" si="1"/>
        <v>1544.0399999999991</v>
      </c>
      <c r="F28" s="19">
        <f t="shared" si="2"/>
        <v>2384059.5215999973</v>
      </c>
      <c r="G28" s="20">
        <f t="shared" si="3"/>
        <v>8.818847628082728E-2</v>
      </c>
    </row>
    <row r="29" spans="1:12" x14ac:dyDescent="0.35">
      <c r="A29" s="21">
        <v>40403</v>
      </c>
      <c r="B29" s="19">
        <v>15536.4</v>
      </c>
      <c r="C29" s="19">
        <f t="shared" si="4"/>
        <v>16083.56</v>
      </c>
      <c r="D29" s="20">
        <f t="shared" si="0"/>
        <v>-3.4019831430354919E-2</v>
      </c>
      <c r="E29" s="19">
        <f t="shared" si="1"/>
        <v>547.15999999999985</v>
      </c>
      <c r="F29" s="19">
        <f t="shared" si="2"/>
        <v>299384.06559999986</v>
      </c>
      <c r="G29" s="20">
        <f t="shared" si="3"/>
        <v>3.5217939805875224E-2</v>
      </c>
    </row>
    <row r="30" spans="1:12" x14ac:dyDescent="0.35">
      <c r="A30" s="21">
        <v>40410</v>
      </c>
      <c r="B30" s="19">
        <v>15740.13</v>
      </c>
      <c r="C30" s="19">
        <f t="shared" si="4"/>
        <v>16142.21</v>
      </c>
      <c r="D30" s="20">
        <f t="shared" si="0"/>
        <v>-2.4908609168137419E-2</v>
      </c>
      <c r="E30" s="19">
        <f t="shared" si="1"/>
        <v>402.07999999999993</v>
      </c>
      <c r="F30" s="19">
        <f t="shared" si="2"/>
        <v>161668.32639999993</v>
      </c>
      <c r="G30" s="20">
        <f t="shared" si="3"/>
        <v>2.5544897024357482E-2</v>
      </c>
    </row>
    <row r="31" spans="1:12" x14ac:dyDescent="0.35">
      <c r="A31" s="21">
        <v>40417</v>
      </c>
      <c r="B31" s="19">
        <v>15793.87</v>
      </c>
      <c r="C31" s="19">
        <f t="shared" si="4"/>
        <v>16261.646666666666</v>
      </c>
      <c r="D31" s="20">
        <f t="shared" si="0"/>
        <v>-2.8765639560077272E-2</v>
      </c>
      <c r="E31" s="19">
        <f t="shared" si="1"/>
        <v>467.77666666666482</v>
      </c>
      <c r="F31" s="19">
        <f t="shared" si="2"/>
        <v>218815.00987777606</v>
      </c>
      <c r="G31" s="20">
        <f t="shared" si="3"/>
        <v>2.9617609025948979E-2</v>
      </c>
    </row>
    <row r="32" spans="1:12" x14ac:dyDescent="0.35">
      <c r="A32" s="21">
        <v>40424</v>
      </c>
      <c r="B32" s="19">
        <v>16241.78</v>
      </c>
      <c r="C32" s="19">
        <f t="shared" si="4"/>
        <v>15690.133333333333</v>
      </c>
      <c r="D32" s="20">
        <f t="shared" si="0"/>
        <v>3.515882592882158E-2</v>
      </c>
      <c r="E32" s="19">
        <f t="shared" si="1"/>
        <v>551.64666666666744</v>
      </c>
      <c r="F32" s="19">
        <f t="shared" si="2"/>
        <v>304314.04484444531</v>
      </c>
      <c r="G32" s="20">
        <f t="shared" si="3"/>
        <v>3.396466807620023E-2</v>
      </c>
    </row>
    <row r="33" spans="1:7" x14ac:dyDescent="0.35">
      <c r="A33" s="21">
        <v>40431</v>
      </c>
      <c r="B33" s="19">
        <v>18194.740000000002</v>
      </c>
      <c r="C33" s="19">
        <f t="shared" si="4"/>
        <v>15925.26</v>
      </c>
      <c r="D33" s="20">
        <f t="shared" si="0"/>
        <v>0.14250819138902604</v>
      </c>
      <c r="E33" s="19">
        <f t="shared" si="1"/>
        <v>2269.4800000000014</v>
      </c>
      <c r="F33" s="19">
        <f t="shared" si="2"/>
        <v>5150539.4704000065</v>
      </c>
      <c r="G33" s="20">
        <f t="shared" si="3"/>
        <v>0.12473275243284604</v>
      </c>
    </row>
    <row r="34" spans="1:7" x14ac:dyDescent="0.35">
      <c r="A34" s="21">
        <v>40438</v>
      </c>
      <c r="B34" s="19">
        <v>19354.23</v>
      </c>
      <c r="C34" s="19">
        <f t="shared" si="4"/>
        <v>16743.463333333333</v>
      </c>
      <c r="D34" s="20">
        <f t="shared" si="0"/>
        <v>0.15592751718630882</v>
      </c>
      <c r="E34" s="19">
        <f t="shared" si="1"/>
        <v>2610.7666666666664</v>
      </c>
      <c r="F34" s="19">
        <f t="shared" si="2"/>
        <v>6816102.5877777766</v>
      </c>
      <c r="G34" s="20">
        <f t="shared" si="3"/>
        <v>0.13489385352280439</v>
      </c>
    </row>
    <row r="35" spans="1:7" x14ac:dyDescent="0.35">
      <c r="A35" s="21">
        <v>40445</v>
      </c>
      <c r="B35" s="19">
        <v>18122.52</v>
      </c>
      <c r="C35" s="19">
        <f t="shared" si="4"/>
        <v>17930.25</v>
      </c>
      <c r="D35" s="20">
        <f t="shared" si="0"/>
        <v>1.0723219140837514E-2</v>
      </c>
      <c r="E35" s="19">
        <f t="shared" si="1"/>
        <v>192.27000000000044</v>
      </c>
      <c r="F35" s="19">
        <f t="shared" si="2"/>
        <v>36967.752900000167</v>
      </c>
      <c r="G35" s="20">
        <f t="shared" si="3"/>
        <v>1.0609451665662415E-2</v>
      </c>
    </row>
    <row r="36" spans="1:7" x14ac:dyDescent="0.35">
      <c r="A36" s="21">
        <v>40452</v>
      </c>
      <c r="B36" s="19">
        <v>20094.189999999999</v>
      </c>
      <c r="C36" s="19">
        <f t="shared" si="4"/>
        <v>18557.163333333334</v>
      </c>
      <c r="D36" s="20">
        <f t="shared" si="0"/>
        <v>8.2826595803345615E-2</v>
      </c>
      <c r="E36" s="19">
        <f t="shared" si="1"/>
        <v>1537.0266666666648</v>
      </c>
      <c r="F36" s="19">
        <f t="shared" si="2"/>
        <v>2362450.9740444389</v>
      </c>
      <c r="G36" s="20">
        <f t="shared" si="3"/>
        <v>7.6491098504924304E-2</v>
      </c>
    </row>
    <row r="37" spans="1:7" x14ac:dyDescent="0.35">
      <c r="A37" s="21">
        <v>40459</v>
      </c>
      <c r="B37" s="19">
        <v>23388.03</v>
      </c>
      <c r="C37" s="19">
        <f t="shared" si="4"/>
        <v>19190.313333333335</v>
      </c>
      <c r="D37" s="20">
        <f t="shared" si="0"/>
        <v>0.21874143448065975</v>
      </c>
      <c r="E37" s="19">
        <f t="shared" si="1"/>
        <v>4197.7166666666635</v>
      </c>
      <c r="F37" s="19">
        <f t="shared" si="2"/>
        <v>17620825.213611085</v>
      </c>
      <c r="G37" s="20">
        <f t="shared" si="3"/>
        <v>0.179481412785372</v>
      </c>
    </row>
    <row r="38" spans="1:7" x14ac:dyDescent="0.35">
      <c r="A38" s="21">
        <v>40466</v>
      </c>
      <c r="B38" s="19">
        <v>26978.34</v>
      </c>
      <c r="C38" s="19">
        <f t="shared" si="4"/>
        <v>20534.913333333334</v>
      </c>
      <c r="D38" s="20">
        <f t="shared" si="0"/>
        <v>0.31377910206260107</v>
      </c>
      <c r="E38" s="19">
        <f t="shared" si="1"/>
        <v>6443.4266666666663</v>
      </c>
      <c r="F38" s="19">
        <f t="shared" si="2"/>
        <v>41517747.208711103</v>
      </c>
      <c r="G38" s="20">
        <f t="shared" si="3"/>
        <v>0.23883703247370544</v>
      </c>
    </row>
    <row r="39" spans="1:7" x14ac:dyDescent="0.35">
      <c r="A39" s="21">
        <v>40473</v>
      </c>
      <c r="B39" s="19">
        <v>25543.040000000001</v>
      </c>
      <c r="C39" s="19">
        <f t="shared" si="4"/>
        <v>23486.853333333333</v>
      </c>
      <c r="D39" s="20">
        <f t="shared" si="0"/>
        <v>8.7546281210368004E-2</v>
      </c>
      <c r="E39" s="19">
        <f t="shared" si="1"/>
        <v>2056.1866666666683</v>
      </c>
      <c r="F39" s="19">
        <f t="shared" si="2"/>
        <v>4227903.6081777848</v>
      </c>
      <c r="G39" s="20">
        <f t="shared" si="3"/>
        <v>8.0498901723000407E-2</v>
      </c>
    </row>
    <row r="40" spans="1:7" x14ac:dyDescent="0.35">
      <c r="A40" s="21">
        <v>40480</v>
      </c>
      <c r="B40" s="19">
        <v>38640.93</v>
      </c>
      <c r="C40" s="19">
        <f t="shared" si="4"/>
        <v>25303.136666666669</v>
      </c>
      <c r="D40" s="20">
        <f t="shared" si="0"/>
        <v>0.52712015545898705</v>
      </c>
      <c r="E40" s="19">
        <f t="shared" si="1"/>
        <v>13337.793333333331</v>
      </c>
      <c r="F40" s="19">
        <f t="shared" si="2"/>
        <v>177896731.00271106</v>
      </c>
      <c r="G40" s="20">
        <f t="shared" si="3"/>
        <v>0.34517267915998218</v>
      </c>
    </row>
    <row r="41" spans="1:7" x14ac:dyDescent="0.35">
      <c r="A41" s="21">
        <v>40487</v>
      </c>
      <c r="B41" s="19">
        <v>34238.879999999997</v>
      </c>
      <c r="C41" s="19">
        <f t="shared" si="4"/>
        <v>30387.436666666665</v>
      </c>
      <c r="D41" s="20">
        <f t="shared" si="0"/>
        <v>0.12674459433948093</v>
      </c>
      <c r="E41" s="19">
        <f t="shared" si="1"/>
        <v>3851.4433333333327</v>
      </c>
      <c r="F41" s="19">
        <f t="shared" si="2"/>
        <v>14833615.749877773</v>
      </c>
      <c r="G41" s="20">
        <f t="shared" si="3"/>
        <v>0.11248742170694057</v>
      </c>
    </row>
    <row r="42" spans="1:7" x14ac:dyDescent="0.35">
      <c r="A42" s="21">
        <v>40494</v>
      </c>
      <c r="B42" s="19">
        <v>19549.39</v>
      </c>
      <c r="C42" s="19">
        <f t="shared" si="4"/>
        <v>32807.616666666669</v>
      </c>
      <c r="D42" s="20">
        <f t="shared" si="0"/>
        <v>-0.40412038464645161</v>
      </c>
      <c r="E42" s="19">
        <f t="shared" si="1"/>
        <v>13258.226666666669</v>
      </c>
      <c r="F42" s="19">
        <f t="shared" si="2"/>
        <v>175780574.34471118</v>
      </c>
      <c r="G42" s="20">
        <f t="shared" si="3"/>
        <v>0.67819132293471407</v>
      </c>
    </row>
    <row r="43" spans="1:7" x14ac:dyDescent="0.35">
      <c r="A43" s="21">
        <v>40501</v>
      </c>
      <c r="B43" s="19">
        <v>19552.84</v>
      </c>
      <c r="C43" s="19">
        <f t="shared" si="4"/>
        <v>30809.733333333334</v>
      </c>
      <c r="D43" s="20">
        <f t="shared" si="0"/>
        <v>-0.36536808714129299</v>
      </c>
      <c r="E43" s="19">
        <f t="shared" si="1"/>
        <v>11256.893333333333</v>
      </c>
      <c r="F43" s="19">
        <f t="shared" si="2"/>
        <v>126717647.51804444</v>
      </c>
      <c r="G43" s="20">
        <f t="shared" si="3"/>
        <v>0.5757165370009335</v>
      </c>
    </row>
    <row r="44" spans="1:7" x14ac:dyDescent="0.35">
      <c r="A44" s="21">
        <v>40508</v>
      </c>
      <c r="B44" s="19">
        <v>18820.29</v>
      </c>
      <c r="C44" s="19">
        <f t="shared" si="4"/>
        <v>24447.036666666667</v>
      </c>
      <c r="D44" s="20">
        <f t="shared" si="0"/>
        <v>-0.23016068341479967</v>
      </c>
      <c r="E44" s="19">
        <f t="shared" si="1"/>
        <v>5626.746666666666</v>
      </c>
      <c r="F44" s="19">
        <f t="shared" si="2"/>
        <v>31660278.050844438</v>
      </c>
      <c r="G44" s="20">
        <f t="shared" si="3"/>
        <v>0.29897236794261223</v>
      </c>
    </row>
    <row r="45" spans="1:7" x14ac:dyDescent="0.35">
      <c r="A45" s="21">
        <v>40515</v>
      </c>
      <c r="B45" s="19">
        <v>22517.56</v>
      </c>
      <c r="C45" s="19">
        <f t="shared" si="4"/>
        <v>19307.506666666664</v>
      </c>
      <c r="D45" s="20">
        <f t="shared" si="0"/>
        <v>0.16625934092646544</v>
      </c>
      <c r="E45" s="19">
        <f t="shared" si="1"/>
        <v>3210.0533333333369</v>
      </c>
      <c r="F45" s="19">
        <f t="shared" si="2"/>
        <v>10304442.402844468</v>
      </c>
      <c r="G45" s="20">
        <f t="shared" si="3"/>
        <v>0.14255777861070812</v>
      </c>
    </row>
    <row r="46" spans="1:7" x14ac:dyDescent="0.35">
      <c r="A46" s="21">
        <v>40522</v>
      </c>
      <c r="B46" s="19">
        <v>31497.65</v>
      </c>
      <c r="C46" s="19">
        <f t="shared" si="4"/>
        <v>20296.896666666667</v>
      </c>
      <c r="D46" s="20">
        <f t="shared" si="0"/>
        <v>0.55184561055228643</v>
      </c>
      <c r="E46" s="19">
        <f t="shared" si="1"/>
        <v>11200.753333333334</v>
      </c>
      <c r="F46" s="19">
        <f t="shared" si="2"/>
        <v>125456875.2341778</v>
      </c>
      <c r="G46" s="20">
        <f t="shared" si="3"/>
        <v>0.35560600023599642</v>
      </c>
    </row>
    <row r="47" spans="1:7" x14ac:dyDescent="0.35">
      <c r="A47" s="21">
        <v>40529</v>
      </c>
      <c r="B47" s="19">
        <v>44912.86</v>
      </c>
      <c r="C47" s="19">
        <f t="shared" si="4"/>
        <v>24278.5</v>
      </c>
      <c r="D47" s="20">
        <f t="shared" si="0"/>
        <v>0.84990258871017565</v>
      </c>
      <c r="E47" s="19">
        <f t="shared" si="1"/>
        <v>20634.36</v>
      </c>
      <c r="F47" s="19">
        <f t="shared" si="2"/>
        <v>425776812.60960001</v>
      </c>
      <c r="G47" s="20">
        <f t="shared" si="3"/>
        <v>0.4594309959330134</v>
      </c>
    </row>
    <row r="48" spans="1:7" x14ac:dyDescent="0.35">
      <c r="A48" s="21">
        <v>40536</v>
      </c>
      <c r="B48" s="19">
        <v>55931.23</v>
      </c>
      <c r="C48" s="19">
        <f t="shared" si="4"/>
        <v>32976.023333333338</v>
      </c>
      <c r="D48" s="20">
        <f t="shared" si="0"/>
        <v>0.69611809873577823</v>
      </c>
      <c r="E48" s="19">
        <f t="shared" si="1"/>
        <v>22955.206666666665</v>
      </c>
      <c r="F48" s="19">
        <f t="shared" si="2"/>
        <v>526941513.10937768</v>
      </c>
      <c r="G48" s="20">
        <f t="shared" si="3"/>
        <v>0.41041841323115302</v>
      </c>
    </row>
    <row r="49" spans="1:7" x14ac:dyDescent="0.35">
      <c r="A49" s="21">
        <v>40543</v>
      </c>
      <c r="B49" s="19">
        <v>19124.580000000002</v>
      </c>
      <c r="C49" s="19">
        <f t="shared" si="4"/>
        <v>44113.913333333338</v>
      </c>
      <c r="D49" s="20">
        <f t="shared" si="0"/>
        <v>-0.56647283011391569</v>
      </c>
      <c r="E49" s="19">
        <f t="shared" si="1"/>
        <v>24989.333333333336</v>
      </c>
      <c r="F49" s="19">
        <f t="shared" si="2"/>
        <v>624466780.44444454</v>
      </c>
      <c r="G49" s="20">
        <f t="shared" si="3"/>
        <v>1.3066605035683572</v>
      </c>
    </row>
    <row r="50" spans="1:7" x14ac:dyDescent="0.35">
      <c r="A50" s="21">
        <v>40550</v>
      </c>
      <c r="B50" s="19">
        <v>15984.24</v>
      </c>
      <c r="C50" s="19">
        <f t="shared" si="4"/>
        <v>39989.556666666664</v>
      </c>
      <c r="D50" s="20">
        <f t="shared" si="0"/>
        <v>-0.60028964228744053</v>
      </c>
      <c r="E50" s="19">
        <f t="shared" si="1"/>
        <v>24005.316666666666</v>
      </c>
      <c r="F50" s="19">
        <f t="shared" si="2"/>
        <v>576255228.26694441</v>
      </c>
      <c r="G50" s="20">
        <f t="shared" si="3"/>
        <v>1.5018115760690947</v>
      </c>
    </row>
    <row r="51" spans="1:7" x14ac:dyDescent="0.35">
      <c r="A51" s="21">
        <v>40557</v>
      </c>
      <c r="B51" s="19">
        <v>17359.7</v>
      </c>
      <c r="C51" s="19">
        <f t="shared" si="4"/>
        <v>30346.683333333334</v>
      </c>
      <c r="D51" s="20">
        <f t="shared" si="0"/>
        <v>-0.42795396092159443</v>
      </c>
      <c r="E51" s="19">
        <f t="shared" si="1"/>
        <v>12986.983333333334</v>
      </c>
      <c r="F51" s="19">
        <f t="shared" si="2"/>
        <v>168661736.10027778</v>
      </c>
      <c r="G51" s="20">
        <f t="shared" si="3"/>
        <v>0.74811104646585669</v>
      </c>
    </row>
    <row r="52" spans="1:7" x14ac:dyDescent="0.35">
      <c r="A52" s="21">
        <v>40564</v>
      </c>
      <c r="B52" s="19">
        <v>17341.47</v>
      </c>
      <c r="C52" s="19">
        <f t="shared" si="4"/>
        <v>17489.506666666668</v>
      </c>
      <c r="D52" s="20">
        <f t="shared" si="0"/>
        <v>-8.4643134588130442E-3</v>
      </c>
      <c r="E52" s="19">
        <f t="shared" si="1"/>
        <v>148.03666666666686</v>
      </c>
      <c r="F52" s="19">
        <f t="shared" si="2"/>
        <v>21914.854677777836</v>
      </c>
      <c r="G52" s="20">
        <f t="shared" si="3"/>
        <v>8.5365696602806365E-3</v>
      </c>
    </row>
    <row r="53" spans="1:7" x14ac:dyDescent="0.35">
      <c r="A53" s="21">
        <v>40571</v>
      </c>
      <c r="B53" s="19">
        <v>18461.18</v>
      </c>
      <c r="C53" s="19">
        <f t="shared" si="4"/>
        <v>16895.136666666669</v>
      </c>
      <c r="D53" s="20">
        <f t="shared" si="0"/>
        <v>9.2691960072928126E-2</v>
      </c>
      <c r="E53" s="19">
        <f t="shared" si="1"/>
        <v>1566.0433333333312</v>
      </c>
      <c r="F53" s="19">
        <f t="shared" si="2"/>
        <v>2452491.7218777714</v>
      </c>
      <c r="G53" s="20">
        <f t="shared" si="3"/>
        <v>8.4828994318528458E-2</v>
      </c>
    </row>
    <row r="54" spans="1:7" x14ac:dyDescent="0.35">
      <c r="A54" s="21">
        <v>40578</v>
      </c>
      <c r="B54" s="19">
        <v>21665.759999999998</v>
      </c>
      <c r="C54" s="19">
        <f t="shared" si="4"/>
        <v>17720.783333333333</v>
      </c>
      <c r="D54" s="20">
        <f t="shared" si="0"/>
        <v>0.22261863894278555</v>
      </c>
      <c r="E54" s="19">
        <f t="shared" si="1"/>
        <v>3944.9766666666656</v>
      </c>
      <c r="F54" s="19">
        <f t="shared" si="2"/>
        <v>15562840.900544435</v>
      </c>
      <c r="G54" s="20">
        <f t="shared" si="3"/>
        <v>0.18208346564656241</v>
      </c>
    </row>
    <row r="55" spans="1:7" x14ac:dyDescent="0.35">
      <c r="A55" s="21">
        <v>40585</v>
      </c>
      <c r="B55" s="19">
        <v>37887.17</v>
      </c>
      <c r="C55" s="19">
        <f t="shared" si="4"/>
        <v>19156.136666666669</v>
      </c>
      <c r="D55" s="20">
        <f t="shared" si="0"/>
        <v>0.97780850383715134</v>
      </c>
      <c r="E55" s="19">
        <f t="shared" si="1"/>
        <v>18731.033333333329</v>
      </c>
      <c r="F55" s="19">
        <f t="shared" si="2"/>
        <v>350851609.73444426</v>
      </c>
      <c r="G55" s="20">
        <f t="shared" si="3"/>
        <v>0.49438987745279817</v>
      </c>
    </row>
    <row r="56" spans="1:7" x14ac:dyDescent="0.35">
      <c r="A56" s="21">
        <v>40592</v>
      </c>
      <c r="B56" s="19">
        <v>46845.87</v>
      </c>
      <c r="C56" s="19">
        <f t="shared" si="4"/>
        <v>26004.703333333335</v>
      </c>
      <c r="D56" s="20">
        <f t="shared" si="0"/>
        <v>0.80143835518984963</v>
      </c>
      <c r="E56" s="19">
        <f t="shared" si="1"/>
        <v>20841.166666666668</v>
      </c>
      <c r="F56" s="19">
        <f t="shared" si="2"/>
        <v>434354228.02777785</v>
      </c>
      <c r="G56" s="20">
        <f t="shared" si="3"/>
        <v>0.44488802677091205</v>
      </c>
    </row>
    <row r="57" spans="1:7" x14ac:dyDescent="0.35">
      <c r="A57" s="21">
        <v>40599</v>
      </c>
      <c r="B57" s="19">
        <v>19363.830000000002</v>
      </c>
      <c r="C57" s="19">
        <f t="shared" si="4"/>
        <v>35466.266666666663</v>
      </c>
      <c r="D57" s="20">
        <f t="shared" si="0"/>
        <v>-0.45402119196833035</v>
      </c>
      <c r="E57" s="19">
        <f t="shared" si="1"/>
        <v>16102.436666666661</v>
      </c>
      <c r="F57" s="19">
        <f t="shared" si="2"/>
        <v>259288466.60401094</v>
      </c>
      <c r="G57" s="20">
        <f t="shared" si="3"/>
        <v>0.83157292057752308</v>
      </c>
    </row>
    <row r="58" spans="1:7" x14ac:dyDescent="0.35">
      <c r="A58" s="21">
        <v>40606</v>
      </c>
      <c r="B58" s="19">
        <v>20327.61</v>
      </c>
      <c r="C58" s="19">
        <f t="shared" si="4"/>
        <v>34698.956666666672</v>
      </c>
      <c r="D58" s="20">
        <f t="shared" si="0"/>
        <v>-0.41417229932081534</v>
      </c>
      <c r="E58" s="19">
        <f t="shared" si="1"/>
        <v>14371.346666666672</v>
      </c>
      <c r="F58" s="19">
        <f t="shared" si="2"/>
        <v>206535605.01351127</v>
      </c>
      <c r="G58" s="20">
        <f t="shared" si="3"/>
        <v>0.70698654030978902</v>
      </c>
    </row>
    <row r="59" spans="1:7" x14ac:dyDescent="0.35">
      <c r="A59" s="21">
        <v>40613</v>
      </c>
      <c r="B59" s="19">
        <v>21280.400000000001</v>
      </c>
      <c r="C59" s="19">
        <f t="shared" si="4"/>
        <v>28845.770000000004</v>
      </c>
      <c r="D59" s="20">
        <f t="shared" si="0"/>
        <v>-0.2622696499348085</v>
      </c>
      <c r="E59" s="19">
        <f t="shared" si="1"/>
        <v>7565.3700000000026</v>
      </c>
      <c r="F59" s="19">
        <f t="shared" si="2"/>
        <v>57234823.236900039</v>
      </c>
      <c r="G59" s="20">
        <f t="shared" si="3"/>
        <v>0.35550882502208614</v>
      </c>
    </row>
    <row r="60" spans="1:7" x14ac:dyDescent="0.35">
      <c r="A60" s="21">
        <v>40620</v>
      </c>
      <c r="B60" s="19">
        <v>20334.23</v>
      </c>
      <c r="C60" s="19">
        <f t="shared" si="4"/>
        <v>20323.946666666667</v>
      </c>
      <c r="D60" s="20">
        <f t="shared" si="0"/>
        <v>5.0597128116836032E-4</v>
      </c>
      <c r="E60" s="19">
        <f t="shared" si="1"/>
        <v>10.283333333332848</v>
      </c>
      <c r="F60" s="19">
        <f t="shared" si="2"/>
        <v>105.74694444443446</v>
      </c>
      <c r="G60" s="20">
        <f t="shared" si="3"/>
        <v>5.0571540369774755E-4</v>
      </c>
    </row>
    <row r="61" spans="1:7" x14ac:dyDescent="0.35">
      <c r="A61" s="21">
        <v>40627</v>
      </c>
      <c r="B61" s="19">
        <v>20881.099999999999</v>
      </c>
      <c r="C61" s="19">
        <f t="shared" si="4"/>
        <v>20647.413333333334</v>
      </c>
      <c r="D61" s="20">
        <f t="shared" si="0"/>
        <v>1.1317963315501611E-2</v>
      </c>
      <c r="E61" s="19">
        <f t="shared" si="1"/>
        <v>233.68666666666468</v>
      </c>
      <c r="F61" s="19">
        <f t="shared" si="2"/>
        <v>54609.458177776847</v>
      </c>
      <c r="G61" s="20">
        <f t="shared" si="3"/>
        <v>1.1191300586016287E-2</v>
      </c>
    </row>
    <row r="62" spans="1:7" x14ac:dyDescent="0.35">
      <c r="A62" s="21">
        <v>40634</v>
      </c>
      <c r="B62" s="19">
        <v>20398.09</v>
      </c>
      <c r="C62" s="19">
        <f t="shared" si="4"/>
        <v>20831.91</v>
      </c>
      <c r="D62" s="20">
        <f t="shared" si="0"/>
        <v>-2.0824782749157444E-2</v>
      </c>
      <c r="E62" s="19">
        <f t="shared" si="1"/>
        <v>433.81999999999971</v>
      </c>
      <c r="F62" s="19">
        <f t="shared" si="2"/>
        <v>188199.79239999974</v>
      </c>
      <c r="G62" s="20">
        <f t="shared" si="3"/>
        <v>2.12676775129436E-2</v>
      </c>
    </row>
    <row r="63" spans="1:7" x14ac:dyDescent="0.35">
      <c r="A63" s="21">
        <v>40641</v>
      </c>
      <c r="B63" s="19">
        <v>23873.79</v>
      </c>
      <c r="C63" s="19">
        <f t="shared" si="4"/>
        <v>20537.806666666667</v>
      </c>
      <c r="D63" s="20">
        <f t="shared" si="0"/>
        <v>0.16243133395289533</v>
      </c>
      <c r="E63" s="19">
        <f t="shared" si="1"/>
        <v>3335.9833333333336</v>
      </c>
      <c r="F63" s="19">
        <f t="shared" si="2"/>
        <v>11128784.800277779</v>
      </c>
      <c r="G63" s="20">
        <f t="shared" si="3"/>
        <v>0.1397341324244426</v>
      </c>
    </row>
    <row r="64" spans="1:7" x14ac:dyDescent="0.35">
      <c r="A64" s="21">
        <v>40648</v>
      </c>
      <c r="B64" s="19">
        <v>28762.37</v>
      </c>
      <c r="C64" s="19">
        <f t="shared" si="4"/>
        <v>21717.66</v>
      </c>
      <c r="D64" s="20">
        <f t="shared" si="0"/>
        <v>0.32437702772766497</v>
      </c>
      <c r="E64" s="19">
        <f t="shared" si="1"/>
        <v>7044.7099999999991</v>
      </c>
      <c r="F64" s="19">
        <f t="shared" si="2"/>
        <v>49627938.984099984</v>
      </c>
      <c r="G64" s="20">
        <f t="shared" si="3"/>
        <v>0.24492800836648718</v>
      </c>
    </row>
    <row r="65" spans="1:7" x14ac:dyDescent="0.35">
      <c r="A65" s="21">
        <v>40655</v>
      </c>
      <c r="B65" s="19">
        <v>50510.31</v>
      </c>
      <c r="C65" s="19">
        <f t="shared" si="4"/>
        <v>24344.75</v>
      </c>
      <c r="D65" s="20">
        <f t="shared" si="0"/>
        <v>1.0747927171155998</v>
      </c>
      <c r="E65" s="19">
        <f t="shared" si="1"/>
        <v>26165.559999999998</v>
      </c>
      <c r="F65" s="19">
        <f t="shared" si="2"/>
        <v>684636530.1135999</v>
      </c>
      <c r="G65" s="20">
        <f t="shared" si="3"/>
        <v>0.51802414200190017</v>
      </c>
    </row>
    <row r="66" spans="1:7" x14ac:dyDescent="0.35">
      <c r="A66" s="21">
        <v>40662</v>
      </c>
      <c r="B66" s="19">
        <v>41512.39</v>
      </c>
      <c r="C66" s="19">
        <f t="shared" si="4"/>
        <v>34382.156666666669</v>
      </c>
      <c r="D66" s="20">
        <f t="shared" si="0"/>
        <v>0.20738179406430479</v>
      </c>
      <c r="E66" s="19">
        <f t="shared" si="1"/>
        <v>7130.2333333333299</v>
      </c>
      <c r="F66" s="19">
        <f t="shared" si="2"/>
        <v>50840227.387777731</v>
      </c>
      <c r="G66" s="20">
        <f t="shared" si="3"/>
        <v>0.1717615712642257</v>
      </c>
    </row>
    <row r="67" spans="1:7" x14ac:dyDescent="0.35">
      <c r="A67" s="21">
        <v>40669</v>
      </c>
      <c r="B67" s="19">
        <v>20138.189999999999</v>
      </c>
      <c r="C67" s="19">
        <f t="shared" si="4"/>
        <v>40261.689999999995</v>
      </c>
      <c r="D67" s="20">
        <f t="shared" si="0"/>
        <v>-0.49981756851239978</v>
      </c>
      <c r="E67" s="19">
        <f t="shared" ref="E67:E130" si="5">AVERAGE(ABS(B67-C67))</f>
        <v>20123.499999999996</v>
      </c>
      <c r="F67" s="19">
        <f t="shared" ref="F67:F130" si="6">E67^2</f>
        <v>404955252.24999988</v>
      </c>
      <c r="G67" s="20">
        <f t="shared" ref="G67:G130" si="7">AVERAGE(ABS(B67-C67)/B67)</f>
        <v>0.99927054020247086</v>
      </c>
    </row>
    <row r="68" spans="1:7" x14ac:dyDescent="0.35">
      <c r="A68" s="21">
        <v>40676</v>
      </c>
      <c r="B68" s="19">
        <v>17235.150000000001</v>
      </c>
      <c r="C68" s="19">
        <f t="shared" si="4"/>
        <v>37386.963333333333</v>
      </c>
      <c r="D68" s="20">
        <f t="shared" si="0"/>
        <v>-0.53900642193548931</v>
      </c>
      <c r="E68" s="19">
        <f t="shared" si="5"/>
        <v>20151.813333333332</v>
      </c>
      <c r="F68" s="19">
        <f t="shared" si="6"/>
        <v>406095580.62151104</v>
      </c>
      <c r="G68" s="20">
        <f t="shared" si="7"/>
        <v>1.1692276152707304</v>
      </c>
    </row>
    <row r="69" spans="1:7" x14ac:dyDescent="0.35">
      <c r="A69" s="21">
        <v>40683</v>
      </c>
      <c r="B69" s="19">
        <v>15136.78</v>
      </c>
      <c r="C69" s="19">
        <f t="shared" si="4"/>
        <v>26295.243333333336</v>
      </c>
      <c r="D69" s="20">
        <f t="shared" ref="D69:D132" si="8">IF(C69=0,0,(B69/C69)-1)</f>
        <v>-0.42435292162473492</v>
      </c>
      <c r="E69" s="19">
        <f t="shared" si="5"/>
        <v>11158.463333333335</v>
      </c>
      <c r="F69" s="19">
        <f t="shared" si="6"/>
        <v>124511303.96134448</v>
      </c>
      <c r="G69" s="20">
        <f t="shared" si="7"/>
        <v>0.73717549791523262</v>
      </c>
    </row>
    <row r="70" spans="1:7" x14ac:dyDescent="0.35">
      <c r="A70" s="21">
        <v>40690</v>
      </c>
      <c r="B70" s="19">
        <v>15741.6</v>
      </c>
      <c r="C70" s="19">
        <f t="shared" ref="C70:C133" si="9">AVERAGE(B67:B69)</f>
        <v>17503.373333333333</v>
      </c>
      <c r="D70" s="20">
        <f t="shared" si="8"/>
        <v>-0.10065335977141165</v>
      </c>
      <c r="E70" s="19">
        <f t="shared" si="5"/>
        <v>1761.7733333333326</v>
      </c>
      <c r="F70" s="19">
        <f t="shared" si="6"/>
        <v>3103845.2780444422</v>
      </c>
      <c r="G70" s="20">
        <f t="shared" si="7"/>
        <v>0.11191831410614757</v>
      </c>
    </row>
    <row r="71" spans="1:7" x14ac:dyDescent="0.35">
      <c r="A71" s="21">
        <v>40697</v>
      </c>
      <c r="B71" s="19">
        <v>16434.150000000001</v>
      </c>
      <c r="C71" s="19">
        <f t="shared" si="9"/>
        <v>16037.843333333332</v>
      </c>
      <c r="D71" s="20">
        <f t="shared" si="8"/>
        <v>2.4710720664229191E-2</v>
      </c>
      <c r="E71" s="19">
        <f t="shared" si="5"/>
        <v>396.30666666666912</v>
      </c>
      <c r="F71" s="19">
        <f t="shared" si="6"/>
        <v>157058.9740444464</v>
      </c>
      <c r="G71" s="20">
        <f t="shared" si="7"/>
        <v>2.4114825936642242E-2</v>
      </c>
    </row>
    <row r="72" spans="1:7" x14ac:dyDescent="0.35">
      <c r="A72" s="21">
        <v>40704</v>
      </c>
      <c r="B72" s="19">
        <v>15883.52</v>
      </c>
      <c r="C72" s="19">
        <f t="shared" si="9"/>
        <v>15770.843333333332</v>
      </c>
      <c r="D72" s="20">
        <f t="shared" si="8"/>
        <v>7.1446189835970841E-3</v>
      </c>
      <c r="E72" s="19">
        <f t="shared" si="5"/>
        <v>112.6766666666681</v>
      </c>
      <c r="F72" s="19">
        <f t="shared" si="6"/>
        <v>12696.031211111434</v>
      </c>
      <c r="G72" s="20">
        <f t="shared" si="7"/>
        <v>7.0939355172322067E-3</v>
      </c>
    </row>
    <row r="73" spans="1:7" x14ac:dyDescent="0.35">
      <c r="A73" s="21">
        <v>40711</v>
      </c>
      <c r="B73" s="19">
        <v>14978.09</v>
      </c>
      <c r="C73" s="19">
        <f t="shared" si="9"/>
        <v>16019.756666666668</v>
      </c>
      <c r="D73" s="20">
        <f t="shared" si="8"/>
        <v>-6.5023875726784919E-2</v>
      </c>
      <c r="E73" s="19">
        <f t="shared" si="5"/>
        <v>1041.6666666666679</v>
      </c>
      <c r="F73" s="19">
        <f t="shared" si="6"/>
        <v>1085069.4444444471</v>
      </c>
      <c r="G73" s="20">
        <f t="shared" si="7"/>
        <v>6.9546028009356858E-2</v>
      </c>
    </row>
    <row r="74" spans="1:7" x14ac:dyDescent="0.35">
      <c r="A74" s="21">
        <v>40718</v>
      </c>
      <c r="B74" s="19">
        <v>15682.81</v>
      </c>
      <c r="C74" s="19">
        <f t="shared" si="9"/>
        <v>15765.253333333334</v>
      </c>
      <c r="D74" s="20">
        <f t="shared" si="8"/>
        <v>-5.2294328286510705E-3</v>
      </c>
      <c r="E74" s="19">
        <f t="shared" si="5"/>
        <v>82.443333333334522</v>
      </c>
      <c r="F74" s="19">
        <f t="shared" si="6"/>
        <v>6796.9032111113074</v>
      </c>
      <c r="G74" s="20">
        <f t="shared" si="7"/>
        <v>5.2569235572792455E-3</v>
      </c>
    </row>
    <row r="75" spans="1:7" x14ac:dyDescent="0.35">
      <c r="A75" s="21">
        <v>40725</v>
      </c>
      <c r="B75" s="19">
        <v>15363.5</v>
      </c>
      <c r="C75" s="19">
        <f t="shared" si="9"/>
        <v>15514.806666666665</v>
      </c>
      <c r="D75" s="20">
        <f t="shared" si="8"/>
        <v>-9.7524042624227425E-3</v>
      </c>
      <c r="E75" s="19">
        <f t="shared" si="5"/>
        <v>151.30666666666548</v>
      </c>
      <c r="F75" s="19">
        <f t="shared" si="6"/>
        <v>22893.707377777417</v>
      </c>
      <c r="G75" s="20">
        <f t="shared" si="7"/>
        <v>9.8484503314131208E-3</v>
      </c>
    </row>
    <row r="76" spans="1:7" x14ac:dyDescent="0.35">
      <c r="A76" s="21">
        <v>40732</v>
      </c>
      <c r="B76" s="19">
        <v>16148.87</v>
      </c>
      <c r="C76" s="19">
        <f t="shared" si="9"/>
        <v>15341.466666666667</v>
      </c>
      <c r="D76" s="20">
        <f t="shared" si="8"/>
        <v>5.2628822972162537E-2</v>
      </c>
      <c r="E76" s="19">
        <f t="shared" si="5"/>
        <v>807.40333333333365</v>
      </c>
      <c r="F76" s="19">
        <f t="shared" si="6"/>
        <v>651900.14267777826</v>
      </c>
      <c r="G76" s="20">
        <f t="shared" si="7"/>
        <v>4.9997512725864633E-2</v>
      </c>
    </row>
    <row r="77" spans="1:7" x14ac:dyDescent="0.35">
      <c r="A77" s="21">
        <v>40739</v>
      </c>
      <c r="B77" s="19">
        <v>15654.85</v>
      </c>
      <c r="C77" s="19">
        <f t="shared" si="9"/>
        <v>15731.726666666667</v>
      </c>
      <c r="D77" s="20">
        <f t="shared" si="8"/>
        <v>-4.8867278395802183E-3</v>
      </c>
      <c r="E77" s="19">
        <f t="shared" si="5"/>
        <v>76.876666666667006</v>
      </c>
      <c r="F77" s="19">
        <f t="shared" si="6"/>
        <v>5910.02187777783</v>
      </c>
      <c r="G77" s="20">
        <f t="shared" si="7"/>
        <v>4.9107252172117272E-3</v>
      </c>
    </row>
    <row r="78" spans="1:7" x14ac:dyDescent="0.35">
      <c r="A78" s="21">
        <v>40746</v>
      </c>
      <c r="B78" s="19">
        <v>15766.6</v>
      </c>
      <c r="C78" s="19">
        <f t="shared" si="9"/>
        <v>15722.406666666668</v>
      </c>
      <c r="D78" s="20">
        <f t="shared" si="8"/>
        <v>2.8108504168784521E-3</v>
      </c>
      <c r="E78" s="19">
        <f t="shared" si="5"/>
        <v>44.193333333332703</v>
      </c>
      <c r="F78" s="19">
        <f t="shared" si="6"/>
        <v>1953.0507111110553</v>
      </c>
      <c r="G78" s="20">
        <f t="shared" si="7"/>
        <v>2.8029716827554898E-3</v>
      </c>
    </row>
    <row r="79" spans="1:7" x14ac:dyDescent="0.35">
      <c r="A79" s="21">
        <v>40753</v>
      </c>
      <c r="B79" s="19">
        <v>15922.41</v>
      </c>
      <c r="C79" s="19">
        <f t="shared" si="9"/>
        <v>15856.773333333333</v>
      </c>
      <c r="D79" s="20">
        <f t="shared" si="8"/>
        <v>4.1393457096778885E-3</v>
      </c>
      <c r="E79" s="19">
        <f t="shared" si="5"/>
        <v>65.636666666667224</v>
      </c>
      <c r="F79" s="19">
        <f t="shared" si="6"/>
        <v>4308.1720111111845</v>
      </c>
      <c r="G79" s="20">
        <f t="shared" si="7"/>
        <v>4.122282158710096E-3</v>
      </c>
    </row>
    <row r="80" spans="1:7" x14ac:dyDescent="0.35">
      <c r="A80" s="21">
        <v>40760</v>
      </c>
      <c r="B80" s="19">
        <v>15295.55</v>
      </c>
      <c r="C80" s="19">
        <f t="shared" si="9"/>
        <v>15781.286666666667</v>
      </c>
      <c r="D80" s="20">
        <f t="shared" si="8"/>
        <v>-3.0779281621735155E-2</v>
      </c>
      <c r="E80" s="19">
        <f t="shared" si="5"/>
        <v>485.73666666666759</v>
      </c>
      <c r="F80" s="19">
        <f t="shared" si="6"/>
        <v>235940.10934444534</v>
      </c>
      <c r="G80" s="20">
        <f t="shared" si="7"/>
        <v>3.1756730988206874E-2</v>
      </c>
    </row>
    <row r="81" spans="1:7" x14ac:dyDescent="0.35">
      <c r="A81" s="21">
        <v>40767</v>
      </c>
      <c r="B81" s="19">
        <v>14539.79</v>
      </c>
      <c r="C81" s="19">
        <f t="shared" si="9"/>
        <v>15661.519999999999</v>
      </c>
      <c r="D81" s="20">
        <f t="shared" si="8"/>
        <v>-7.162331625538243E-2</v>
      </c>
      <c r="E81" s="19">
        <f t="shared" si="5"/>
        <v>1121.7299999999977</v>
      </c>
      <c r="F81" s="19">
        <f t="shared" si="6"/>
        <v>1258278.192899995</v>
      </c>
      <c r="G81" s="20">
        <f t="shared" si="7"/>
        <v>7.7148982206757991E-2</v>
      </c>
    </row>
    <row r="82" spans="1:7" x14ac:dyDescent="0.35">
      <c r="A82" s="21">
        <v>40774</v>
      </c>
      <c r="B82" s="19">
        <v>14689.24</v>
      </c>
      <c r="C82" s="19">
        <f t="shared" si="9"/>
        <v>15252.583333333334</v>
      </c>
      <c r="D82" s="20">
        <f t="shared" si="8"/>
        <v>-3.6934289819757327E-2</v>
      </c>
      <c r="E82" s="19">
        <f t="shared" si="5"/>
        <v>563.34333333333416</v>
      </c>
      <c r="F82" s="19">
        <f t="shared" si="6"/>
        <v>317355.71121111204</v>
      </c>
      <c r="G82" s="20">
        <f t="shared" si="7"/>
        <v>3.8350747440530221E-2</v>
      </c>
    </row>
    <row r="83" spans="1:7" x14ac:dyDescent="0.35">
      <c r="A83" s="21">
        <v>40781</v>
      </c>
      <c r="B83" s="19">
        <v>14537.37</v>
      </c>
      <c r="C83" s="19">
        <f t="shared" si="9"/>
        <v>14841.526666666667</v>
      </c>
      <c r="D83" s="20">
        <f t="shared" si="8"/>
        <v>-2.0493623971298502E-2</v>
      </c>
      <c r="E83" s="19">
        <f t="shared" si="5"/>
        <v>304.15666666666584</v>
      </c>
      <c r="F83" s="19">
        <f t="shared" si="6"/>
        <v>92511.277877777276</v>
      </c>
      <c r="G83" s="20">
        <f t="shared" si="7"/>
        <v>2.0922399764652468E-2</v>
      </c>
    </row>
    <row r="84" spans="1:7" x14ac:dyDescent="0.35">
      <c r="A84" s="21">
        <v>40788</v>
      </c>
      <c r="B84" s="19">
        <v>15277.27</v>
      </c>
      <c r="C84" s="19">
        <f t="shared" si="9"/>
        <v>14588.800000000001</v>
      </c>
      <c r="D84" s="20">
        <f t="shared" si="8"/>
        <v>4.7191681289756371E-2</v>
      </c>
      <c r="E84" s="19">
        <f t="shared" si="5"/>
        <v>688.46999999999935</v>
      </c>
      <c r="F84" s="19">
        <f t="shared" si="6"/>
        <v>473990.94089999911</v>
      </c>
      <c r="G84" s="20">
        <f t="shared" si="7"/>
        <v>4.5064988705442746E-2</v>
      </c>
    </row>
    <row r="85" spans="1:7" x14ac:dyDescent="0.35">
      <c r="A85" s="21">
        <v>40795</v>
      </c>
      <c r="B85" s="19">
        <v>17746.68</v>
      </c>
      <c r="C85" s="19">
        <f t="shared" si="9"/>
        <v>14834.626666666669</v>
      </c>
      <c r="D85" s="20">
        <f t="shared" si="8"/>
        <v>0.19630108655694722</v>
      </c>
      <c r="E85" s="19">
        <f t="shared" si="5"/>
        <v>2912.0533333333315</v>
      </c>
      <c r="F85" s="19">
        <f t="shared" si="6"/>
        <v>8480054.6161777675</v>
      </c>
      <c r="G85" s="20">
        <f t="shared" si="7"/>
        <v>0.16409003449283649</v>
      </c>
    </row>
    <row r="86" spans="1:7" x14ac:dyDescent="0.35">
      <c r="A86" s="21">
        <v>40802</v>
      </c>
      <c r="B86" s="19">
        <v>18535.48</v>
      </c>
      <c r="C86" s="19">
        <f t="shared" si="9"/>
        <v>15853.773333333333</v>
      </c>
      <c r="D86" s="20">
        <f t="shared" si="8"/>
        <v>0.16915258029003399</v>
      </c>
      <c r="E86" s="19">
        <f t="shared" si="5"/>
        <v>2681.7066666666669</v>
      </c>
      <c r="F86" s="19">
        <f t="shared" si="6"/>
        <v>7191550.6460444462</v>
      </c>
      <c r="G86" s="20">
        <f t="shared" si="7"/>
        <v>0.14467964501953373</v>
      </c>
    </row>
    <row r="87" spans="1:7" x14ac:dyDescent="0.35">
      <c r="A87" s="21">
        <v>40809</v>
      </c>
      <c r="B87" s="19">
        <v>17859.3</v>
      </c>
      <c r="C87" s="19">
        <f t="shared" si="9"/>
        <v>17186.476666666666</v>
      </c>
      <c r="D87" s="20">
        <f t="shared" si="8"/>
        <v>3.9148415721430574E-2</v>
      </c>
      <c r="E87" s="19">
        <f t="shared" si="5"/>
        <v>672.82333333333372</v>
      </c>
      <c r="F87" s="19">
        <f t="shared" si="6"/>
        <v>452691.2378777783</v>
      </c>
      <c r="G87" s="20">
        <f t="shared" si="7"/>
        <v>3.7673555701137992E-2</v>
      </c>
    </row>
    <row r="88" spans="1:7" x14ac:dyDescent="0.35">
      <c r="A88" s="21">
        <v>40816</v>
      </c>
      <c r="B88" s="19">
        <v>18337.68</v>
      </c>
      <c r="C88" s="19">
        <f t="shared" si="9"/>
        <v>18047.153333333335</v>
      </c>
      <c r="D88" s="20">
        <f t="shared" si="8"/>
        <v>1.6098199051152173E-2</v>
      </c>
      <c r="E88" s="19">
        <f t="shared" si="5"/>
        <v>290.52666666666482</v>
      </c>
      <c r="F88" s="19">
        <f t="shared" si="6"/>
        <v>84405.744044443374</v>
      </c>
      <c r="G88" s="20">
        <f t="shared" si="7"/>
        <v>1.5843152823403223E-2</v>
      </c>
    </row>
    <row r="89" spans="1:7" x14ac:dyDescent="0.35">
      <c r="A89" s="21">
        <v>40823</v>
      </c>
      <c r="B89" s="19">
        <v>20797.580000000002</v>
      </c>
      <c r="C89" s="19">
        <f t="shared" si="9"/>
        <v>18244.153333333332</v>
      </c>
      <c r="D89" s="20">
        <f t="shared" si="8"/>
        <v>0.13995862784168689</v>
      </c>
      <c r="E89" s="19">
        <f t="shared" si="5"/>
        <v>2553.4266666666699</v>
      </c>
      <c r="F89" s="19">
        <f t="shared" si="6"/>
        <v>6519987.742044461</v>
      </c>
      <c r="G89" s="20">
        <f t="shared" si="7"/>
        <v>0.1227751818560943</v>
      </c>
    </row>
    <row r="90" spans="1:7" x14ac:dyDescent="0.35">
      <c r="A90" s="21">
        <v>40830</v>
      </c>
      <c r="B90" s="19">
        <v>23077.55</v>
      </c>
      <c r="C90" s="19">
        <f t="shared" si="9"/>
        <v>18998.186666666665</v>
      </c>
      <c r="D90" s="20">
        <f t="shared" si="8"/>
        <v>0.21472382627394615</v>
      </c>
      <c r="E90" s="19">
        <f t="shared" si="5"/>
        <v>4079.3633333333346</v>
      </c>
      <c r="F90" s="19">
        <f t="shared" si="6"/>
        <v>16641205.205344455</v>
      </c>
      <c r="G90" s="20">
        <f t="shared" si="7"/>
        <v>0.17676760892440205</v>
      </c>
    </row>
    <row r="91" spans="1:7" x14ac:dyDescent="0.35">
      <c r="A91" s="21">
        <v>40837</v>
      </c>
      <c r="B91" s="19">
        <v>23351.8</v>
      </c>
      <c r="C91" s="19">
        <f t="shared" si="9"/>
        <v>20737.603333333333</v>
      </c>
      <c r="D91" s="20">
        <f t="shared" si="8"/>
        <v>0.12606069393104091</v>
      </c>
      <c r="E91" s="19">
        <f t="shared" si="5"/>
        <v>2614.1966666666667</v>
      </c>
      <c r="F91" s="19">
        <f t="shared" si="6"/>
        <v>6834024.212011111</v>
      </c>
      <c r="G91" s="20">
        <f t="shared" si="7"/>
        <v>0.11194840083705182</v>
      </c>
    </row>
    <row r="92" spans="1:7" x14ac:dyDescent="0.35">
      <c r="A92" s="21">
        <v>40844</v>
      </c>
      <c r="B92" s="19">
        <v>31579.9</v>
      </c>
      <c r="C92" s="19">
        <f t="shared" si="9"/>
        <v>22408.976666666669</v>
      </c>
      <c r="D92" s="20">
        <f t="shared" si="8"/>
        <v>0.40925221484901941</v>
      </c>
      <c r="E92" s="19">
        <f t="shared" si="5"/>
        <v>9170.9233333333323</v>
      </c>
      <c r="F92" s="19">
        <f t="shared" si="6"/>
        <v>84105834.785877764</v>
      </c>
      <c r="G92" s="20">
        <f t="shared" si="7"/>
        <v>0.29040381170723567</v>
      </c>
    </row>
    <row r="93" spans="1:7" x14ac:dyDescent="0.35">
      <c r="A93" s="21">
        <v>40851</v>
      </c>
      <c r="B93" s="19">
        <v>39886.06</v>
      </c>
      <c r="C93" s="19">
        <f t="shared" si="9"/>
        <v>26003.083333333332</v>
      </c>
      <c r="D93" s="20">
        <f t="shared" si="8"/>
        <v>0.53389732627861441</v>
      </c>
      <c r="E93" s="19">
        <f t="shared" si="5"/>
        <v>13882.976666666666</v>
      </c>
      <c r="F93" s="19">
        <f t="shared" si="6"/>
        <v>192737041.12721109</v>
      </c>
      <c r="G93" s="20">
        <f t="shared" si="7"/>
        <v>0.34806588233249075</v>
      </c>
    </row>
    <row r="94" spans="1:7" x14ac:dyDescent="0.35">
      <c r="A94" s="21">
        <v>40858</v>
      </c>
      <c r="B94" s="19">
        <v>18689.54</v>
      </c>
      <c r="C94" s="19">
        <f t="shared" si="9"/>
        <v>31605.919999999998</v>
      </c>
      <c r="D94" s="20">
        <f t="shared" si="8"/>
        <v>-0.40866964163675656</v>
      </c>
      <c r="E94" s="19">
        <f t="shared" si="5"/>
        <v>12916.379999999997</v>
      </c>
      <c r="F94" s="19">
        <f t="shared" si="6"/>
        <v>166832872.30439994</v>
      </c>
      <c r="G94" s="20">
        <f t="shared" si="7"/>
        <v>0.69110208169917486</v>
      </c>
    </row>
    <row r="95" spans="1:7" x14ac:dyDescent="0.35">
      <c r="A95" s="21">
        <v>40865</v>
      </c>
      <c r="B95" s="19">
        <v>19050.66</v>
      </c>
      <c r="C95" s="19">
        <f t="shared" si="9"/>
        <v>30051.833333333332</v>
      </c>
      <c r="D95" s="20">
        <f t="shared" si="8"/>
        <v>-0.36607328449179466</v>
      </c>
      <c r="E95" s="19">
        <f t="shared" si="5"/>
        <v>11001.173333333332</v>
      </c>
      <c r="F95" s="19">
        <f t="shared" si="6"/>
        <v>121025814.71004441</v>
      </c>
      <c r="G95" s="20">
        <f t="shared" si="7"/>
        <v>0.57746940700917093</v>
      </c>
    </row>
    <row r="96" spans="1:7" x14ac:dyDescent="0.35">
      <c r="A96" s="21">
        <v>40872</v>
      </c>
      <c r="B96" s="19">
        <v>20911.25</v>
      </c>
      <c r="C96" s="19">
        <f t="shared" si="9"/>
        <v>25875.42</v>
      </c>
      <c r="D96" s="20">
        <f t="shared" si="8"/>
        <v>-0.19184886660776901</v>
      </c>
      <c r="E96" s="19">
        <f t="shared" si="5"/>
        <v>4964.1699999999983</v>
      </c>
      <c r="F96" s="19">
        <f t="shared" si="6"/>
        <v>24642983.788899984</v>
      </c>
      <c r="G96" s="20">
        <f t="shared" si="7"/>
        <v>0.23739231275031375</v>
      </c>
    </row>
    <row r="97" spans="1:7" x14ac:dyDescent="0.35">
      <c r="A97" s="21">
        <v>40879</v>
      </c>
      <c r="B97" s="19">
        <v>25293.49</v>
      </c>
      <c r="C97" s="19">
        <f t="shared" si="9"/>
        <v>19550.483333333334</v>
      </c>
      <c r="D97" s="20">
        <f t="shared" si="8"/>
        <v>0.29375266937134548</v>
      </c>
      <c r="E97" s="19">
        <f t="shared" si="5"/>
        <v>5743.006666666668</v>
      </c>
      <c r="F97" s="19">
        <f t="shared" si="6"/>
        <v>32982125.573377792</v>
      </c>
      <c r="G97" s="20">
        <f t="shared" si="7"/>
        <v>0.22705473490082498</v>
      </c>
    </row>
    <row r="98" spans="1:7" x14ac:dyDescent="0.35">
      <c r="A98" s="21">
        <v>40886</v>
      </c>
      <c r="B98" s="19">
        <v>33305.919999999998</v>
      </c>
      <c r="C98" s="19">
        <f t="shared" si="9"/>
        <v>21751.800000000003</v>
      </c>
      <c r="D98" s="20">
        <f t="shared" si="8"/>
        <v>0.53117994832611526</v>
      </c>
      <c r="E98" s="19">
        <f t="shared" si="5"/>
        <v>11554.119999999995</v>
      </c>
      <c r="F98" s="19">
        <f t="shared" si="6"/>
        <v>133497688.97439989</v>
      </c>
      <c r="G98" s="20">
        <f t="shared" si="7"/>
        <v>0.34690889787761442</v>
      </c>
    </row>
    <row r="99" spans="1:7" x14ac:dyDescent="0.35">
      <c r="A99" s="21">
        <v>40893</v>
      </c>
      <c r="B99" s="19">
        <v>45773.03</v>
      </c>
      <c r="C99" s="19">
        <f t="shared" si="9"/>
        <v>26503.553333333333</v>
      </c>
      <c r="D99" s="20">
        <f t="shared" si="8"/>
        <v>0.72705257383098054</v>
      </c>
      <c r="E99" s="19">
        <f t="shared" si="5"/>
        <v>19269.476666666666</v>
      </c>
      <c r="F99" s="19">
        <f t="shared" si="6"/>
        <v>371312731.00721109</v>
      </c>
      <c r="G99" s="20">
        <f t="shared" si="7"/>
        <v>0.4209788311297431</v>
      </c>
    </row>
    <row r="100" spans="1:7" x14ac:dyDescent="0.35">
      <c r="A100" s="21">
        <v>40900</v>
      </c>
      <c r="B100" s="19">
        <v>46788.75</v>
      </c>
      <c r="C100" s="19">
        <f t="shared" si="9"/>
        <v>34790.813333333332</v>
      </c>
      <c r="D100" s="20">
        <f t="shared" si="8"/>
        <v>0.34485933259776247</v>
      </c>
      <c r="E100" s="19">
        <f t="shared" si="5"/>
        <v>11997.936666666668</v>
      </c>
      <c r="F100" s="19">
        <f t="shared" si="6"/>
        <v>143950484.25734448</v>
      </c>
      <c r="G100" s="20">
        <f t="shared" si="7"/>
        <v>0.25642780939150261</v>
      </c>
    </row>
    <row r="101" spans="1:7" x14ac:dyDescent="0.35">
      <c r="A101" s="21">
        <v>40907</v>
      </c>
      <c r="B101" s="19">
        <v>23350.880000000001</v>
      </c>
      <c r="C101" s="19">
        <f t="shared" si="9"/>
        <v>41955.9</v>
      </c>
      <c r="D101" s="20">
        <f t="shared" si="8"/>
        <v>-0.44344228106178152</v>
      </c>
      <c r="E101" s="19">
        <f t="shared" si="5"/>
        <v>18605.02</v>
      </c>
      <c r="F101" s="19">
        <f t="shared" si="6"/>
        <v>346146769.20039999</v>
      </c>
      <c r="G101" s="20">
        <f t="shared" si="7"/>
        <v>0.79675883735430952</v>
      </c>
    </row>
    <row r="102" spans="1:7" x14ac:dyDescent="0.35">
      <c r="A102" s="21">
        <v>40914</v>
      </c>
      <c r="B102" s="19">
        <v>16567.689999999999</v>
      </c>
      <c r="C102" s="19">
        <f t="shared" si="9"/>
        <v>38637.553333333337</v>
      </c>
      <c r="D102" s="20">
        <f t="shared" si="8"/>
        <v>-0.57120240360285068</v>
      </c>
      <c r="E102" s="19">
        <f t="shared" si="5"/>
        <v>22069.863333333338</v>
      </c>
      <c r="F102" s="19">
        <f t="shared" si="6"/>
        <v>487078867.55201131</v>
      </c>
      <c r="G102" s="20">
        <f t="shared" si="7"/>
        <v>1.3321026246467274</v>
      </c>
    </row>
    <row r="103" spans="1:7" x14ac:dyDescent="0.35">
      <c r="A103" s="21">
        <v>40921</v>
      </c>
      <c r="B103" s="19">
        <v>16894.400000000001</v>
      </c>
      <c r="C103" s="19">
        <f t="shared" si="9"/>
        <v>28902.440000000002</v>
      </c>
      <c r="D103" s="20">
        <f t="shared" si="8"/>
        <v>-0.41546803660867382</v>
      </c>
      <c r="E103" s="19">
        <f t="shared" si="5"/>
        <v>12008.04</v>
      </c>
      <c r="F103" s="19">
        <f t="shared" si="6"/>
        <v>144193024.64160001</v>
      </c>
      <c r="G103" s="20">
        <f t="shared" si="7"/>
        <v>0.71077043280613694</v>
      </c>
    </row>
    <row r="104" spans="1:7" x14ac:dyDescent="0.35">
      <c r="A104" s="21">
        <v>40928</v>
      </c>
      <c r="B104" s="19">
        <v>18365.099999999999</v>
      </c>
      <c r="C104" s="19">
        <f t="shared" si="9"/>
        <v>18937.656666666666</v>
      </c>
      <c r="D104" s="20">
        <f t="shared" si="8"/>
        <v>-3.0233765282821845E-2</v>
      </c>
      <c r="E104" s="19">
        <f t="shared" si="5"/>
        <v>572.5566666666673</v>
      </c>
      <c r="F104" s="19">
        <f t="shared" si="6"/>
        <v>327821.13654444518</v>
      </c>
      <c r="G104" s="20">
        <f t="shared" si="7"/>
        <v>3.1176343535655529E-2</v>
      </c>
    </row>
    <row r="105" spans="1:7" x14ac:dyDescent="0.35">
      <c r="A105" s="21">
        <v>40935</v>
      </c>
      <c r="B105" s="19">
        <v>18378.16</v>
      </c>
      <c r="C105" s="19">
        <f t="shared" si="9"/>
        <v>17275.73</v>
      </c>
      <c r="D105" s="20">
        <f t="shared" si="8"/>
        <v>6.3813801211294763E-2</v>
      </c>
      <c r="E105" s="19">
        <f t="shared" si="5"/>
        <v>1102.4300000000003</v>
      </c>
      <c r="F105" s="19">
        <f t="shared" si="6"/>
        <v>1215351.9049000007</v>
      </c>
      <c r="G105" s="20">
        <f t="shared" si="7"/>
        <v>5.9985874538038643E-2</v>
      </c>
    </row>
    <row r="106" spans="1:7" x14ac:dyDescent="0.35">
      <c r="A106" s="21">
        <v>40942</v>
      </c>
      <c r="B106" s="19">
        <v>23510.49</v>
      </c>
      <c r="C106" s="19">
        <f t="shared" si="9"/>
        <v>17879.22</v>
      </c>
      <c r="D106" s="20">
        <f t="shared" si="8"/>
        <v>0.31496172651827092</v>
      </c>
      <c r="E106" s="19">
        <f t="shared" si="5"/>
        <v>5631.27</v>
      </c>
      <c r="F106" s="19">
        <f t="shared" si="6"/>
        <v>31711201.812900007</v>
      </c>
      <c r="G106" s="20">
        <f t="shared" si="7"/>
        <v>0.23952159227646894</v>
      </c>
    </row>
    <row r="107" spans="1:7" x14ac:dyDescent="0.35">
      <c r="A107" s="21">
        <v>40949</v>
      </c>
      <c r="B107" s="19">
        <v>36988.49</v>
      </c>
      <c r="C107" s="19">
        <f t="shared" si="9"/>
        <v>20084.583333333332</v>
      </c>
      <c r="D107" s="20">
        <f t="shared" si="8"/>
        <v>0.84163591477708866</v>
      </c>
      <c r="E107" s="19">
        <f t="shared" si="5"/>
        <v>16903.906666666666</v>
      </c>
      <c r="F107" s="19">
        <f t="shared" si="6"/>
        <v>285742060.59537774</v>
      </c>
      <c r="G107" s="20">
        <f t="shared" si="7"/>
        <v>0.45700450779868729</v>
      </c>
    </row>
    <row r="108" spans="1:7" x14ac:dyDescent="0.35">
      <c r="A108" s="21">
        <v>40956</v>
      </c>
      <c r="B108" s="19">
        <v>54060.1</v>
      </c>
      <c r="C108" s="19">
        <f t="shared" si="9"/>
        <v>26292.38</v>
      </c>
      <c r="D108" s="20">
        <f t="shared" si="8"/>
        <v>1.0561128357341554</v>
      </c>
      <c r="E108" s="19">
        <f t="shared" si="5"/>
        <v>27767.719999999998</v>
      </c>
      <c r="F108" s="19">
        <f t="shared" si="6"/>
        <v>771046273.99839985</v>
      </c>
      <c r="G108" s="20">
        <f t="shared" si="7"/>
        <v>0.5136453687655036</v>
      </c>
    </row>
    <row r="109" spans="1:7" x14ac:dyDescent="0.35">
      <c r="A109" s="21">
        <v>40963</v>
      </c>
      <c r="B109" s="19">
        <v>20124.22</v>
      </c>
      <c r="C109" s="19">
        <f t="shared" si="9"/>
        <v>38186.359999999993</v>
      </c>
      <c r="D109" s="20">
        <f t="shared" si="8"/>
        <v>-0.47299978316864966</v>
      </c>
      <c r="E109" s="19">
        <f t="shared" si="5"/>
        <v>18062.139999999992</v>
      </c>
      <c r="F109" s="19">
        <f t="shared" si="6"/>
        <v>326240901.37959969</v>
      </c>
      <c r="G109" s="20">
        <f t="shared" si="7"/>
        <v>0.89753242610148321</v>
      </c>
    </row>
    <row r="110" spans="1:7" x14ac:dyDescent="0.35">
      <c r="A110" s="21">
        <v>40970</v>
      </c>
      <c r="B110" s="19">
        <v>20113.03</v>
      </c>
      <c r="C110" s="19">
        <f t="shared" si="9"/>
        <v>37057.603333333333</v>
      </c>
      <c r="D110" s="20">
        <f t="shared" si="8"/>
        <v>-0.45724957388411791</v>
      </c>
      <c r="E110" s="19">
        <f t="shared" si="5"/>
        <v>16944.573333333334</v>
      </c>
      <c r="F110" s="19">
        <f t="shared" si="6"/>
        <v>287118565.4487111</v>
      </c>
      <c r="G110" s="20">
        <f t="shared" si="7"/>
        <v>0.84246746180626864</v>
      </c>
    </row>
    <row r="111" spans="1:7" x14ac:dyDescent="0.35">
      <c r="A111" s="21">
        <v>40977</v>
      </c>
      <c r="B111" s="19">
        <v>21140.07</v>
      </c>
      <c r="C111" s="19">
        <f t="shared" si="9"/>
        <v>31432.45</v>
      </c>
      <c r="D111" s="20">
        <f t="shared" si="8"/>
        <v>-0.32744440856503398</v>
      </c>
      <c r="E111" s="19">
        <f t="shared" si="5"/>
        <v>10292.380000000001</v>
      </c>
      <c r="F111" s="19">
        <f t="shared" si="6"/>
        <v>105933086.06440002</v>
      </c>
      <c r="G111" s="20">
        <f t="shared" si="7"/>
        <v>0.48686593753000823</v>
      </c>
    </row>
    <row r="112" spans="1:7" x14ac:dyDescent="0.35">
      <c r="A112" s="21">
        <v>40984</v>
      </c>
      <c r="B112" s="19">
        <v>22366.880000000001</v>
      </c>
      <c r="C112" s="19">
        <f t="shared" si="9"/>
        <v>20459.106666666667</v>
      </c>
      <c r="D112" s="20">
        <f t="shared" si="8"/>
        <v>9.3248124877397753E-2</v>
      </c>
      <c r="E112" s="19">
        <f t="shared" si="5"/>
        <v>1907.7733333333344</v>
      </c>
      <c r="F112" s="19">
        <f t="shared" si="6"/>
        <v>3639599.0913777822</v>
      </c>
      <c r="G112" s="20">
        <f t="shared" si="7"/>
        <v>8.5294566489976895E-2</v>
      </c>
    </row>
    <row r="113" spans="1:7" x14ac:dyDescent="0.35">
      <c r="A113" s="21">
        <v>40991</v>
      </c>
      <c r="B113" s="19">
        <v>22107.7</v>
      </c>
      <c r="C113" s="19">
        <f t="shared" si="9"/>
        <v>21206.66</v>
      </c>
      <c r="D113" s="20">
        <f t="shared" si="8"/>
        <v>4.2488538977849544E-2</v>
      </c>
      <c r="E113" s="19">
        <f t="shared" si="5"/>
        <v>901.04000000000087</v>
      </c>
      <c r="F113" s="19">
        <f t="shared" si="6"/>
        <v>811873.08160000155</v>
      </c>
      <c r="G113" s="20">
        <f t="shared" si="7"/>
        <v>4.0756840376882299E-2</v>
      </c>
    </row>
    <row r="114" spans="1:7" x14ac:dyDescent="0.35">
      <c r="A114" s="21">
        <v>40998</v>
      </c>
      <c r="B114" s="19">
        <v>28952.86</v>
      </c>
      <c r="C114" s="19">
        <f t="shared" si="9"/>
        <v>21871.55</v>
      </c>
      <c r="D114" s="20">
        <f t="shared" si="8"/>
        <v>0.32376809142470475</v>
      </c>
      <c r="E114" s="19">
        <f t="shared" si="5"/>
        <v>7081.3100000000013</v>
      </c>
      <c r="F114" s="19">
        <f t="shared" si="6"/>
        <v>50144951.316100016</v>
      </c>
      <c r="G114" s="20">
        <f t="shared" si="7"/>
        <v>0.24458067355003965</v>
      </c>
    </row>
    <row r="115" spans="1:7" x14ac:dyDescent="0.35">
      <c r="A115" s="21">
        <v>41005</v>
      </c>
      <c r="B115" s="19">
        <v>57592.12</v>
      </c>
      <c r="C115" s="19">
        <f t="shared" si="9"/>
        <v>24475.813333333335</v>
      </c>
      <c r="D115" s="20">
        <f t="shared" si="8"/>
        <v>1.3530217041476593</v>
      </c>
      <c r="E115" s="19">
        <f t="shared" si="5"/>
        <v>33116.306666666671</v>
      </c>
      <c r="F115" s="19">
        <f t="shared" si="6"/>
        <v>1096689767.2407115</v>
      </c>
      <c r="G115" s="20">
        <f t="shared" si="7"/>
        <v>0.57501454481388548</v>
      </c>
    </row>
    <row r="116" spans="1:7" x14ac:dyDescent="0.35">
      <c r="A116" s="21">
        <v>41012</v>
      </c>
      <c r="B116" s="19">
        <v>34684.21</v>
      </c>
      <c r="C116" s="19">
        <f t="shared" si="9"/>
        <v>36217.56</v>
      </c>
      <c r="D116" s="20">
        <f t="shared" si="8"/>
        <v>-4.233719775711009E-2</v>
      </c>
      <c r="E116" s="19">
        <f t="shared" si="5"/>
        <v>1533.3499999999985</v>
      </c>
      <c r="F116" s="19">
        <f t="shared" si="6"/>
        <v>2351162.2224999955</v>
      </c>
      <c r="G116" s="20">
        <f t="shared" si="7"/>
        <v>4.4208877757342564E-2</v>
      </c>
    </row>
    <row r="117" spans="1:7" x14ac:dyDescent="0.35">
      <c r="A117" s="21">
        <v>41019</v>
      </c>
      <c r="B117" s="19">
        <v>16976.189999999999</v>
      </c>
      <c r="C117" s="19">
        <f t="shared" si="9"/>
        <v>40409.730000000003</v>
      </c>
      <c r="D117" s="20">
        <f t="shared" si="8"/>
        <v>-0.57989845514929206</v>
      </c>
      <c r="E117" s="19">
        <f t="shared" si="5"/>
        <v>23433.540000000005</v>
      </c>
      <c r="F117" s="19">
        <f t="shared" si="6"/>
        <v>549130796.93160021</v>
      </c>
      <c r="G117" s="20">
        <f t="shared" si="7"/>
        <v>1.3803768690147793</v>
      </c>
    </row>
    <row r="118" spans="1:7" x14ac:dyDescent="0.35">
      <c r="A118" s="21">
        <v>41026</v>
      </c>
      <c r="B118" s="19">
        <v>16347.6</v>
      </c>
      <c r="C118" s="19">
        <f t="shared" si="9"/>
        <v>36417.506666666668</v>
      </c>
      <c r="D118" s="20">
        <f t="shared" si="8"/>
        <v>-0.55110600652506692</v>
      </c>
      <c r="E118" s="19">
        <f t="shared" si="5"/>
        <v>20069.906666666669</v>
      </c>
      <c r="F118" s="19">
        <f t="shared" si="6"/>
        <v>402801153.60871124</v>
      </c>
      <c r="G118" s="20">
        <f t="shared" si="7"/>
        <v>1.227697439787288</v>
      </c>
    </row>
    <row r="119" spans="1:7" x14ac:dyDescent="0.35">
      <c r="A119" s="21">
        <v>41033</v>
      </c>
      <c r="B119" s="19">
        <v>17147.439999999999</v>
      </c>
      <c r="C119" s="19">
        <f t="shared" si="9"/>
        <v>22669.333333333332</v>
      </c>
      <c r="D119" s="20">
        <f t="shared" si="8"/>
        <v>-0.24358428420185863</v>
      </c>
      <c r="E119" s="19">
        <f t="shared" si="5"/>
        <v>5521.8933333333334</v>
      </c>
      <c r="F119" s="19">
        <f t="shared" si="6"/>
        <v>30491305.984711111</v>
      </c>
      <c r="G119" s="20">
        <f t="shared" si="7"/>
        <v>0.32202435659978013</v>
      </c>
    </row>
    <row r="120" spans="1:7" x14ac:dyDescent="0.35">
      <c r="A120" s="21">
        <v>41040</v>
      </c>
      <c r="B120" s="19">
        <v>18164.2</v>
      </c>
      <c r="C120" s="19">
        <f t="shared" si="9"/>
        <v>16823.743333333332</v>
      </c>
      <c r="D120" s="20">
        <f t="shared" si="8"/>
        <v>7.9676481036820457E-2</v>
      </c>
      <c r="E120" s="19">
        <f t="shared" si="5"/>
        <v>1340.4566666666688</v>
      </c>
      <c r="F120" s="19">
        <f t="shared" si="6"/>
        <v>1796824.0752111168</v>
      </c>
      <c r="G120" s="20">
        <f t="shared" si="7"/>
        <v>7.3796625596870141E-2</v>
      </c>
    </row>
    <row r="121" spans="1:7" x14ac:dyDescent="0.35">
      <c r="A121" s="21">
        <v>41047</v>
      </c>
      <c r="B121" s="19">
        <v>18517.79</v>
      </c>
      <c r="C121" s="19">
        <f t="shared" si="9"/>
        <v>17219.74666666667</v>
      </c>
      <c r="D121" s="20">
        <f t="shared" si="8"/>
        <v>7.5381093488793072E-2</v>
      </c>
      <c r="E121" s="19">
        <f t="shared" si="5"/>
        <v>1298.0433333333312</v>
      </c>
      <c r="F121" s="19">
        <f t="shared" si="6"/>
        <v>1684916.4952111058</v>
      </c>
      <c r="G121" s="20">
        <f t="shared" si="7"/>
        <v>7.0097097619820248E-2</v>
      </c>
    </row>
    <row r="122" spans="1:7" x14ac:dyDescent="0.35">
      <c r="A122" s="21">
        <v>41054</v>
      </c>
      <c r="B122" s="19">
        <v>16963.55</v>
      </c>
      <c r="C122" s="19">
        <f t="shared" si="9"/>
        <v>17943.143333333333</v>
      </c>
      <c r="D122" s="20">
        <f t="shared" si="8"/>
        <v>-5.4594299066514362E-2</v>
      </c>
      <c r="E122" s="19">
        <f t="shared" si="5"/>
        <v>979.59333333333416</v>
      </c>
      <c r="F122" s="19">
        <f t="shared" si="6"/>
        <v>959603.09871111275</v>
      </c>
      <c r="G122" s="20">
        <f t="shared" si="7"/>
        <v>5.7746953517001702E-2</v>
      </c>
    </row>
    <row r="123" spans="1:7" x14ac:dyDescent="0.35">
      <c r="A123" s="21">
        <v>41061</v>
      </c>
      <c r="B123" s="19">
        <v>16065.49</v>
      </c>
      <c r="C123" s="19">
        <f t="shared" si="9"/>
        <v>17881.846666666668</v>
      </c>
      <c r="D123" s="20">
        <f t="shared" si="8"/>
        <v>-0.10157545249800826</v>
      </c>
      <c r="E123" s="19">
        <f t="shared" si="5"/>
        <v>1816.3566666666684</v>
      </c>
      <c r="F123" s="19">
        <f t="shared" si="6"/>
        <v>3299151.5405444507</v>
      </c>
      <c r="G123" s="20">
        <f t="shared" si="7"/>
        <v>0.11305952489881531</v>
      </c>
    </row>
    <row r="124" spans="1:7" x14ac:dyDescent="0.35">
      <c r="A124" s="21">
        <v>41068</v>
      </c>
      <c r="B124" s="19">
        <v>17666</v>
      </c>
      <c r="C124" s="19">
        <f t="shared" si="9"/>
        <v>17182.276666666665</v>
      </c>
      <c r="D124" s="20">
        <f t="shared" si="8"/>
        <v>2.8152458647796585E-2</v>
      </c>
      <c r="E124" s="19">
        <f t="shared" si="5"/>
        <v>483.72333333333518</v>
      </c>
      <c r="F124" s="19">
        <f t="shared" si="6"/>
        <v>233988.26321111291</v>
      </c>
      <c r="G124" s="20">
        <f t="shared" si="7"/>
        <v>2.7381599305634278E-2</v>
      </c>
    </row>
    <row r="125" spans="1:7" x14ac:dyDescent="0.35">
      <c r="A125" s="21">
        <v>41075</v>
      </c>
      <c r="B125" s="19">
        <v>17558.82</v>
      </c>
      <c r="C125" s="19">
        <f t="shared" si="9"/>
        <v>16898.346666666668</v>
      </c>
      <c r="D125" s="20">
        <f t="shared" si="8"/>
        <v>3.9085086036030336E-2</v>
      </c>
      <c r="E125" s="19">
        <f t="shared" si="5"/>
        <v>660.47333333333154</v>
      </c>
      <c r="F125" s="19">
        <f t="shared" si="6"/>
        <v>436225.02404444205</v>
      </c>
      <c r="G125" s="20">
        <f t="shared" si="7"/>
        <v>3.7614904266535652E-2</v>
      </c>
    </row>
    <row r="126" spans="1:7" x14ac:dyDescent="0.35">
      <c r="A126" s="21">
        <v>41082</v>
      </c>
      <c r="B126" s="19">
        <v>16633.41</v>
      </c>
      <c r="C126" s="19">
        <f t="shared" si="9"/>
        <v>17096.77</v>
      </c>
      <c r="D126" s="20">
        <f t="shared" si="8"/>
        <v>-2.7102195326953571E-2</v>
      </c>
      <c r="E126" s="19">
        <f t="shared" si="5"/>
        <v>463.36000000000058</v>
      </c>
      <c r="F126" s="19">
        <f t="shared" si="6"/>
        <v>214702.48960000055</v>
      </c>
      <c r="G126" s="20">
        <f t="shared" si="7"/>
        <v>2.7857186229402184E-2</v>
      </c>
    </row>
    <row r="127" spans="1:7" x14ac:dyDescent="0.35">
      <c r="A127" s="21">
        <v>41089</v>
      </c>
      <c r="B127" s="19">
        <v>15722.82</v>
      </c>
      <c r="C127" s="19">
        <f t="shared" si="9"/>
        <v>17286.076666666664</v>
      </c>
      <c r="D127" s="20">
        <f t="shared" si="8"/>
        <v>-9.0434440203608801E-2</v>
      </c>
      <c r="E127" s="19">
        <f t="shared" si="5"/>
        <v>1563.2566666666644</v>
      </c>
      <c r="F127" s="19">
        <f t="shared" si="6"/>
        <v>2443771.4058777709</v>
      </c>
      <c r="G127" s="20">
        <f t="shared" si="7"/>
        <v>9.9425972355255895E-2</v>
      </c>
    </row>
    <row r="128" spans="1:7" x14ac:dyDescent="0.35">
      <c r="A128" s="21">
        <v>41096</v>
      </c>
      <c r="B128" s="19">
        <v>17823.37</v>
      </c>
      <c r="C128" s="19">
        <f t="shared" si="9"/>
        <v>16638.349999999999</v>
      </c>
      <c r="D128" s="20">
        <f t="shared" si="8"/>
        <v>7.1222206528892551E-2</v>
      </c>
      <c r="E128" s="19">
        <f t="shared" si="5"/>
        <v>1185.0200000000004</v>
      </c>
      <c r="F128" s="19">
        <f t="shared" si="6"/>
        <v>1404272.4004000011</v>
      </c>
      <c r="G128" s="20">
        <f t="shared" si="7"/>
        <v>6.6486865278564067E-2</v>
      </c>
    </row>
    <row r="129" spans="1:7" x14ac:dyDescent="0.35">
      <c r="A129" s="21">
        <v>41103</v>
      </c>
      <c r="B129" s="19">
        <v>16566.18</v>
      </c>
      <c r="C129" s="19">
        <f t="shared" si="9"/>
        <v>16726.533333333333</v>
      </c>
      <c r="D129" s="20">
        <f t="shared" si="8"/>
        <v>-9.586764342481735E-3</v>
      </c>
      <c r="E129" s="19">
        <f t="shared" si="5"/>
        <v>160.35333333333256</v>
      </c>
      <c r="F129" s="19">
        <f t="shared" si="6"/>
        <v>25713.191511110861</v>
      </c>
      <c r="G129" s="20">
        <f t="shared" si="7"/>
        <v>9.679560003171073E-3</v>
      </c>
    </row>
    <row r="130" spans="1:7" x14ac:dyDescent="0.35">
      <c r="A130" s="21">
        <v>41110</v>
      </c>
      <c r="B130" s="19">
        <v>16348.06</v>
      </c>
      <c r="C130" s="19">
        <f t="shared" si="9"/>
        <v>16704.123333333333</v>
      </c>
      <c r="D130" s="20">
        <f t="shared" si="8"/>
        <v>-2.1315894658344825E-2</v>
      </c>
      <c r="E130" s="19">
        <f t="shared" si="5"/>
        <v>356.0633333333335</v>
      </c>
      <c r="F130" s="19">
        <f t="shared" si="6"/>
        <v>126781.09734444457</v>
      </c>
      <c r="G130" s="20">
        <f t="shared" si="7"/>
        <v>2.1780158216530496E-2</v>
      </c>
    </row>
    <row r="131" spans="1:7" x14ac:dyDescent="0.35">
      <c r="A131" s="21">
        <v>41117</v>
      </c>
      <c r="B131" s="19">
        <v>15731.18</v>
      </c>
      <c r="C131" s="19">
        <f t="shared" si="9"/>
        <v>16912.536666666667</v>
      </c>
      <c r="D131" s="20">
        <f t="shared" si="8"/>
        <v>-6.9850944890782252E-2</v>
      </c>
      <c r="E131" s="19">
        <f t="shared" ref="E131:E144" si="10">AVERAGE(ABS(B131-C131))</f>
        <v>1181.3566666666666</v>
      </c>
      <c r="F131" s="19">
        <f t="shared" ref="F131:F144" si="11">E131^2</f>
        <v>1395603.5738777774</v>
      </c>
      <c r="G131" s="20">
        <f t="shared" ref="G131:G144" si="12">AVERAGE(ABS(B131-C131)/B131)</f>
        <v>7.5096506852420891E-2</v>
      </c>
    </row>
    <row r="132" spans="1:7" x14ac:dyDescent="0.35">
      <c r="A132" s="21">
        <v>41124</v>
      </c>
      <c r="B132" s="19">
        <v>16628.310000000001</v>
      </c>
      <c r="C132" s="19">
        <f t="shared" si="9"/>
        <v>16215.14</v>
      </c>
      <c r="D132" s="20">
        <f t="shared" si="8"/>
        <v>2.5480507723029344E-2</v>
      </c>
      <c r="E132" s="19">
        <f t="shared" si="10"/>
        <v>413.17000000000189</v>
      </c>
      <c r="F132" s="19">
        <f t="shared" si="11"/>
        <v>170709.44890000156</v>
      </c>
      <c r="G132" s="20">
        <f t="shared" si="12"/>
        <v>2.4847383769006103E-2</v>
      </c>
    </row>
    <row r="133" spans="1:7" x14ac:dyDescent="0.35">
      <c r="A133" s="21">
        <v>41131</v>
      </c>
      <c r="B133" s="19">
        <v>16119.92</v>
      </c>
      <c r="C133" s="19">
        <f t="shared" si="9"/>
        <v>16235.85</v>
      </c>
      <c r="D133" s="20">
        <f t="shared" ref="D133:D144" si="13">IF(C133=0,0,(B133/C133)-1)</f>
        <v>-7.1403714619191483E-3</v>
      </c>
      <c r="E133" s="19">
        <f t="shared" si="10"/>
        <v>115.93000000000029</v>
      </c>
      <c r="F133" s="19">
        <f t="shared" si="11"/>
        <v>13439.764900000067</v>
      </c>
      <c r="G133" s="20">
        <f t="shared" si="12"/>
        <v>7.1917230358463499E-3</v>
      </c>
    </row>
    <row r="134" spans="1:7" x14ac:dyDescent="0.35">
      <c r="A134" s="21">
        <v>41138</v>
      </c>
      <c r="B134" s="19">
        <v>17330.7</v>
      </c>
      <c r="C134" s="19">
        <f t="shared" ref="C134:C144" si="14">AVERAGE(B131:B133)</f>
        <v>16159.803333333335</v>
      </c>
      <c r="D134" s="20">
        <f t="shared" si="13"/>
        <v>7.2457358701353725E-2</v>
      </c>
      <c r="E134" s="19">
        <f t="shared" si="10"/>
        <v>1170.8966666666656</v>
      </c>
      <c r="F134" s="19">
        <f t="shared" si="11"/>
        <v>1370999.0040111088</v>
      </c>
      <c r="G134" s="20">
        <f t="shared" si="12"/>
        <v>6.7561994995393462E-2</v>
      </c>
    </row>
    <row r="135" spans="1:7" x14ac:dyDescent="0.35">
      <c r="A135" s="21">
        <v>41145</v>
      </c>
      <c r="B135" s="19">
        <v>16286.4</v>
      </c>
      <c r="C135" s="19">
        <f t="shared" si="14"/>
        <v>16692.976666666669</v>
      </c>
      <c r="D135" s="20">
        <f t="shared" si="13"/>
        <v>-2.4356151379432589E-2</v>
      </c>
      <c r="E135" s="19">
        <f t="shared" si="10"/>
        <v>406.57666666666955</v>
      </c>
      <c r="F135" s="19">
        <f t="shared" si="11"/>
        <v>165304.58587778013</v>
      </c>
      <c r="G135" s="20">
        <f t="shared" si="12"/>
        <v>2.4964182794642742E-2</v>
      </c>
    </row>
    <row r="136" spans="1:7" x14ac:dyDescent="0.35">
      <c r="A136" s="21">
        <v>41152</v>
      </c>
      <c r="B136" s="19">
        <v>16680.240000000002</v>
      </c>
      <c r="C136" s="19">
        <f t="shared" si="14"/>
        <v>16579.006666666668</v>
      </c>
      <c r="D136" s="20">
        <f t="shared" si="13"/>
        <v>6.1061157262738419E-3</v>
      </c>
      <c r="E136" s="19">
        <f t="shared" si="10"/>
        <v>101.23333333333358</v>
      </c>
      <c r="F136" s="19">
        <f t="shared" si="11"/>
        <v>10248.187777777826</v>
      </c>
      <c r="G136" s="20">
        <f t="shared" si="12"/>
        <v>6.0690573596862852E-3</v>
      </c>
    </row>
    <row r="137" spans="1:7" x14ac:dyDescent="0.35">
      <c r="A137" s="21">
        <v>41159</v>
      </c>
      <c r="B137" s="19">
        <v>18322.37</v>
      </c>
      <c r="C137" s="19">
        <f t="shared" si="14"/>
        <v>16765.78</v>
      </c>
      <c r="D137" s="20">
        <f t="shared" si="13"/>
        <v>9.2843279584964078E-2</v>
      </c>
      <c r="E137" s="19">
        <f t="shared" si="10"/>
        <v>1556.5900000000001</v>
      </c>
      <c r="F137" s="19">
        <f t="shared" si="11"/>
        <v>2422972.4281000006</v>
      </c>
      <c r="G137" s="20">
        <f t="shared" si="12"/>
        <v>8.4955712607048123E-2</v>
      </c>
    </row>
    <row r="138" spans="1:7" x14ac:dyDescent="0.35">
      <c r="A138" s="21">
        <v>41166</v>
      </c>
      <c r="B138" s="19">
        <v>19616.22</v>
      </c>
      <c r="C138" s="19">
        <f t="shared" si="14"/>
        <v>17096.336666666666</v>
      </c>
      <c r="D138" s="20">
        <f t="shared" si="13"/>
        <v>0.14739317448318867</v>
      </c>
      <c r="E138" s="19">
        <f t="shared" si="10"/>
        <v>2519.883333333335</v>
      </c>
      <c r="F138" s="19">
        <f t="shared" si="11"/>
        <v>6349812.0136111192</v>
      </c>
      <c r="G138" s="20">
        <f t="shared" si="12"/>
        <v>0.12845916967353216</v>
      </c>
    </row>
    <row r="139" spans="1:7" x14ac:dyDescent="0.35">
      <c r="A139" s="21">
        <v>41173</v>
      </c>
      <c r="B139" s="19">
        <v>19251.5</v>
      </c>
      <c r="C139" s="19">
        <f t="shared" si="14"/>
        <v>18206.276666666668</v>
      </c>
      <c r="D139" s="20">
        <f t="shared" si="13"/>
        <v>5.741005437135871E-2</v>
      </c>
      <c r="E139" s="19">
        <f t="shared" si="10"/>
        <v>1045.2233333333315</v>
      </c>
      <c r="F139" s="19">
        <f t="shared" si="11"/>
        <v>1092491.8165444408</v>
      </c>
      <c r="G139" s="20">
        <f t="shared" si="12"/>
        <v>5.4293085387285743E-2</v>
      </c>
    </row>
    <row r="140" spans="1:7" x14ac:dyDescent="0.35">
      <c r="A140" s="21">
        <v>41180</v>
      </c>
      <c r="B140" s="19">
        <v>18947.810000000001</v>
      </c>
      <c r="C140" s="19">
        <f t="shared" si="14"/>
        <v>19063.363333333331</v>
      </c>
      <c r="D140" s="20">
        <f t="shared" si="13"/>
        <v>-6.0615396828365142E-3</v>
      </c>
      <c r="E140" s="19">
        <f t="shared" si="10"/>
        <v>115.55333333332965</v>
      </c>
      <c r="F140" s="19">
        <f t="shared" si="11"/>
        <v>13352.572844443592</v>
      </c>
      <c r="G140" s="20">
        <f t="shared" si="12"/>
        <v>6.0985060190771193E-3</v>
      </c>
    </row>
    <row r="141" spans="1:7" x14ac:dyDescent="0.35">
      <c r="A141" s="21">
        <v>41187</v>
      </c>
      <c r="B141" s="19">
        <v>21904.47</v>
      </c>
      <c r="C141" s="19">
        <f t="shared" si="14"/>
        <v>19271.843333333334</v>
      </c>
      <c r="D141" s="20">
        <f t="shared" si="13"/>
        <v>0.13660481880906383</v>
      </c>
      <c r="E141" s="19">
        <f t="shared" si="10"/>
        <v>2632.626666666667</v>
      </c>
      <c r="F141" s="19">
        <f t="shared" si="11"/>
        <v>6930723.1660444466</v>
      </c>
      <c r="G141" s="20">
        <f t="shared" si="12"/>
        <v>0.12018673205362498</v>
      </c>
    </row>
    <row r="142" spans="1:7" x14ac:dyDescent="0.35">
      <c r="A142" s="21">
        <v>41194</v>
      </c>
      <c r="B142" s="19">
        <v>22764.01</v>
      </c>
      <c r="C142" s="19">
        <f t="shared" si="14"/>
        <v>20034.593333333334</v>
      </c>
      <c r="D142" s="20">
        <f t="shared" si="13"/>
        <v>0.13623519186314059</v>
      </c>
      <c r="E142" s="19">
        <f t="shared" si="10"/>
        <v>2729.4166666666642</v>
      </c>
      <c r="F142" s="19">
        <f t="shared" si="11"/>
        <v>7449715.3402777649</v>
      </c>
      <c r="G142" s="20">
        <f t="shared" si="12"/>
        <v>0.11990052133462709</v>
      </c>
    </row>
    <row r="143" spans="1:7" x14ac:dyDescent="0.35">
      <c r="A143" s="21">
        <v>41201</v>
      </c>
      <c r="B143" s="19">
        <v>24185.27</v>
      </c>
      <c r="C143" s="19">
        <f t="shared" si="14"/>
        <v>21205.429999999997</v>
      </c>
      <c r="D143" s="20">
        <f t="shared" si="13"/>
        <v>0.14052249824691154</v>
      </c>
      <c r="E143" s="19">
        <f t="shared" si="10"/>
        <v>2979.8400000000038</v>
      </c>
      <c r="F143" s="19">
        <f t="shared" si="11"/>
        <v>8879446.4256000221</v>
      </c>
      <c r="G143" s="20">
        <f t="shared" si="12"/>
        <v>0.12320887879275293</v>
      </c>
    </row>
    <row r="144" spans="1:7" x14ac:dyDescent="0.35">
      <c r="A144" s="21">
        <v>41208</v>
      </c>
      <c r="B144" s="19">
        <v>27390.81</v>
      </c>
      <c r="C144" s="19">
        <f t="shared" si="14"/>
        <v>22951.25</v>
      </c>
      <c r="D144" s="20">
        <f t="shared" si="13"/>
        <v>0.19343434453461139</v>
      </c>
      <c r="E144" s="19">
        <f t="shared" si="10"/>
        <v>4439.5600000000013</v>
      </c>
      <c r="F144" s="19">
        <f t="shared" si="11"/>
        <v>19709692.993600011</v>
      </c>
      <c r="G144" s="20">
        <f t="shared" si="12"/>
        <v>0.16208209979916627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D24B3-8BA4-48E2-A4AA-6E84CBD562D8}">
  <dimension ref="A1:M144"/>
  <sheetViews>
    <sheetView workbookViewId="0">
      <selection activeCell="P13" sqref="P13"/>
    </sheetView>
  </sheetViews>
  <sheetFormatPr defaultRowHeight="14.5" x14ac:dyDescent="0.35"/>
  <cols>
    <col min="1" max="1" width="10.453125" bestFit="1" customWidth="1"/>
    <col min="2" max="2" width="12.08984375" bestFit="1" customWidth="1"/>
    <col min="3" max="3" width="16.08984375" bestFit="1" customWidth="1"/>
    <col min="4" max="4" width="8.7265625" style="36"/>
    <col min="6" max="6" width="11.81640625" bestFit="1" customWidth="1"/>
    <col min="7" max="7" width="5.7265625" style="14" bestFit="1" customWidth="1"/>
    <col min="12" max="12" width="11.81640625" bestFit="1" customWidth="1"/>
  </cols>
  <sheetData>
    <row r="1" spans="1:13" x14ac:dyDescent="0.35">
      <c r="A1" s="41" t="s">
        <v>18</v>
      </c>
      <c r="B1" s="41" t="s">
        <v>19</v>
      </c>
      <c r="C1" s="41" t="s">
        <v>34</v>
      </c>
      <c r="D1" s="42" t="s">
        <v>33</v>
      </c>
      <c r="E1" s="43" t="s">
        <v>60</v>
      </c>
      <c r="F1" s="43" t="s">
        <v>61</v>
      </c>
      <c r="G1" s="44" t="s">
        <v>62</v>
      </c>
    </row>
    <row r="2" spans="1:13" x14ac:dyDescent="0.35">
      <c r="A2" s="13">
        <v>40214</v>
      </c>
      <c r="B2">
        <v>24924.5</v>
      </c>
    </row>
    <row r="3" spans="1:13" x14ac:dyDescent="0.35">
      <c r="A3" s="13">
        <v>40221</v>
      </c>
      <c r="B3">
        <v>46039.49</v>
      </c>
    </row>
    <row r="4" spans="1:13" x14ac:dyDescent="0.35">
      <c r="A4" s="13">
        <v>40228</v>
      </c>
      <c r="B4">
        <v>41595.550000000003</v>
      </c>
    </row>
    <row r="5" spans="1:13" x14ac:dyDescent="0.35">
      <c r="A5" s="13">
        <v>40235</v>
      </c>
      <c r="B5">
        <v>19403.54</v>
      </c>
      <c r="C5">
        <f>0.2*B2+0.3*B3+0.5*B4</f>
        <v>39594.521999999997</v>
      </c>
      <c r="D5" s="36">
        <f>IF(C5=0,0,(B5/C5)-1)</f>
        <v>-0.50994382505741576</v>
      </c>
      <c r="E5">
        <f t="shared" ref="E5:E66" si="0">AVERAGE(ABS(B5-C5))</f>
        <v>20190.981999999996</v>
      </c>
      <c r="F5">
        <f t="shared" ref="F5:F66" si="1">E5^2</f>
        <v>407675754.12432384</v>
      </c>
      <c r="G5" s="14">
        <f t="shared" ref="G5:G66" si="2">AVERAGE(ABS(B5-C5)/B5)</f>
        <v>1.0405823885744558</v>
      </c>
    </row>
    <row r="6" spans="1:13" x14ac:dyDescent="0.35">
      <c r="A6" s="13">
        <v>40242</v>
      </c>
      <c r="B6">
        <v>21827.9</v>
      </c>
      <c r="C6">
        <f t="shared" ref="C6:C69" si="3">0.2*B3+0.3*B4+0.5*B5</f>
        <v>31388.333000000002</v>
      </c>
      <c r="D6" s="36">
        <f t="shared" ref="D6:D69" si="4">IF(C6=0,0,(B6/C6)-1)</f>
        <v>-0.30458556050109442</v>
      </c>
      <c r="E6">
        <f t="shared" si="0"/>
        <v>9560.4330000000009</v>
      </c>
      <c r="F6">
        <f t="shared" si="1"/>
        <v>91401879.147489011</v>
      </c>
      <c r="G6" s="14">
        <f t="shared" si="2"/>
        <v>0.43799142381997352</v>
      </c>
    </row>
    <row r="7" spans="1:13" x14ac:dyDescent="0.35">
      <c r="A7" s="13">
        <v>40249</v>
      </c>
      <c r="B7">
        <v>21043.39</v>
      </c>
      <c r="C7">
        <f t="shared" si="3"/>
        <v>25054.122000000003</v>
      </c>
      <c r="D7" s="36">
        <f t="shared" si="4"/>
        <v>-0.16008272012086489</v>
      </c>
      <c r="E7">
        <f t="shared" si="0"/>
        <v>4010.7320000000036</v>
      </c>
      <c r="F7">
        <f t="shared" si="1"/>
        <v>16085971.175824029</v>
      </c>
      <c r="G7" s="14">
        <f t="shared" si="2"/>
        <v>0.19059343575346005</v>
      </c>
    </row>
    <row r="8" spans="1:13" x14ac:dyDescent="0.35">
      <c r="A8" s="13">
        <v>40256</v>
      </c>
      <c r="B8">
        <v>22136.639999999999</v>
      </c>
      <c r="C8">
        <f t="shared" si="3"/>
        <v>20950.773000000001</v>
      </c>
      <c r="D8" s="36">
        <f t="shared" si="4"/>
        <v>5.6602541586413091E-2</v>
      </c>
      <c r="E8">
        <f t="shared" si="0"/>
        <v>1185.8669999999984</v>
      </c>
      <c r="F8">
        <f t="shared" si="1"/>
        <v>1406280.5416889961</v>
      </c>
      <c r="G8" s="14">
        <f t="shared" si="2"/>
        <v>5.3570325035777716E-2</v>
      </c>
    </row>
    <row r="9" spans="1:13" x14ac:dyDescent="0.35">
      <c r="A9" s="13">
        <v>40263</v>
      </c>
      <c r="B9">
        <v>26229.21</v>
      </c>
      <c r="C9">
        <f t="shared" si="3"/>
        <v>21746.917000000001</v>
      </c>
      <c r="D9" s="36">
        <f t="shared" si="4"/>
        <v>0.20611165251607844</v>
      </c>
      <c r="E9">
        <f t="shared" si="0"/>
        <v>4482.2929999999978</v>
      </c>
      <c r="F9">
        <f t="shared" si="1"/>
        <v>20090950.537848979</v>
      </c>
      <c r="G9" s="14">
        <f t="shared" si="2"/>
        <v>0.17088936342345035</v>
      </c>
    </row>
    <row r="10" spans="1:13" x14ac:dyDescent="0.35">
      <c r="A10" s="13">
        <v>40270</v>
      </c>
      <c r="B10">
        <v>57258.43</v>
      </c>
      <c r="C10">
        <f t="shared" si="3"/>
        <v>23964.274999999998</v>
      </c>
      <c r="D10" s="36">
        <f t="shared" si="4"/>
        <v>1.3893245257784765</v>
      </c>
      <c r="E10">
        <f t="shared" si="0"/>
        <v>33294.154999999999</v>
      </c>
      <c r="F10">
        <f t="shared" si="1"/>
        <v>1108500757.1640248</v>
      </c>
      <c r="G10" s="14">
        <f t="shared" si="2"/>
        <v>0.58147167150758405</v>
      </c>
    </row>
    <row r="11" spans="1:13" x14ac:dyDescent="0.35">
      <c r="A11" s="13">
        <v>40277</v>
      </c>
      <c r="B11">
        <v>42960.91</v>
      </c>
      <c r="C11">
        <f t="shared" si="3"/>
        <v>40925.305999999997</v>
      </c>
      <c r="D11" s="36">
        <f t="shared" si="4"/>
        <v>4.9739493701036919E-2</v>
      </c>
      <c r="E11">
        <f t="shared" si="0"/>
        <v>2035.6040000000066</v>
      </c>
      <c r="F11">
        <f t="shared" si="1"/>
        <v>4143683.644816027</v>
      </c>
      <c r="G11" s="14">
        <f t="shared" si="2"/>
        <v>4.7382702088945662E-2</v>
      </c>
    </row>
    <row r="12" spans="1:13" x14ac:dyDescent="0.35">
      <c r="A12" s="13">
        <v>40284</v>
      </c>
      <c r="B12">
        <v>17596.96</v>
      </c>
      <c r="C12">
        <f t="shared" si="3"/>
        <v>43903.826000000001</v>
      </c>
      <c r="D12" s="36">
        <f t="shared" si="4"/>
        <v>-0.59919301793880109</v>
      </c>
      <c r="E12">
        <f t="shared" si="0"/>
        <v>26306.866000000002</v>
      </c>
      <c r="F12">
        <f t="shared" si="1"/>
        <v>692051198.74195611</v>
      </c>
      <c r="G12" s="14">
        <f t="shared" si="2"/>
        <v>1.494966516943836</v>
      </c>
    </row>
    <row r="13" spans="1:13" x14ac:dyDescent="0.35">
      <c r="A13" s="13">
        <v>40291</v>
      </c>
      <c r="B13">
        <v>16145.35</v>
      </c>
      <c r="C13">
        <f t="shared" si="3"/>
        <v>33138.438999999998</v>
      </c>
      <c r="D13" s="36">
        <f t="shared" si="4"/>
        <v>-0.5127908710485729</v>
      </c>
      <c r="E13">
        <f t="shared" si="0"/>
        <v>16993.089</v>
      </c>
      <c r="F13">
        <f t="shared" si="1"/>
        <v>288765073.76192099</v>
      </c>
      <c r="G13" s="14">
        <f t="shared" si="2"/>
        <v>1.0525066969746708</v>
      </c>
    </row>
    <row r="14" spans="1:13" x14ac:dyDescent="0.35">
      <c r="A14" s="13">
        <v>40298</v>
      </c>
      <c r="B14">
        <v>16555.11</v>
      </c>
      <c r="C14">
        <f t="shared" si="3"/>
        <v>21943.945</v>
      </c>
      <c r="D14" s="36">
        <f t="shared" si="4"/>
        <v>-0.24557275366849485</v>
      </c>
      <c r="E14">
        <f t="shared" si="0"/>
        <v>5388.8349999999991</v>
      </c>
      <c r="F14">
        <f t="shared" si="1"/>
        <v>29039542.65722499</v>
      </c>
      <c r="G14" s="14">
        <f t="shared" si="2"/>
        <v>0.3255088610102862</v>
      </c>
    </row>
    <row r="15" spans="1:13" x14ac:dyDescent="0.35">
      <c r="A15" s="13">
        <v>40305</v>
      </c>
      <c r="B15">
        <v>17413.939999999999</v>
      </c>
      <c r="C15">
        <f t="shared" si="3"/>
        <v>16640.552</v>
      </c>
      <c r="D15" s="36">
        <f t="shared" si="4"/>
        <v>4.6476102475446757E-2</v>
      </c>
      <c r="E15">
        <f t="shared" si="0"/>
        <v>773.38799999999901</v>
      </c>
      <c r="F15">
        <f t="shared" si="1"/>
        <v>598128.99854399846</v>
      </c>
      <c r="G15" s="14">
        <f t="shared" si="2"/>
        <v>4.4412005554170915E-2</v>
      </c>
    </row>
    <row r="16" spans="1:13" x14ac:dyDescent="0.35">
      <c r="A16" s="13">
        <v>40312</v>
      </c>
      <c r="B16">
        <v>18926.740000000002</v>
      </c>
      <c r="C16">
        <f t="shared" si="3"/>
        <v>16902.573</v>
      </c>
      <c r="D16" s="36">
        <f t="shared" si="4"/>
        <v>0.11975496275034581</v>
      </c>
      <c r="E16">
        <f t="shared" si="0"/>
        <v>2024.1670000000013</v>
      </c>
      <c r="F16">
        <f t="shared" si="1"/>
        <v>4097252.0438890052</v>
      </c>
      <c r="G16" s="14">
        <f t="shared" si="2"/>
        <v>0.10694747220070658</v>
      </c>
      <c r="I16" s="19"/>
      <c r="J16" s="19"/>
      <c r="K16" s="37" t="s">
        <v>28</v>
      </c>
      <c r="L16" s="37" t="s">
        <v>29</v>
      </c>
      <c r="M16" s="37" t="s">
        <v>30</v>
      </c>
    </row>
    <row r="17" spans="1:13" x14ac:dyDescent="0.35">
      <c r="A17" s="13">
        <v>40319</v>
      </c>
      <c r="B17">
        <v>14773.04</v>
      </c>
      <c r="C17">
        <f t="shared" si="3"/>
        <v>17998.574000000001</v>
      </c>
      <c r="D17" s="36">
        <f t="shared" si="4"/>
        <v>-0.17921053078982807</v>
      </c>
      <c r="E17">
        <f t="shared" si="0"/>
        <v>3225.5339999999997</v>
      </c>
      <c r="F17">
        <f t="shared" si="1"/>
        <v>10404069.585155997</v>
      </c>
      <c r="G17" s="14">
        <f t="shared" si="2"/>
        <v>0.21833921792670971</v>
      </c>
      <c r="I17" s="22" t="s">
        <v>35</v>
      </c>
      <c r="J17" s="22">
        <v>143</v>
      </c>
      <c r="K17" s="19">
        <f>SUM(E2:E144)/140</f>
        <v>5939.018214285712</v>
      </c>
      <c r="L17" s="19">
        <f>SUM(F2:F144)/140</f>
        <v>96021900.51335378</v>
      </c>
      <c r="M17" s="19">
        <f>SUM(G2:G144)/140*100</f>
        <v>24.741650469531532</v>
      </c>
    </row>
    <row r="18" spans="1:13" x14ac:dyDescent="0.35">
      <c r="A18" s="13">
        <v>40326</v>
      </c>
      <c r="B18">
        <v>15580.43</v>
      </c>
      <c r="C18">
        <f t="shared" si="3"/>
        <v>16547.330000000002</v>
      </c>
      <c r="D18" s="36">
        <f t="shared" si="4"/>
        <v>-5.8432387581561551E-2</v>
      </c>
      <c r="E18">
        <f t="shared" si="0"/>
        <v>966.90000000000146</v>
      </c>
      <c r="F18">
        <f t="shared" si="1"/>
        <v>934895.61000000278</v>
      </c>
      <c r="G18" s="14">
        <f t="shared" si="2"/>
        <v>6.2058620975159316E-2</v>
      </c>
    </row>
    <row r="19" spans="1:13" x14ac:dyDescent="0.35">
      <c r="A19" s="13">
        <v>40333</v>
      </c>
      <c r="B19">
        <v>17558.09</v>
      </c>
      <c r="C19">
        <f t="shared" si="3"/>
        <v>16007.475</v>
      </c>
      <c r="D19" s="36">
        <f t="shared" si="4"/>
        <v>9.6868181896270222E-2</v>
      </c>
      <c r="E19">
        <f t="shared" si="0"/>
        <v>1550.6149999999998</v>
      </c>
      <c r="F19">
        <f t="shared" si="1"/>
        <v>2404406.8782249992</v>
      </c>
      <c r="G19" s="14">
        <f t="shared" si="2"/>
        <v>8.8313421334552888E-2</v>
      </c>
    </row>
    <row r="20" spans="1:13" x14ac:dyDescent="0.35">
      <c r="A20" s="13">
        <v>40340</v>
      </c>
      <c r="B20">
        <v>16637.62</v>
      </c>
      <c r="C20">
        <f t="shared" si="3"/>
        <v>16407.781999999999</v>
      </c>
      <c r="D20" s="36">
        <f t="shared" si="4"/>
        <v>1.4007865292213095E-2</v>
      </c>
      <c r="E20">
        <f t="shared" si="0"/>
        <v>229.83799999999974</v>
      </c>
      <c r="F20">
        <f t="shared" si="1"/>
        <v>52825.50624399988</v>
      </c>
      <c r="G20" s="14">
        <f t="shared" si="2"/>
        <v>1.3814355659042564E-2</v>
      </c>
    </row>
    <row r="21" spans="1:13" x14ac:dyDescent="0.35">
      <c r="A21" s="13">
        <v>40347</v>
      </c>
      <c r="B21">
        <v>16216.27</v>
      </c>
      <c r="C21">
        <f t="shared" si="3"/>
        <v>16702.322999999997</v>
      </c>
      <c r="D21" s="36">
        <f t="shared" si="4"/>
        <v>-2.9100922069343116E-2</v>
      </c>
      <c r="E21">
        <f t="shared" si="0"/>
        <v>486.05299999999625</v>
      </c>
      <c r="F21">
        <f t="shared" si="1"/>
        <v>236247.51880899636</v>
      </c>
      <c r="G21" s="14">
        <f t="shared" si="2"/>
        <v>2.9973168922322841E-2</v>
      </c>
    </row>
    <row r="22" spans="1:13" x14ac:dyDescent="0.35">
      <c r="A22" s="13">
        <v>40354</v>
      </c>
      <c r="B22">
        <v>16328.72</v>
      </c>
      <c r="C22">
        <f t="shared" si="3"/>
        <v>16611.038999999997</v>
      </c>
      <c r="D22" s="36">
        <f t="shared" si="4"/>
        <v>-1.6995866423527017E-2</v>
      </c>
      <c r="E22">
        <f t="shared" si="0"/>
        <v>282.31899999999769</v>
      </c>
      <c r="F22">
        <f t="shared" si="1"/>
        <v>79704.0177609987</v>
      </c>
      <c r="G22" s="14">
        <f t="shared" si="2"/>
        <v>1.7289720198521236E-2</v>
      </c>
    </row>
    <row r="23" spans="1:13" x14ac:dyDescent="0.35">
      <c r="A23" s="13">
        <v>40361</v>
      </c>
      <c r="B23">
        <v>16333.14</v>
      </c>
      <c r="C23">
        <f t="shared" si="3"/>
        <v>16356.764999999999</v>
      </c>
      <c r="D23" s="36">
        <f t="shared" si="4"/>
        <v>-1.4443565093709143E-3</v>
      </c>
      <c r="E23">
        <f t="shared" si="0"/>
        <v>23.625</v>
      </c>
      <c r="F23">
        <f t="shared" si="1"/>
        <v>558.140625</v>
      </c>
      <c r="G23" s="14">
        <f t="shared" si="2"/>
        <v>1.4464456926224841E-3</v>
      </c>
    </row>
    <row r="24" spans="1:13" x14ac:dyDescent="0.35">
      <c r="A24" s="13">
        <v>40368</v>
      </c>
      <c r="B24">
        <v>17688.759999999998</v>
      </c>
      <c r="C24">
        <f t="shared" si="3"/>
        <v>16308.44</v>
      </c>
      <c r="D24" s="36">
        <f t="shared" si="4"/>
        <v>8.4638383560904584E-2</v>
      </c>
      <c r="E24">
        <f t="shared" si="0"/>
        <v>1380.3199999999979</v>
      </c>
      <c r="F24">
        <f t="shared" si="1"/>
        <v>1905283.3023999941</v>
      </c>
      <c r="G24" s="14">
        <f t="shared" si="2"/>
        <v>7.8033734416657702E-2</v>
      </c>
    </row>
    <row r="25" spans="1:13" x14ac:dyDescent="0.35">
      <c r="A25" s="13">
        <v>40375</v>
      </c>
      <c r="B25">
        <v>17150.84</v>
      </c>
      <c r="C25">
        <f t="shared" si="3"/>
        <v>17010.065999999999</v>
      </c>
      <c r="D25" s="36">
        <f t="shared" si="4"/>
        <v>8.2759232092339818E-3</v>
      </c>
      <c r="E25">
        <f t="shared" si="0"/>
        <v>140.77400000000125</v>
      </c>
      <c r="F25">
        <f t="shared" si="1"/>
        <v>19817.319076000353</v>
      </c>
      <c r="G25" s="14">
        <f t="shared" si="2"/>
        <v>8.2079944772385054E-3</v>
      </c>
    </row>
    <row r="26" spans="1:13" x14ac:dyDescent="0.35">
      <c r="A26" s="13">
        <v>40382</v>
      </c>
      <c r="B26">
        <v>15360.45</v>
      </c>
      <c r="C26">
        <f t="shared" si="3"/>
        <v>17148.675999999999</v>
      </c>
      <c r="D26" s="36">
        <f t="shared" si="4"/>
        <v>-0.10427778797616793</v>
      </c>
      <c r="E26">
        <f t="shared" si="0"/>
        <v>1788.2259999999987</v>
      </c>
      <c r="F26">
        <f t="shared" si="1"/>
        <v>3197752.2270759954</v>
      </c>
      <c r="G26" s="14">
        <f t="shared" si="2"/>
        <v>0.11641755287117231</v>
      </c>
    </row>
    <row r="27" spans="1:13" x14ac:dyDescent="0.35">
      <c r="A27" s="13">
        <v>40389</v>
      </c>
      <c r="B27">
        <v>15381.82</v>
      </c>
      <c r="C27">
        <f t="shared" si="3"/>
        <v>16363.228999999999</v>
      </c>
      <c r="D27" s="36">
        <f t="shared" si="4"/>
        <v>-5.9976487525781108E-2</v>
      </c>
      <c r="E27">
        <f t="shared" si="0"/>
        <v>981.40899999999965</v>
      </c>
      <c r="F27">
        <f t="shared" si="1"/>
        <v>963163.62528099935</v>
      </c>
      <c r="G27" s="14">
        <f t="shared" si="2"/>
        <v>6.3803178037449379E-2</v>
      </c>
    </row>
    <row r="28" spans="1:13" x14ac:dyDescent="0.35">
      <c r="A28" s="13">
        <v>40396</v>
      </c>
      <c r="B28">
        <v>17508.41</v>
      </c>
      <c r="C28">
        <f t="shared" si="3"/>
        <v>15729.213</v>
      </c>
      <c r="D28" s="36">
        <f t="shared" si="4"/>
        <v>0.11311417805836821</v>
      </c>
      <c r="E28">
        <f t="shared" si="0"/>
        <v>1779.1970000000001</v>
      </c>
      <c r="F28">
        <f t="shared" si="1"/>
        <v>3165541.9648090005</v>
      </c>
      <c r="G28" s="14">
        <f t="shared" si="2"/>
        <v>0.10161956454069787</v>
      </c>
    </row>
    <row r="29" spans="1:13" x14ac:dyDescent="0.35">
      <c r="A29" s="13">
        <v>40403</v>
      </c>
      <c r="B29">
        <v>15536.4</v>
      </c>
      <c r="C29">
        <f t="shared" si="3"/>
        <v>16440.841</v>
      </c>
      <c r="D29" s="36">
        <f t="shared" si="4"/>
        <v>-5.5011845196970222E-2</v>
      </c>
      <c r="E29">
        <f t="shared" si="0"/>
        <v>904.44100000000071</v>
      </c>
      <c r="F29">
        <f t="shared" si="1"/>
        <v>818013.52248100133</v>
      </c>
      <c r="G29" s="14">
        <f t="shared" si="2"/>
        <v>5.8214322494271567E-2</v>
      </c>
    </row>
    <row r="30" spans="1:13" x14ac:dyDescent="0.35">
      <c r="A30" s="13">
        <v>40410</v>
      </c>
      <c r="B30">
        <v>15740.13</v>
      </c>
      <c r="C30">
        <f t="shared" si="3"/>
        <v>16097.087</v>
      </c>
      <c r="D30" s="36">
        <f t="shared" si="4"/>
        <v>-2.2175254441999415E-2</v>
      </c>
      <c r="E30">
        <f t="shared" si="0"/>
        <v>356.95700000000033</v>
      </c>
      <c r="F30">
        <f t="shared" si="1"/>
        <v>127418.29984900024</v>
      </c>
      <c r="G30" s="14">
        <f t="shared" si="2"/>
        <v>2.2678148147442262E-2</v>
      </c>
    </row>
    <row r="31" spans="1:13" x14ac:dyDescent="0.35">
      <c r="A31" s="13">
        <v>40417</v>
      </c>
      <c r="B31">
        <v>15793.87</v>
      </c>
      <c r="C31">
        <f t="shared" si="3"/>
        <v>16032.667000000001</v>
      </c>
      <c r="D31" s="36">
        <f t="shared" si="4"/>
        <v>-1.4894402784015992E-2</v>
      </c>
      <c r="E31">
        <f t="shared" si="0"/>
        <v>238.79700000000048</v>
      </c>
      <c r="F31">
        <f t="shared" si="1"/>
        <v>57024.007209000229</v>
      </c>
      <c r="G31" s="14">
        <f t="shared" si="2"/>
        <v>1.5119600199317866E-2</v>
      </c>
    </row>
    <row r="32" spans="1:13" x14ac:dyDescent="0.35">
      <c r="A32" s="13">
        <v>40424</v>
      </c>
      <c r="B32">
        <v>16241.78</v>
      </c>
      <c r="C32">
        <f t="shared" si="3"/>
        <v>15726.254000000001</v>
      </c>
      <c r="D32" s="36">
        <f t="shared" si="4"/>
        <v>3.2781233216759631E-2</v>
      </c>
      <c r="E32">
        <f t="shared" si="0"/>
        <v>515.52599999999984</v>
      </c>
      <c r="F32">
        <f t="shared" si="1"/>
        <v>265767.05667599983</v>
      </c>
      <c r="G32" s="14">
        <f t="shared" si="2"/>
        <v>3.1740732850709705E-2</v>
      </c>
    </row>
    <row r="33" spans="1:7" x14ac:dyDescent="0.35">
      <c r="A33" s="13">
        <v>40431</v>
      </c>
      <c r="B33">
        <v>18194.740000000002</v>
      </c>
      <c r="C33">
        <f t="shared" si="3"/>
        <v>16007.077000000001</v>
      </c>
      <c r="D33" s="36">
        <f t="shared" si="4"/>
        <v>0.13666848731970238</v>
      </c>
      <c r="E33">
        <f t="shared" si="0"/>
        <v>2187.6630000000005</v>
      </c>
      <c r="F33">
        <f t="shared" si="1"/>
        <v>4785869.4015690023</v>
      </c>
      <c r="G33" s="14">
        <f t="shared" si="2"/>
        <v>0.12023601326537231</v>
      </c>
    </row>
    <row r="34" spans="1:7" x14ac:dyDescent="0.35">
      <c r="A34" s="13">
        <v>40438</v>
      </c>
      <c r="B34">
        <v>19354.23</v>
      </c>
      <c r="C34">
        <f t="shared" si="3"/>
        <v>17128.678</v>
      </c>
      <c r="D34" s="36">
        <f t="shared" si="4"/>
        <v>0.12993133503940002</v>
      </c>
      <c r="E34">
        <f t="shared" si="0"/>
        <v>2225.5519999999997</v>
      </c>
      <c r="F34">
        <f t="shared" si="1"/>
        <v>4953081.7047039988</v>
      </c>
      <c r="G34" s="14">
        <f t="shared" si="2"/>
        <v>0.11499046978360801</v>
      </c>
    </row>
    <row r="35" spans="1:7" x14ac:dyDescent="0.35">
      <c r="A35" s="13">
        <v>40445</v>
      </c>
      <c r="B35">
        <v>18122.52</v>
      </c>
      <c r="C35">
        <f t="shared" si="3"/>
        <v>18383.893</v>
      </c>
      <c r="D35" s="36">
        <f t="shared" si="4"/>
        <v>-1.4217500069218181E-2</v>
      </c>
      <c r="E35">
        <f t="shared" si="0"/>
        <v>261.37299999999959</v>
      </c>
      <c r="F35">
        <f t="shared" si="1"/>
        <v>68315.84512899979</v>
      </c>
      <c r="G35" s="14">
        <f t="shared" si="2"/>
        <v>1.4422552713419523E-2</v>
      </c>
    </row>
    <row r="36" spans="1:7" x14ac:dyDescent="0.35">
      <c r="A36" s="13">
        <v>40452</v>
      </c>
      <c r="B36">
        <v>20094.189999999999</v>
      </c>
      <c r="C36">
        <f t="shared" si="3"/>
        <v>18506.476999999999</v>
      </c>
      <c r="D36" s="36">
        <f t="shared" si="4"/>
        <v>8.5792287748770235E-2</v>
      </c>
      <c r="E36">
        <f t="shared" si="0"/>
        <v>1587.7129999999997</v>
      </c>
      <c r="F36">
        <f t="shared" si="1"/>
        <v>2520832.5703689991</v>
      </c>
      <c r="G36" s="14">
        <f t="shared" si="2"/>
        <v>7.9013535753369502E-2</v>
      </c>
    </row>
    <row r="37" spans="1:7" x14ac:dyDescent="0.35">
      <c r="A37" s="13">
        <v>40459</v>
      </c>
      <c r="B37">
        <v>23388.03</v>
      </c>
      <c r="C37">
        <f t="shared" si="3"/>
        <v>19354.697</v>
      </c>
      <c r="D37" s="36">
        <f t="shared" si="4"/>
        <v>0.20839039743169319</v>
      </c>
      <c r="E37">
        <f t="shared" si="0"/>
        <v>4033.3329999999987</v>
      </c>
      <c r="F37">
        <f t="shared" si="1"/>
        <v>16267775.08888899</v>
      </c>
      <c r="G37" s="14">
        <f t="shared" si="2"/>
        <v>0.17245287439771537</v>
      </c>
    </row>
    <row r="38" spans="1:7" x14ac:dyDescent="0.35">
      <c r="A38" s="13">
        <v>40466</v>
      </c>
      <c r="B38">
        <v>26978.34</v>
      </c>
      <c r="C38">
        <f t="shared" si="3"/>
        <v>21346.775999999998</v>
      </c>
      <c r="D38" s="36">
        <f t="shared" si="4"/>
        <v>0.26381332712724403</v>
      </c>
      <c r="E38">
        <f t="shared" si="0"/>
        <v>5631.5640000000021</v>
      </c>
      <c r="F38">
        <f t="shared" si="1"/>
        <v>31714513.086096022</v>
      </c>
      <c r="G38" s="14">
        <f t="shared" si="2"/>
        <v>0.20874390344253954</v>
      </c>
    </row>
    <row r="39" spans="1:7" x14ac:dyDescent="0.35">
      <c r="A39" s="13">
        <v>40473</v>
      </c>
      <c r="B39">
        <v>25543.040000000001</v>
      </c>
      <c r="C39">
        <f t="shared" si="3"/>
        <v>24524.417000000001</v>
      </c>
      <c r="D39" s="36">
        <f t="shared" si="4"/>
        <v>4.1535054635549518E-2</v>
      </c>
      <c r="E39">
        <f t="shared" si="0"/>
        <v>1018.6229999999996</v>
      </c>
      <c r="F39">
        <f t="shared" si="1"/>
        <v>1037592.8161289992</v>
      </c>
      <c r="G39" s="14">
        <f t="shared" si="2"/>
        <v>3.9878691025030673E-2</v>
      </c>
    </row>
    <row r="40" spans="1:7" x14ac:dyDescent="0.35">
      <c r="A40" s="13">
        <v>40480</v>
      </c>
      <c r="B40">
        <v>38640.93</v>
      </c>
      <c r="C40">
        <f t="shared" si="3"/>
        <v>25542.628000000001</v>
      </c>
      <c r="D40" s="36">
        <f t="shared" si="4"/>
        <v>0.51280165846677961</v>
      </c>
      <c r="E40">
        <f t="shared" si="0"/>
        <v>13098.302</v>
      </c>
      <c r="F40">
        <f t="shared" si="1"/>
        <v>171565515.28320399</v>
      </c>
      <c r="G40" s="14">
        <f t="shared" si="2"/>
        <v>0.33897481245922395</v>
      </c>
    </row>
    <row r="41" spans="1:7" x14ac:dyDescent="0.35">
      <c r="A41" s="13">
        <v>40487</v>
      </c>
      <c r="B41">
        <v>34238.879999999997</v>
      </c>
      <c r="C41">
        <f t="shared" si="3"/>
        <v>32379.045000000002</v>
      </c>
      <c r="D41" s="36">
        <f t="shared" si="4"/>
        <v>5.7439464320210742E-2</v>
      </c>
      <c r="E41">
        <f t="shared" si="0"/>
        <v>1859.8349999999955</v>
      </c>
      <c r="F41">
        <f t="shared" si="1"/>
        <v>3458986.2272249833</v>
      </c>
      <c r="G41" s="14">
        <f t="shared" si="2"/>
        <v>5.4319387783712425E-2</v>
      </c>
    </row>
    <row r="42" spans="1:7" x14ac:dyDescent="0.35">
      <c r="A42" s="13">
        <v>40494</v>
      </c>
      <c r="B42">
        <v>19549.39</v>
      </c>
      <c r="C42">
        <f t="shared" si="3"/>
        <v>33820.327000000005</v>
      </c>
      <c r="D42" s="36">
        <f t="shared" si="4"/>
        <v>-0.42196330626844625</v>
      </c>
      <c r="E42">
        <f t="shared" si="0"/>
        <v>14270.937000000005</v>
      </c>
      <c r="F42">
        <f t="shared" si="1"/>
        <v>203659642.85796916</v>
      </c>
      <c r="G42" s="14">
        <f t="shared" si="2"/>
        <v>0.72999397935178567</v>
      </c>
    </row>
    <row r="43" spans="1:7" x14ac:dyDescent="0.35">
      <c r="A43" s="13">
        <v>40501</v>
      </c>
      <c r="B43">
        <v>19552.84</v>
      </c>
      <c r="C43">
        <f t="shared" si="3"/>
        <v>27774.544999999998</v>
      </c>
      <c r="D43" s="36">
        <f t="shared" si="4"/>
        <v>-0.29601583032233292</v>
      </c>
      <c r="E43">
        <f t="shared" si="0"/>
        <v>8221.7049999999981</v>
      </c>
      <c r="F43">
        <f t="shared" si="1"/>
        <v>67596433.107024968</v>
      </c>
      <c r="G43" s="14">
        <f t="shared" si="2"/>
        <v>0.42048648687351803</v>
      </c>
    </row>
    <row r="44" spans="1:7" x14ac:dyDescent="0.35">
      <c r="A44" s="13">
        <v>40508</v>
      </c>
      <c r="B44">
        <v>18820.29</v>
      </c>
      <c r="C44">
        <f t="shared" si="3"/>
        <v>22489.012999999999</v>
      </c>
      <c r="D44" s="36">
        <f t="shared" si="4"/>
        <v>-0.16313401570802588</v>
      </c>
      <c r="E44">
        <f t="shared" si="0"/>
        <v>3668.7229999999981</v>
      </c>
      <c r="F44">
        <f t="shared" si="1"/>
        <v>13459528.450728986</v>
      </c>
      <c r="G44" s="14">
        <f t="shared" si="2"/>
        <v>0.19493445637660195</v>
      </c>
    </row>
    <row r="45" spans="1:7" x14ac:dyDescent="0.35">
      <c r="A45" s="13">
        <v>40515</v>
      </c>
      <c r="B45">
        <v>22517.56</v>
      </c>
      <c r="C45">
        <f t="shared" si="3"/>
        <v>19185.875</v>
      </c>
      <c r="D45" s="36">
        <f t="shared" si="4"/>
        <v>0.17365301295875235</v>
      </c>
      <c r="E45">
        <f t="shared" si="0"/>
        <v>3331.6850000000013</v>
      </c>
      <c r="F45">
        <f t="shared" si="1"/>
        <v>11100124.939225009</v>
      </c>
      <c r="G45" s="14">
        <f t="shared" si="2"/>
        <v>0.14795941478561625</v>
      </c>
    </row>
    <row r="46" spans="1:7" x14ac:dyDescent="0.35">
      <c r="A46" s="13">
        <v>40522</v>
      </c>
      <c r="B46">
        <v>31497.65</v>
      </c>
      <c r="C46">
        <f t="shared" si="3"/>
        <v>20815.435000000001</v>
      </c>
      <c r="D46" s="36">
        <f t="shared" si="4"/>
        <v>0.5131872093953358</v>
      </c>
      <c r="E46">
        <f t="shared" si="0"/>
        <v>10682.215</v>
      </c>
      <c r="F46">
        <f t="shared" si="1"/>
        <v>114109717.306225</v>
      </c>
      <c r="G46" s="14">
        <f t="shared" si="2"/>
        <v>0.3391432376701119</v>
      </c>
    </row>
    <row r="47" spans="1:7" x14ac:dyDescent="0.35">
      <c r="A47" s="13">
        <v>40529</v>
      </c>
      <c r="B47">
        <v>44912.86</v>
      </c>
      <c r="C47">
        <f t="shared" si="3"/>
        <v>26268.151000000002</v>
      </c>
      <c r="D47" s="36">
        <f t="shared" si="4"/>
        <v>0.7097838367078062</v>
      </c>
      <c r="E47">
        <f t="shared" si="0"/>
        <v>18644.708999999999</v>
      </c>
      <c r="F47">
        <f t="shared" si="1"/>
        <v>347625173.69468099</v>
      </c>
      <c r="G47" s="14">
        <f t="shared" si="2"/>
        <v>0.41513074429016544</v>
      </c>
    </row>
    <row r="48" spans="1:7" x14ac:dyDescent="0.35">
      <c r="A48" s="13">
        <v>40536</v>
      </c>
      <c r="B48">
        <v>55931.23</v>
      </c>
      <c r="C48">
        <f t="shared" si="3"/>
        <v>36409.237000000001</v>
      </c>
      <c r="D48" s="36">
        <f t="shared" si="4"/>
        <v>0.53618242535541194</v>
      </c>
      <c r="E48">
        <f t="shared" si="0"/>
        <v>19521.993000000002</v>
      </c>
      <c r="F48">
        <f t="shared" si="1"/>
        <v>381108210.69204909</v>
      </c>
      <c r="G48" s="14">
        <f t="shared" si="2"/>
        <v>0.34903564609610771</v>
      </c>
    </row>
    <row r="49" spans="1:7" x14ac:dyDescent="0.35">
      <c r="A49" s="13">
        <v>40543</v>
      </c>
      <c r="B49">
        <v>19124.580000000002</v>
      </c>
      <c r="C49">
        <f t="shared" si="3"/>
        <v>47739.002999999997</v>
      </c>
      <c r="D49" s="36">
        <f t="shared" si="4"/>
        <v>-0.59939297433589045</v>
      </c>
      <c r="E49">
        <f t="shared" si="0"/>
        <v>28614.422999999995</v>
      </c>
      <c r="F49">
        <f t="shared" si="1"/>
        <v>818785203.62292874</v>
      </c>
      <c r="G49" s="14">
        <f t="shared" si="2"/>
        <v>1.4962118383776268</v>
      </c>
    </row>
    <row r="50" spans="1:7" x14ac:dyDescent="0.35">
      <c r="A50" s="13">
        <v>40550</v>
      </c>
      <c r="B50">
        <v>15984.24</v>
      </c>
      <c r="C50">
        <f t="shared" si="3"/>
        <v>35324.231</v>
      </c>
      <c r="D50" s="36">
        <f t="shared" si="4"/>
        <v>-0.5474992788944224</v>
      </c>
      <c r="E50">
        <f t="shared" si="0"/>
        <v>19339.991000000002</v>
      </c>
      <c r="F50">
        <f t="shared" si="1"/>
        <v>374035251.88008106</v>
      </c>
      <c r="G50" s="14">
        <f t="shared" si="2"/>
        <v>1.2099412296111671</v>
      </c>
    </row>
    <row r="51" spans="1:7" x14ac:dyDescent="0.35">
      <c r="A51" s="13">
        <v>40557</v>
      </c>
      <c r="B51">
        <v>17359.7</v>
      </c>
      <c r="C51">
        <f t="shared" si="3"/>
        <v>24915.74</v>
      </c>
      <c r="D51" s="36">
        <f t="shared" si="4"/>
        <v>-0.30326372004202973</v>
      </c>
      <c r="E51">
        <f t="shared" si="0"/>
        <v>7556.0400000000009</v>
      </c>
      <c r="F51">
        <f t="shared" si="1"/>
        <v>57093740.481600016</v>
      </c>
      <c r="G51" s="14">
        <f t="shared" si="2"/>
        <v>0.43526328219957722</v>
      </c>
    </row>
    <row r="52" spans="1:7" x14ac:dyDescent="0.35">
      <c r="A52" s="13">
        <v>40564</v>
      </c>
      <c r="B52">
        <v>17341.47</v>
      </c>
      <c r="C52">
        <f t="shared" si="3"/>
        <v>17300.038</v>
      </c>
      <c r="D52" s="36">
        <f t="shared" si="4"/>
        <v>2.3949080343061979E-3</v>
      </c>
      <c r="E52">
        <f t="shared" si="0"/>
        <v>41.432000000000698</v>
      </c>
      <c r="F52">
        <f t="shared" si="1"/>
        <v>1716.6106240000579</v>
      </c>
      <c r="G52" s="14">
        <f t="shared" si="2"/>
        <v>2.3891861531923587E-3</v>
      </c>
    </row>
    <row r="53" spans="1:7" x14ac:dyDescent="0.35">
      <c r="A53" s="13">
        <v>40571</v>
      </c>
      <c r="B53">
        <v>18461.18</v>
      </c>
      <c r="C53">
        <f t="shared" si="3"/>
        <v>17075.493000000002</v>
      </c>
      <c r="D53" s="36">
        <f t="shared" si="4"/>
        <v>8.1150629150209541E-2</v>
      </c>
      <c r="E53">
        <f t="shared" si="0"/>
        <v>1385.6869999999981</v>
      </c>
      <c r="F53">
        <f t="shared" si="1"/>
        <v>1920128.4619689947</v>
      </c>
      <c r="G53" s="14">
        <f t="shared" si="2"/>
        <v>7.5059503238687778E-2</v>
      </c>
    </row>
    <row r="54" spans="1:7" x14ac:dyDescent="0.35">
      <c r="A54" s="13">
        <v>40578</v>
      </c>
      <c r="B54">
        <v>21665.759999999998</v>
      </c>
      <c r="C54">
        <f t="shared" si="3"/>
        <v>17904.971000000001</v>
      </c>
      <c r="D54" s="36">
        <f t="shared" si="4"/>
        <v>0.2100416135831773</v>
      </c>
      <c r="E54">
        <f t="shared" si="0"/>
        <v>3760.788999999997</v>
      </c>
      <c r="F54">
        <f t="shared" si="1"/>
        <v>14143533.902520977</v>
      </c>
      <c r="G54" s="14">
        <f t="shared" si="2"/>
        <v>0.17358214066804015</v>
      </c>
    </row>
    <row r="55" spans="1:7" x14ac:dyDescent="0.35">
      <c r="A55" s="13">
        <v>40585</v>
      </c>
      <c r="B55">
        <v>37887.17</v>
      </c>
      <c r="C55">
        <f t="shared" si="3"/>
        <v>19839.527999999998</v>
      </c>
      <c r="D55" s="36">
        <f t="shared" si="4"/>
        <v>0.90968101660483058</v>
      </c>
      <c r="E55">
        <f t="shared" si="0"/>
        <v>18047.642</v>
      </c>
      <c r="F55">
        <f t="shared" si="1"/>
        <v>325717381.76016402</v>
      </c>
      <c r="G55" s="14">
        <f t="shared" si="2"/>
        <v>0.47635233774388536</v>
      </c>
    </row>
    <row r="56" spans="1:7" x14ac:dyDescent="0.35">
      <c r="A56" s="13">
        <v>40592</v>
      </c>
      <c r="B56">
        <v>46845.87</v>
      </c>
      <c r="C56">
        <f t="shared" si="3"/>
        <v>29135.548999999999</v>
      </c>
      <c r="D56" s="36">
        <f t="shared" si="4"/>
        <v>0.60785952583217173</v>
      </c>
      <c r="E56">
        <f t="shared" si="0"/>
        <v>17710.321000000004</v>
      </c>
      <c r="F56">
        <f t="shared" si="1"/>
        <v>313655469.92304111</v>
      </c>
      <c r="G56" s="14">
        <f t="shared" si="2"/>
        <v>0.37805511990704843</v>
      </c>
    </row>
    <row r="57" spans="1:7" x14ac:dyDescent="0.35">
      <c r="A57" s="13">
        <v>40599</v>
      </c>
      <c r="B57">
        <v>19363.830000000002</v>
      </c>
      <c r="C57">
        <f t="shared" si="3"/>
        <v>39122.237999999998</v>
      </c>
      <c r="D57" s="36">
        <f t="shared" si="4"/>
        <v>-0.50504288635021333</v>
      </c>
      <c r="E57">
        <f t="shared" si="0"/>
        <v>19758.407999999996</v>
      </c>
      <c r="F57">
        <f t="shared" si="1"/>
        <v>390394686.69446385</v>
      </c>
      <c r="G57" s="14">
        <f t="shared" si="2"/>
        <v>1.0203770638349952</v>
      </c>
    </row>
    <row r="58" spans="1:7" x14ac:dyDescent="0.35">
      <c r="A58" s="13">
        <v>40606</v>
      </c>
      <c r="B58">
        <v>20327.61</v>
      </c>
      <c r="C58">
        <f t="shared" si="3"/>
        <v>31313.11</v>
      </c>
      <c r="D58" s="36">
        <f t="shared" si="4"/>
        <v>-0.3508274968535543</v>
      </c>
      <c r="E58">
        <f t="shared" si="0"/>
        <v>10985.5</v>
      </c>
      <c r="F58">
        <f t="shared" si="1"/>
        <v>120681210.25</v>
      </c>
      <c r="G58" s="14">
        <f t="shared" si="2"/>
        <v>0.54042260747820325</v>
      </c>
    </row>
    <row r="59" spans="1:7" x14ac:dyDescent="0.35">
      <c r="A59" s="13">
        <v>40613</v>
      </c>
      <c r="B59">
        <v>21280.400000000001</v>
      </c>
      <c r="C59">
        <f t="shared" si="3"/>
        <v>25342.128000000001</v>
      </c>
      <c r="D59" s="36">
        <f t="shared" si="4"/>
        <v>-0.16027572743693819</v>
      </c>
      <c r="E59">
        <f t="shared" si="0"/>
        <v>4061.7279999999992</v>
      </c>
      <c r="F59">
        <f t="shared" si="1"/>
        <v>16497634.345983993</v>
      </c>
      <c r="G59" s="14">
        <f t="shared" si="2"/>
        <v>0.19086708896449309</v>
      </c>
    </row>
    <row r="60" spans="1:7" x14ac:dyDescent="0.35">
      <c r="A60" s="13">
        <v>40620</v>
      </c>
      <c r="B60">
        <v>20334.23</v>
      </c>
      <c r="C60">
        <f t="shared" si="3"/>
        <v>20611.249000000003</v>
      </c>
      <c r="D60" s="36">
        <f t="shared" si="4"/>
        <v>-1.344018501741473E-2</v>
      </c>
      <c r="E60">
        <f t="shared" si="0"/>
        <v>277.01900000000387</v>
      </c>
      <c r="F60">
        <f t="shared" si="1"/>
        <v>76739.52636100215</v>
      </c>
      <c r="G60" s="14">
        <f t="shared" si="2"/>
        <v>1.3623284481389454E-2</v>
      </c>
    </row>
    <row r="61" spans="1:7" x14ac:dyDescent="0.35">
      <c r="A61" s="13">
        <v>40627</v>
      </c>
      <c r="B61">
        <v>20881.099999999999</v>
      </c>
      <c r="C61">
        <f t="shared" si="3"/>
        <v>20616.756999999998</v>
      </c>
      <c r="D61" s="36">
        <f t="shared" si="4"/>
        <v>1.2821754653265849E-2</v>
      </c>
      <c r="E61">
        <f t="shared" si="0"/>
        <v>264.34300000000076</v>
      </c>
      <c r="F61">
        <f t="shared" si="1"/>
        <v>69877.221649000407</v>
      </c>
      <c r="G61" s="14">
        <f t="shared" si="2"/>
        <v>1.2659438439545846E-2</v>
      </c>
    </row>
    <row r="62" spans="1:7" x14ac:dyDescent="0.35">
      <c r="A62" s="13">
        <v>40634</v>
      </c>
      <c r="B62">
        <v>20398.09</v>
      </c>
      <c r="C62">
        <f t="shared" si="3"/>
        <v>20796.898999999998</v>
      </c>
      <c r="D62" s="36">
        <f t="shared" si="4"/>
        <v>-1.9176368553792456E-2</v>
      </c>
      <c r="E62">
        <f t="shared" si="0"/>
        <v>398.80899999999747</v>
      </c>
      <c r="F62">
        <f t="shared" si="1"/>
        <v>159048.61848099797</v>
      </c>
      <c r="G62" s="14">
        <f t="shared" si="2"/>
        <v>1.9551291321883445E-2</v>
      </c>
    </row>
    <row r="63" spans="1:7" x14ac:dyDescent="0.35">
      <c r="A63" s="13">
        <v>40641</v>
      </c>
      <c r="B63">
        <v>23873.79</v>
      </c>
      <c r="C63">
        <f t="shared" si="3"/>
        <v>20530.220999999998</v>
      </c>
      <c r="D63" s="36">
        <f t="shared" si="4"/>
        <v>0.16286083817607233</v>
      </c>
      <c r="E63">
        <f t="shared" si="0"/>
        <v>3343.5690000000031</v>
      </c>
      <c r="F63">
        <f t="shared" si="1"/>
        <v>11179453.657761021</v>
      </c>
      <c r="G63" s="14">
        <f t="shared" si="2"/>
        <v>0.14005187278601358</v>
      </c>
    </row>
    <row r="64" spans="1:7" x14ac:dyDescent="0.35">
      <c r="A64" s="13">
        <v>40648</v>
      </c>
      <c r="B64">
        <v>28762.37</v>
      </c>
      <c r="C64">
        <f t="shared" si="3"/>
        <v>22232.542000000001</v>
      </c>
      <c r="D64" s="36">
        <f t="shared" si="4"/>
        <v>0.29370586593291925</v>
      </c>
      <c r="E64">
        <f t="shared" si="0"/>
        <v>6529.8279999999977</v>
      </c>
      <c r="F64">
        <f t="shared" si="1"/>
        <v>42638653.709583968</v>
      </c>
      <c r="G64" s="14">
        <f t="shared" si="2"/>
        <v>0.22702677143781955</v>
      </c>
    </row>
    <row r="65" spans="1:7" x14ac:dyDescent="0.35">
      <c r="A65" s="13">
        <v>40655</v>
      </c>
      <c r="B65">
        <v>50510.31</v>
      </c>
      <c r="C65">
        <f t="shared" si="3"/>
        <v>25622.940000000002</v>
      </c>
      <c r="D65" s="36">
        <f t="shared" si="4"/>
        <v>0.97129252146709133</v>
      </c>
      <c r="E65">
        <f t="shared" si="0"/>
        <v>24887.369999999995</v>
      </c>
      <c r="F65">
        <f t="shared" si="1"/>
        <v>619381185.51689982</v>
      </c>
      <c r="G65" s="14">
        <f t="shared" si="2"/>
        <v>0.49271861526884309</v>
      </c>
    </row>
    <row r="66" spans="1:7" x14ac:dyDescent="0.35">
      <c r="A66" s="13">
        <v>40662</v>
      </c>
      <c r="B66">
        <v>41512.39</v>
      </c>
      <c r="C66">
        <f t="shared" si="3"/>
        <v>38658.623999999996</v>
      </c>
      <c r="D66" s="36">
        <f t="shared" si="4"/>
        <v>7.3819647590147142E-2</v>
      </c>
      <c r="E66">
        <f t="shared" si="0"/>
        <v>2853.7660000000033</v>
      </c>
      <c r="F66">
        <f t="shared" si="1"/>
        <v>8143980.382756019</v>
      </c>
      <c r="G66" s="14">
        <f t="shared" si="2"/>
        <v>6.8744921696871783E-2</v>
      </c>
    </row>
    <row r="67" spans="1:7" x14ac:dyDescent="0.35">
      <c r="A67" s="13">
        <v>40669</v>
      </c>
      <c r="B67">
        <v>20138.189999999999</v>
      </c>
      <c r="C67">
        <f t="shared" si="3"/>
        <v>41661.762000000002</v>
      </c>
      <c r="D67" s="36">
        <f t="shared" si="4"/>
        <v>-0.51662654114341111</v>
      </c>
      <c r="E67">
        <f t="shared" ref="E67:E130" si="5">AVERAGE(ABS(B67-C67))</f>
        <v>21523.572000000004</v>
      </c>
      <c r="F67">
        <f t="shared" ref="F67:F130" si="6">E67^2</f>
        <v>463264151.63918418</v>
      </c>
      <c r="G67" s="14">
        <f t="shared" ref="G67:G130" si="7">AVERAGE(ABS(B67-C67)/B67)</f>
        <v>1.0687937694499856</v>
      </c>
    </row>
    <row r="68" spans="1:7" x14ac:dyDescent="0.35">
      <c r="A68" s="13">
        <v>40676</v>
      </c>
      <c r="B68">
        <v>17235.150000000001</v>
      </c>
      <c r="C68">
        <f t="shared" si="3"/>
        <v>32624.873999999996</v>
      </c>
      <c r="D68" s="36">
        <f t="shared" si="4"/>
        <v>-0.47171749996643653</v>
      </c>
      <c r="E68">
        <f t="shared" si="5"/>
        <v>15389.723999999995</v>
      </c>
      <c r="F68">
        <f t="shared" si="6"/>
        <v>236843604.79617584</v>
      </c>
      <c r="G68" s="14">
        <f t="shared" si="7"/>
        <v>0.89292660638288579</v>
      </c>
    </row>
    <row r="69" spans="1:7" x14ac:dyDescent="0.35">
      <c r="A69" s="13">
        <v>40683</v>
      </c>
      <c r="B69">
        <v>15136.78</v>
      </c>
      <c r="C69">
        <f t="shared" si="3"/>
        <v>22961.510000000002</v>
      </c>
      <c r="D69" s="36">
        <f t="shared" si="4"/>
        <v>-0.34077593329010158</v>
      </c>
      <c r="E69">
        <f t="shared" si="5"/>
        <v>7824.7300000000014</v>
      </c>
      <c r="F69">
        <f t="shared" si="6"/>
        <v>61226399.57290002</v>
      </c>
      <c r="G69" s="14">
        <f t="shared" si="7"/>
        <v>0.51693490953822419</v>
      </c>
    </row>
    <row r="70" spans="1:7" x14ac:dyDescent="0.35">
      <c r="A70" s="13">
        <v>40690</v>
      </c>
      <c r="B70">
        <v>15741.6</v>
      </c>
      <c r="C70">
        <f t="shared" ref="C70:C133" si="8">0.2*B67+0.3*B68+0.5*B69</f>
        <v>16766.573</v>
      </c>
      <c r="D70" s="36">
        <f t="shared" ref="D70:D133" si="9">IF(C70=0,0,(B70/C70)-1)</f>
        <v>-6.1131931969639841E-2</v>
      </c>
      <c r="E70">
        <f t="shared" si="5"/>
        <v>1024.973</v>
      </c>
      <c r="F70">
        <f t="shared" si="6"/>
        <v>1050569.6507289999</v>
      </c>
      <c r="G70" s="14">
        <f t="shared" si="7"/>
        <v>6.5112377394928089E-2</v>
      </c>
    </row>
    <row r="71" spans="1:7" x14ac:dyDescent="0.35">
      <c r="A71" s="13">
        <v>40697</v>
      </c>
      <c r="B71">
        <v>16434.150000000001</v>
      </c>
      <c r="C71">
        <f t="shared" si="8"/>
        <v>15858.864000000001</v>
      </c>
      <c r="D71" s="36">
        <f t="shared" si="9"/>
        <v>3.627535995011999E-2</v>
      </c>
      <c r="E71">
        <f t="shared" si="5"/>
        <v>575.28600000000006</v>
      </c>
      <c r="F71">
        <f t="shared" si="6"/>
        <v>330953.98179600009</v>
      </c>
      <c r="G71" s="14">
        <f t="shared" si="7"/>
        <v>3.5005522037951459E-2</v>
      </c>
    </row>
    <row r="72" spans="1:7" x14ac:dyDescent="0.35">
      <c r="A72" s="13">
        <v>40704</v>
      </c>
      <c r="B72">
        <v>15883.52</v>
      </c>
      <c r="C72">
        <f t="shared" si="8"/>
        <v>15966.911</v>
      </c>
      <c r="D72" s="36">
        <f t="shared" si="9"/>
        <v>-5.2227384495348028E-3</v>
      </c>
      <c r="E72">
        <f t="shared" si="5"/>
        <v>83.390999999999622</v>
      </c>
      <c r="F72">
        <f t="shared" si="6"/>
        <v>6954.0588809999372</v>
      </c>
      <c r="G72" s="14">
        <f t="shared" si="7"/>
        <v>5.2501586550084377E-3</v>
      </c>
    </row>
    <row r="73" spans="1:7" x14ac:dyDescent="0.35">
      <c r="A73" s="13">
        <v>40711</v>
      </c>
      <c r="B73">
        <v>14978.09</v>
      </c>
      <c r="C73">
        <f t="shared" si="8"/>
        <v>16020.325000000001</v>
      </c>
      <c r="D73" s="36">
        <f t="shared" si="9"/>
        <v>-6.5057044722875546E-2</v>
      </c>
      <c r="E73">
        <f t="shared" si="5"/>
        <v>1042.2350000000006</v>
      </c>
      <c r="F73">
        <f t="shared" si="6"/>
        <v>1086253.7952250012</v>
      </c>
      <c r="G73" s="14">
        <f t="shared" si="7"/>
        <v>6.9583972322238716E-2</v>
      </c>
    </row>
    <row r="74" spans="1:7" x14ac:dyDescent="0.35">
      <c r="A74" s="13">
        <v>40718</v>
      </c>
      <c r="B74">
        <v>15682.81</v>
      </c>
      <c r="C74">
        <f t="shared" si="8"/>
        <v>15540.931</v>
      </c>
      <c r="D74" s="36">
        <f t="shared" si="9"/>
        <v>9.1293758398385272E-3</v>
      </c>
      <c r="E74">
        <f t="shared" si="5"/>
        <v>141.878999999999</v>
      </c>
      <c r="F74">
        <f t="shared" si="6"/>
        <v>20129.650640999716</v>
      </c>
      <c r="G74" s="14">
        <f t="shared" si="7"/>
        <v>9.0467843454074236E-3</v>
      </c>
    </row>
    <row r="75" spans="1:7" x14ac:dyDescent="0.35">
      <c r="A75" s="13">
        <v>40725</v>
      </c>
      <c r="B75">
        <v>15363.5</v>
      </c>
      <c r="C75">
        <f t="shared" si="8"/>
        <v>15511.536</v>
      </c>
      <c r="D75" s="36">
        <f t="shared" si="9"/>
        <v>-9.5436067711154315E-3</v>
      </c>
      <c r="E75">
        <f t="shared" si="5"/>
        <v>148.03600000000006</v>
      </c>
      <c r="F75">
        <f t="shared" si="6"/>
        <v>21914.657296000016</v>
      </c>
      <c r="G75" s="14">
        <f t="shared" si="7"/>
        <v>9.6355648127054421E-3</v>
      </c>
    </row>
    <row r="76" spans="1:7" x14ac:dyDescent="0.35">
      <c r="A76" s="13">
        <v>40732</v>
      </c>
      <c r="B76">
        <v>16148.87</v>
      </c>
      <c r="C76">
        <f t="shared" si="8"/>
        <v>15382.210999999999</v>
      </c>
      <c r="D76" s="36">
        <f t="shared" si="9"/>
        <v>4.9840624341975337E-2</v>
      </c>
      <c r="E76">
        <f t="shared" si="5"/>
        <v>766.65900000000147</v>
      </c>
      <c r="F76">
        <f t="shared" si="6"/>
        <v>587766.02228100225</v>
      </c>
      <c r="G76" s="14">
        <f t="shared" si="7"/>
        <v>4.7474467253746017E-2</v>
      </c>
    </row>
    <row r="77" spans="1:7" x14ac:dyDescent="0.35">
      <c r="A77" s="13">
        <v>40739</v>
      </c>
      <c r="B77">
        <v>15654.85</v>
      </c>
      <c r="C77">
        <f t="shared" si="8"/>
        <v>15820.047</v>
      </c>
      <c r="D77" s="36">
        <f t="shared" si="9"/>
        <v>-1.0442257219589801E-2</v>
      </c>
      <c r="E77">
        <f t="shared" si="5"/>
        <v>165.19700000000012</v>
      </c>
      <c r="F77">
        <f t="shared" si="6"/>
        <v>27290.04880900004</v>
      </c>
      <c r="G77" s="14">
        <f t="shared" si="7"/>
        <v>1.0552448602190383E-2</v>
      </c>
    </row>
    <row r="78" spans="1:7" x14ac:dyDescent="0.35">
      <c r="A78" s="13">
        <v>40746</v>
      </c>
      <c r="B78">
        <v>15766.6</v>
      </c>
      <c r="C78">
        <f t="shared" si="8"/>
        <v>15744.786</v>
      </c>
      <c r="D78" s="36">
        <f t="shared" si="9"/>
        <v>1.3854745310606376E-3</v>
      </c>
      <c r="E78">
        <f t="shared" si="5"/>
        <v>21.814000000000306</v>
      </c>
      <c r="F78">
        <f t="shared" si="6"/>
        <v>475.85059600001335</v>
      </c>
      <c r="G78" s="14">
        <f t="shared" si="7"/>
        <v>1.3835576471782315E-3</v>
      </c>
    </row>
    <row r="79" spans="1:7" x14ac:dyDescent="0.35">
      <c r="A79" s="13">
        <v>40753</v>
      </c>
      <c r="B79">
        <v>15922.41</v>
      </c>
      <c r="C79">
        <f t="shared" si="8"/>
        <v>15809.529</v>
      </c>
      <c r="D79" s="36">
        <f t="shared" si="9"/>
        <v>7.140060908835455E-3</v>
      </c>
      <c r="E79">
        <f t="shared" si="5"/>
        <v>112.8809999999994</v>
      </c>
      <c r="F79">
        <f t="shared" si="6"/>
        <v>12742.120160999866</v>
      </c>
      <c r="G79" s="14">
        <f t="shared" si="7"/>
        <v>7.0894418621301305E-3</v>
      </c>
    </row>
    <row r="80" spans="1:7" x14ac:dyDescent="0.35">
      <c r="A80" s="13">
        <v>40760</v>
      </c>
      <c r="B80">
        <v>15295.55</v>
      </c>
      <c r="C80">
        <f t="shared" si="8"/>
        <v>15822.154999999999</v>
      </c>
      <c r="D80" s="36">
        <f t="shared" si="9"/>
        <v>-3.3282760787010313E-2</v>
      </c>
      <c r="E80">
        <f t="shared" si="5"/>
        <v>526.60499999999956</v>
      </c>
      <c r="F80">
        <f t="shared" si="6"/>
        <v>277312.82602499955</v>
      </c>
      <c r="G80" s="14">
        <f t="shared" si="7"/>
        <v>3.4428641009966926E-2</v>
      </c>
    </row>
    <row r="81" spans="1:7" x14ac:dyDescent="0.35">
      <c r="A81" s="13">
        <v>40767</v>
      </c>
      <c r="B81">
        <v>14539.79</v>
      </c>
      <c r="C81">
        <f t="shared" si="8"/>
        <v>15577.817999999999</v>
      </c>
      <c r="D81" s="36">
        <f t="shared" si="9"/>
        <v>-6.6635006263393137E-2</v>
      </c>
      <c r="E81">
        <f t="shared" si="5"/>
        <v>1038.0279999999984</v>
      </c>
      <c r="F81">
        <f t="shared" si="6"/>
        <v>1077502.1287839967</v>
      </c>
      <c r="G81" s="14">
        <f t="shared" si="7"/>
        <v>7.1392227810717926E-2</v>
      </c>
    </row>
    <row r="82" spans="1:7" x14ac:dyDescent="0.35">
      <c r="A82" s="13">
        <v>40774</v>
      </c>
      <c r="B82">
        <v>14689.24</v>
      </c>
      <c r="C82">
        <f t="shared" si="8"/>
        <v>15043.042000000001</v>
      </c>
      <c r="D82" s="36">
        <f t="shared" si="9"/>
        <v>-2.3519312117854962E-2</v>
      </c>
      <c r="E82">
        <f t="shared" si="5"/>
        <v>353.8020000000015</v>
      </c>
      <c r="F82">
        <f t="shared" si="6"/>
        <v>125175.85520400105</v>
      </c>
      <c r="G82" s="14">
        <f t="shared" si="7"/>
        <v>2.4085793410687107E-2</v>
      </c>
    </row>
    <row r="83" spans="1:7" x14ac:dyDescent="0.35">
      <c r="A83" s="13">
        <v>40781</v>
      </c>
      <c r="B83">
        <v>14537.37</v>
      </c>
      <c r="C83">
        <f t="shared" si="8"/>
        <v>14765.667000000001</v>
      </c>
      <c r="D83" s="36">
        <f t="shared" si="9"/>
        <v>-1.5461340148061109E-2</v>
      </c>
      <c r="E83">
        <f t="shared" si="5"/>
        <v>228.29700000000048</v>
      </c>
      <c r="F83">
        <f t="shared" si="6"/>
        <v>52119.52020900022</v>
      </c>
      <c r="G83" s="14">
        <f t="shared" si="7"/>
        <v>1.5704147311377537E-2</v>
      </c>
    </row>
    <row r="84" spans="1:7" x14ac:dyDescent="0.35">
      <c r="A84" s="13">
        <v>40788</v>
      </c>
      <c r="B84">
        <v>15277.27</v>
      </c>
      <c r="C84">
        <f t="shared" si="8"/>
        <v>14583.415000000001</v>
      </c>
      <c r="D84" s="36">
        <f t="shared" si="9"/>
        <v>4.7578362132600693E-2</v>
      </c>
      <c r="E84">
        <f t="shared" si="5"/>
        <v>693.85499999999956</v>
      </c>
      <c r="F84">
        <f t="shared" si="6"/>
        <v>481434.76102499937</v>
      </c>
      <c r="G84" s="14">
        <f t="shared" si="7"/>
        <v>4.5417473148016599E-2</v>
      </c>
    </row>
    <row r="85" spans="1:7" x14ac:dyDescent="0.35">
      <c r="A85" s="13">
        <v>40795</v>
      </c>
      <c r="B85">
        <v>17746.68</v>
      </c>
      <c r="C85">
        <f t="shared" si="8"/>
        <v>14937.694</v>
      </c>
      <c r="D85" s="36">
        <f t="shared" si="9"/>
        <v>0.18804682971816145</v>
      </c>
      <c r="E85">
        <f t="shared" si="5"/>
        <v>2808.9860000000008</v>
      </c>
      <c r="F85">
        <f t="shared" si="6"/>
        <v>7890402.3481960045</v>
      </c>
      <c r="G85" s="14">
        <f t="shared" si="7"/>
        <v>0.15828233787953583</v>
      </c>
    </row>
    <row r="86" spans="1:7" x14ac:dyDescent="0.35">
      <c r="A86" s="13">
        <v>40802</v>
      </c>
      <c r="B86">
        <v>18535.48</v>
      </c>
      <c r="C86">
        <f t="shared" si="8"/>
        <v>16363.994999999999</v>
      </c>
      <c r="D86" s="36">
        <f t="shared" si="9"/>
        <v>0.13269895279239585</v>
      </c>
      <c r="E86">
        <f t="shared" si="5"/>
        <v>2171.4850000000006</v>
      </c>
      <c r="F86">
        <f t="shared" si="6"/>
        <v>4715347.1052250024</v>
      </c>
      <c r="G86" s="14">
        <f t="shared" si="7"/>
        <v>0.11715288732743909</v>
      </c>
    </row>
    <row r="87" spans="1:7" x14ac:dyDescent="0.35">
      <c r="A87" s="13">
        <v>40809</v>
      </c>
      <c r="B87">
        <v>17859.3</v>
      </c>
      <c r="C87">
        <f t="shared" si="8"/>
        <v>17647.198</v>
      </c>
      <c r="D87" s="36">
        <f t="shared" si="9"/>
        <v>1.2019018543340421E-2</v>
      </c>
      <c r="E87">
        <f t="shared" si="5"/>
        <v>212.10199999999895</v>
      </c>
      <c r="F87">
        <f t="shared" si="6"/>
        <v>44987.258403999556</v>
      </c>
      <c r="G87" s="14">
        <f t="shared" si="7"/>
        <v>1.1876277345696582E-2</v>
      </c>
    </row>
    <row r="88" spans="1:7" x14ac:dyDescent="0.35">
      <c r="A88" s="13">
        <v>40816</v>
      </c>
      <c r="B88">
        <v>18337.68</v>
      </c>
      <c r="C88">
        <f t="shared" si="8"/>
        <v>18039.629999999997</v>
      </c>
      <c r="D88" s="36">
        <f t="shared" si="9"/>
        <v>1.6521957490259087E-2</v>
      </c>
      <c r="E88">
        <f t="shared" si="5"/>
        <v>298.05000000000291</v>
      </c>
      <c r="F88">
        <f t="shared" si="6"/>
        <v>88833.802500001737</v>
      </c>
      <c r="G88" s="14">
        <f t="shared" si="7"/>
        <v>1.625341918934145E-2</v>
      </c>
    </row>
    <row r="89" spans="1:7" x14ac:dyDescent="0.35">
      <c r="A89" s="13">
        <v>40823</v>
      </c>
      <c r="B89">
        <v>20797.580000000002</v>
      </c>
      <c r="C89">
        <f t="shared" si="8"/>
        <v>18233.726000000002</v>
      </c>
      <c r="D89" s="36">
        <f t="shared" si="9"/>
        <v>0.14061053676028701</v>
      </c>
      <c r="E89">
        <f t="shared" si="5"/>
        <v>2563.8539999999994</v>
      </c>
      <c r="F89">
        <f t="shared" si="6"/>
        <v>6573347.3333159965</v>
      </c>
      <c r="G89" s="14">
        <f t="shared" si="7"/>
        <v>0.12327655429141271</v>
      </c>
    </row>
    <row r="90" spans="1:7" x14ac:dyDescent="0.35">
      <c r="A90" s="13">
        <v>40830</v>
      </c>
      <c r="B90">
        <v>23077.55</v>
      </c>
      <c r="C90">
        <f t="shared" si="8"/>
        <v>19471.954000000002</v>
      </c>
      <c r="D90" s="36">
        <f t="shared" si="9"/>
        <v>0.1851686790139293</v>
      </c>
      <c r="E90">
        <f t="shared" si="5"/>
        <v>3605.5959999999977</v>
      </c>
      <c r="F90">
        <f t="shared" si="6"/>
        <v>13000322.515215984</v>
      </c>
      <c r="G90" s="14">
        <f t="shared" si="7"/>
        <v>0.15623824886090584</v>
      </c>
    </row>
    <row r="91" spans="1:7" x14ac:dyDescent="0.35">
      <c r="A91" s="13">
        <v>40837</v>
      </c>
      <c r="B91">
        <v>23351.8</v>
      </c>
      <c r="C91">
        <f t="shared" si="8"/>
        <v>21445.584999999999</v>
      </c>
      <c r="D91" s="36">
        <f t="shared" si="9"/>
        <v>8.8886127377733049E-2</v>
      </c>
      <c r="E91">
        <f t="shared" si="5"/>
        <v>1906.2150000000001</v>
      </c>
      <c r="F91">
        <f t="shared" si="6"/>
        <v>3633655.6262250007</v>
      </c>
      <c r="G91" s="14">
        <f t="shared" si="7"/>
        <v>8.1630324000719443E-2</v>
      </c>
    </row>
    <row r="92" spans="1:7" x14ac:dyDescent="0.35">
      <c r="A92" s="13">
        <v>40844</v>
      </c>
      <c r="B92">
        <v>31579.9</v>
      </c>
      <c r="C92">
        <f t="shared" si="8"/>
        <v>22758.680999999997</v>
      </c>
      <c r="D92" s="36">
        <f t="shared" si="9"/>
        <v>0.38759798953199476</v>
      </c>
      <c r="E92">
        <f t="shared" si="5"/>
        <v>8821.2190000000046</v>
      </c>
      <c r="F92">
        <f t="shared" si="6"/>
        <v>77813904.645961076</v>
      </c>
      <c r="G92" s="14">
        <f t="shared" si="7"/>
        <v>0.27933017520638143</v>
      </c>
    </row>
    <row r="93" spans="1:7" x14ac:dyDescent="0.35">
      <c r="A93" s="13">
        <v>40851</v>
      </c>
      <c r="B93">
        <v>39886.06</v>
      </c>
      <c r="C93">
        <f t="shared" si="8"/>
        <v>27411</v>
      </c>
      <c r="D93" s="36">
        <f t="shared" si="9"/>
        <v>0.45511145160701894</v>
      </c>
      <c r="E93">
        <f t="shared" si="5"/>
        <v>12475.059999999998</v>
      </c>
      <c r="F93">
        <f t="shared" si="6"/>
        <v>155627122.00359994</v>
      </c>
      <c r="G93" s="14">
        <f t="shared" si="7"/>
        <v>0.3127674179901449</v>
      </c>
    </row>
    <row r="94" spans="1:7" x14ac:dyDescent="0.35">
      <c r="A94" s="13">
        <v>40858</v>
      </c>
      <c r="B94">
        <v>18689.54</v>
      </c>
      <c r="C94">
        <f t="shared" si="8"/>
        <v>34087.360000000001</v>
      </c>
      <c r="D94" s="36">
        <f t="shared" si="9"/>
        <v>-0.45171641335673984</v>
      </c>
      <c r="E94">
        <f t="shared" si="5"/>
        <v>15397.82</v>
      </c>
      <c r="F94">
        <f t="shared" si="6"/>
        <v>237092860.75239998</v>
      </c>
      <c r="G94" s="14">
        <f t="shared" si="7"/>
        <v>0.82387367479349405</v>
      </c>
    </row>
    <row r="95" spans="1:7" x14ac:dyDescent="0.35">
      <c r="A95" s="13">
        <v>40865</v>
      </c>
      <c r="B95">
        <v>19050.66</v>
      </c>
      <c r="C95">
        <f t="shared" si="8"/>
        <v>27626.567999999999</v>
      </c>
      <c r="D95" s="36">
        <f t="shared" si="9"/>
        <v>-0.31042248896062663</v>
      </c>
      <c r="E95">
        <f t="shared" si="5"/>
        <v>8575.9079999999994</v>
      </c>
      <c r="F95">
        <f t="shared" si="6"/>
        <v>73546198.024463996</v>
      </c>
      <c r="G95" s="14">
        <f t="shared" si="7"/>
        <v>0.45016330142892685</v>
      </c>
    </row>
    <row r="96" spans="1:7" x14ac:dyDescent="0.35">
      <c r="A96" s="13">
        <v>40872</v>
      </c>
      <c r="B96">
        <v>20911.25</v>
      </c>
      <c r="C96">
        <f t="shared" si="8"/>
        <v>23109.404000000002</v>
      </c>
      <c r="D96" s="36">
        <f t="shared" si="9"/>
        <v>-9.5119458727711104E-2</v>
      </c>
      <c r="E96">
        <f t="shared" si="5"/>
        <v>2198.1540000000023</v>
      </c>
      <c r="F96">
        <f t="shared" si="6"/>
        <v>4831881.0077160103</v>
      </c>
      <c r="G96" s="14">
        <f t="shared" si="7"/>
        <v>0.10511824974595026</v>
      </c>
    </row>
    <row r="97" spans="1:7" x14ac:dyDescent="0.35">
      <c r="A97" s="13">
        <v>40879</v>
      </c>
      <c r="B97">
        <v>25293.49</v>
      </c>
      <c r="C97">
        <f t="shared" si="8"/>
        <v>19908.731</v>
      </c>
      <c r="D97" s="36">
        <f t="shared" si="9"/>
        <v>0.27047223652778274</v>
      </c>
      <c r="E97">
        <f t="shared" si="5"/>
        <v>5384.7590000000018</v>
      </c>
      <c r="F97">
        <f t="shared" si="6"/>
        <v>28995629.488081019</v>
      </c>
      <c r="G97" s="14">
        <f t="shared" si="7"/>
        <v>0.21289110360017544</v>
      </c>
    </row>
    <row r="98" spans="1:7" x14ac:dyDescent="0.35">
      <c r="A98" s="13">
        <v>40886</v>
      </c>
      <c r="B98">
        <v>33305.919999999998</v>
      </c>
      <c r="C98">
        <f t="shared" si="8"/>
        <v>22730.252</v>
      </c>
      <c r="D98" s="36">
        <f t="shared" si="9"/>
        <v>0.46526840089586319</v>
      </c>
      <c r="E98">
        <f t="shared" si="5"/>
        <v>10575.667999999998</v>
      </c>
      <c r="F98">
        <f t="shared" si="6"/>
        <v>111844753.64622395</v>
      </c>
      <c r="G98" s="14">
        <f t="shared" si="7"/>
        <v>0.31753117764049149</v>
      </c>
    </row>
    <row r="99" spans="1:7" x14ac:dyDescent="0.35">
      <c r="A99" s="13">
        <v>40893</v>
      </c>
      <c r="B99">
        <v>45773.03</v>
      </c>
      <c r="C99">
        <f t="shared" si="8"/>
        <v>28423.256999999998</v>
      </c>
      <c r="D99" s="36">
        <f t="shared" si="9"/>
        <v>0.61040763203175485</v>
      </c>
      <c r="E99">
        <f t="shared" si="5"/>
        <v>17349.773000000001</v>
      </c>
      <c r="F99">
        <f t="shared" si="6"/>
        <v>301014623.15152901</v>
      </c>
      <c r="G99" s="14">
        <f t="shared" si="7"/>
        <v>0.37903920714883854</v>
      </c>
    </row>
    <row r="100" spans="1:7" x14ac:dyDescent="0.35">
      <c r="A100" s="13">
        <v>40900</v>
      </c>
      <c r="B100">
        <v>46788.75</v>
      </c>
      <c r="C100">
        <f t="shared" si="8"/>
        <v>37936.989000000001</v>
      </c>
      <c r="D100" s="36">
        <f t="shared" si="9"/>
        <v>0.23332797971921271</v>
      </c>
      <c r="E100">
        <f t="shared" si="5"/>
        <v>8851.7609999999986</v>
      </c>
      <c r="F100">
        <f t="shared" si="6"/>
        <v>78353672.801120982</v>
      </c>
      <c r="G100" s="14">
        <f t="shared" si="7"/>
        <v>0.18918566963212308</v>
      </c>
    </row>
    <row r="101" spans="1:7" x14ac:dyDescent="0.35">
      <c r="A101" s="13">
        <v>40907</v>
      </c>
      <c r="B101">
        <v>23350.880000000001</v>
      </c>
      <c r="C101">
        <f t="shared" si="8"/>
        <v>43787.468000000001</v>
      </c>
      <c r="D101" s="36">
        <f t="shared" si="9"/>
        <v>-0.4667223051125039</v>
      </c>
      <c r="E101">
        <f t="shared" si="5"/>
        <v>20436.588</v>
      </c>
      <c r="F101">
        <f t="shared" si="6"/>
        <v>417654129.08174402</v>
      </c>
      <c r="G101" s="14">
        <f t="shared" si="7"/>
        <v>0.87519562431908338</v>
      </c>
    </row>
    <row r="102" spans="1:7" x14ac:dyDescent="0.35">
      <c r="A102" s="13">
        <v>40914</v>
      </c>
      <c r="B102">
        <v>16567.689999999999</v>
      </c>
      <c r="C102">
        <f t="shared" si="8"/>
        <v>34866.671000000002</v>
      </c>
      <c r="D102" s="36">
        <f t="shared" si="9"/>
        <v>-0.52482730570979963</v>
      </c>
      <c r="E102">
        <f t="shared" si="5"/>
        <v>18298.981000000003</v>
      </c>
      <c r="F102">
        <f t="shared" si="6"/>
        <v>334852705.6383611</v>
      </c>
      <c r="G102" s="14">
        <f t="shared" si="7"/>
        <v>1.1044980320129121</v>
      </c>
    </row>
    <row r="103" spans="1:7" x14ac:dyDescent="0.35">
      <c r="A103" s="13">
        <v>40921</v>
      </c>
      <c r="B103">
        <v>16894.400000000001</v>
      </c>
      <c r="C103">
        <f t="shared" si="8"/>
        <v>24646.858999999997</v>
      </c>
      <c r="D103" s="36">
        <f t="shared" si="9"/>
        <v>-0.31454145942085343</v>
      </c>
      <c r="E103">
        <f t="shared" si="5"/>
        <v>7752.4589999999953</v>
      </c>
      <c r="F103">
        <f t="shared" si="6"/>
        <v>60100620.546680927</v>
      </c>
      <c r="G103" s="14">
        <f t="shared" si="7"/>
        <v>0.45887743867790476</v>
      </c>
    </row>
    <row r="104" spans="1:7" x14ac:dyDescent="0.35">
      <c r="A104" s="13">
        <v>40928</v>
      </c>
      <c r="B104">
        <v>18365.099999999999</v>
      </c>
      <c r="C104">
        <f t="shared" si="8"/>
        <v>18087.683000000001</v>
      </c>
      <c r="D104" s="36">
        <f t="shared" si="9"/>
        <v>1.5337343096957001E-2</v>
      </c>
      <c r="E104">
        <f t="shared" si="5"/>
        <v>277.41699999999764</v>
      </c>
      <c r="F104">
        <f t="shared" si="6"/>
        <v>76960.191888998699</v>
      </c>
      <c r="G104" s="14">
        <f t="shared" si="7"/>
        <v>1.5105662370474305E-2</v>
      </c>
    </row>
    <row r="105" spans="1:7" x14ac:dyDescent="0.35">
      <c r="A105" s="13">
        <v>40935</v>
      </c>
      <c r="B105">
        <v>18378.16</v>
      </c>
      <c r="C105">
        <f t="shared" si="8"/>
        <v>17564.407999999999</v>
      </c>
      <c r="D105" s="36">
        <f t="shared" si="9"/>
        <v>4.6329600177814179E-2</v>
      </c>
      <c r="E105">
        <f t="shared" si="5"/>
        <v>813.75200000000041</v>
      </c>
      <c r="F105">
        <f t="shared" si="6"/>
        <v>662192.31750400062</v>
      </c>
      <c r="G105" s="14">
        <f t="shared" si="7"/>
        <v>4.4278208482241989E-2</v>
      </c>
    </row>
    <row r="106" spans="1:7" x14ac:dyDescent="0.35">
      <c r="A106" s="13">
        <v>40942</v>
      </c>
      <c r="B106">
        <v>23510.49</v>
      </c>
      <c r="C106">
        <f t="shared" si="8"/>
        <v>18077.489999999998</v>
      </c>
      <c r="D106" s="36">
        <f t="shared" si="9"/>
        <v>0.30053951073959961</v>
      </c>
      <c r="E106">
        <f t="shared" si="5"/>
        <v>5433.0000000000036</v>
      </c>
      <c r="F106">
        <f t="shared" si="6"/>
        <v>29517489.000000041</v>
      </c>
      <c r="G106" s="14">
        <f t="shared" si="7"/>
        <v>0.23108833546217042</v>
      </c>
    </row>
    <row r="107" spans="1:7" x14ac:dyDescent="0.35">
      <c r="A107" s="13">
        <v>40949</v>
      </c>
      <c r="B107">
        <v>36988.49</v>
      </c>
      <c r="C107">
        <f t="shared" si="8"/>
        <v>20941.713</v>
      </c>
      <c r="D107" s="36">
        <f t="shared" si="9"/>
        <v>0.76625904480688845</v>
      </c>
      <c r="E107">
        <f t="shared" si="5"/>
        <v>16046.776999999998</v>
      </c>
      <c r="F107">
        <f t="shared" si="6"/>
        <v>257499052.08772895</v>
      </c>
      <c r="G107" s="14">
        <f t="shared" si="7"/>
        <v>0.43383163248891748</v>
      </c>
    </row>
    <row r="108" spans="1:7" x14ac:dyDescent="0.35">
      <c r="A108" s="13">
        <v>40956</v>
      </c>
      <c r="B108">
        <v>54060.1</v>
      </c>
      <c r="C108">
        <f t="shared" si="8"/>
        <v>29223.023999999998</v>
      </c>
      <c r="D108" s="36">
        <f t="shared" si="9"/>
        <v>0.84991464264615479</v>
      </c>
      <c r="E108">
        <f t="shared" si="5"/>
        <v>24837.076000000001</v>
      </c>
      <c r="F108">
        <f t="shared" si="6"/>
        <v>616880344.22977602</v>
      </c>
      <c r="G108" s="14">
        <f t="shared" si="7"/>
        <v>0.45943451824913384</v>
      </c>
    </row>
    <row r="109" spans="1:7" x14ac:dyDescent="0.35">
      <c r="A109" s="13">
        <v>40963</v>
      </c>
      <c r="B109">
        <v>20124.22</v>
      </c>
      <c r="C109">
        <f t="shared" si="8"/>
        <v>42828.695</v>
      </c>
      <c r="D109" s="36">
        <f t="shared" si="9"/>
        <v>-0.53012297012551979</v>
      </c>
      <c r="E109">
        <f t="shared" si="5"/>
        <v>22704.474999999999</v>
      </c>
      <c r="F109">
        <f t="shared" si="6"/>
        <v>515493185.02562493</v>
      </c>
      <c r="G109" s="14">
        <f t="shared" si="7"/>
        <v>1.1282163979523181</v>
      </c>
    </row>
    <row r="110" spans="1:7" x14ac:dyDescent="0.35">
      <c r="A110" s="13">
        <v>40970</v>
      </c>
      <c r="B110">
        <v>20113.03</v>
      </c>
      <c r="C110">
        <f t="shared" si="8"/>
        <v>33677.838000000003</v>
      </c>
      <c r="D110" s="36">
        <f t="shared" si="9"/>
        <v>-0.40278143745450656</v>
      </c>
      <c r="E110">
        <f t="shared" si="5"/>
        <v>13564.808000000005</v>
      </c>
      <c r="F110">
        <f t="shared" si="6"/>
        <v>184004016.07686412</v>
      </c>
      <c r="G110" s="14">
        <f t="shared" si="7"/>
        <v>0.67442886526793855</v>
      </c>
    </row>
    <row r="111" spans="1:7" x14ac:dyDescent="0.35">
      <c r="A111" s="13">
        <v>40977</v>
      </c>
      <c r="B111">
        <v>21140.07</v>
      </c>
      <c r="C111">
        <f t="shared" si="8"/>
        <v>26905.800999999999</v>
      </c>
      <c r="D111" s="36">
        <f t="shared" si="9"/>
        <v>-0.21429322992465449</v>
      </c>
      <c r="E111">
        <f t="shared" si="5"/>
        <v>5765.7309999999998</v>
      </c>
      <c r="F111">
        <f t="shared" si="6"/>
        <v>33243653.964360997</v>
      </c>
      <c r="G111" s="14">
        <f t="shared" si="7"/>
        <v>0.27273944693655222</v>
      </c>
    </row>
    <row r="112" spans="1:7" x14ac:dyDescent="0.35">
      <c r="A112" s="13">
        <v>40984</v>
      </c>
      <c r="B112">
        <v>22366.880000000001</v>
      </c>
      <c r="C112">
        <f t="shared" si="8"/>
        <v>20628.788</v>
      </c>
      <c r="D112" s="36">
        <f t="shared" si="9"/>
        <v>8.4255652828464811E-2</v>
      </c>
      <c r="E112">
        <f t="shared" si="5"/>
        <v>1738.0920000000006</v>
      </c>
      <c r="F112">
        <f t="shared" si="6"/>
        <v>3020963.8004640019</v>
      </c>
      <c r="G112" s="14">
        <f t="shared" si="7"/>
        <v>7.7708290114669565E-2</v>
      </c>
    </row>
    <row r="113" spans="1:7" x14ac:dyDescent="0.35">
      <c r="A113" s="13">
        <v>40991</v>
      </c>
      <c r="B113">
        <v>22107.7</v>
      </c>
      <c r="C113">
        <f t="shared" si="8"/>
        <v>21548.067000000003</v>
      </c>
      <c r="D113" s="36">
        <f t="shared" si="9"/>
        <v>2.5971378314351812E-2</v>
      </c>
      <c r="E113">
        <f t="shared" si="5"/>
        <v>559.63299999999799</v>
      </c>
      <c r="F113">
        <f t="shared" si="6"/>
        <v>313189.09468899778</v>
      </c>
      <c r="G113" s="14">
        <f t="shared" si="7"/>
        <v>2.5313940391809096E-2</v>
      </c>
    </row>
    <row r="114" spans="1:7" x14ac:dyDescent="0.35">
      <c r="A114" s="13">
        <v>40998</v>
      </c>
      <c r="B114">
        <v>28952.86</v>
      </c>
      <c r="C114">
        <f t="shared" si="8"/>
        <v>21991.928</v>
      </c>
      <c r="D114" s="36">
        <f t="shared" si="9"/>
        <v>0.31652213484874991</v>
      </c>
      <c r="E114">
        <f t="shared" si="5"/>
        <v>6960.9320000000007</v>
      </c>
      <c r="F114">
        <f t="shared" si="6"/>
        <v>48454574.308624007</v>
      </c>
      <c r="G114" s="14">
        <f t="shared" si="7"/>
        <v>0.24042294958080138</v>
      </c>
    </row>
    <row r="115" spans="1:7" x14ac:dyDescent="0.35">
      <c r="A115" s="13">
        <v>41005</v>
      </c>
      <c r="B115">
        <v>57592.12</v>
      </c>
      <c r="C115">
        <f t="shared" si="8"/>
        <v>25582.116000000002</v>
      </c>
      <c r="D115" s="36">
        <f t="shared" si="9"/>
        <v>1.2512649070936899</v>
      </c>
      <c r="E115">
        <f t="shared" si="5"/>
        <v>32010.004000000001</v>
      </c>
      <c r="F115">
        <f t="shared" si="6"/>
        <v>1024640356.080016</v>
      </c>
      <c r="G115" s="14">
        <f t="shared" si="7"/>
        <v>0.55580527336031382</v>
      </c>
    </row>
    <row r="116" spans="1:7" x14ac:dyDescent="0.35">
      <c r="A116" s="13">
        <v>41012</v>
      </c>
      <c r="B116">
        <v>34684.21</v>
      </c>
      <c r="C116">
        <f t="shared" si="8"/>
        <v>41903.457999999999</v>
      </c>
      <c r="D116" s="36">
        <f t="shared" si="9"/>
        <v>-0.17228286982902463</v>
      </c>
      <c r="E116">
        <f t="shared" si="5"/>
        <v>7219.2479999999996</v>
      </c>
      <c r="F116">
        <f t="shared" si="6"/>
        <v>52117541.685503997</v>
      </c>
      <c r="G116" s="14">
        <f t="shared" si="7"/>
        <v>0.20814220649684684</v>
      </c>
    </row>
    <row r="117" spans="1:7" x14ac:dyDescent="0.35">
      <c r="A117" s="13">
        <v>41019</v>
      </c>
      <c r="B117">
        <v>16976.189999999999</v>
      </c>
      <c r="C117">
        <f t="shared" si="8"/>
        <v>40410.312999999995</v>
      </c>
      <c r="D117" s="36">
        <f t="shared" si="9"/>
        <v>-0.57990451595858716</v>
      </c>
      <c r="E117">
        <f t="shared" si="5"/>
        <v>23434.122999999996</v>
      </c>
      <c r="F117">
        <f t="shared" si="6"/>
        <v>549158120.77912879</v>
      </c>
      <c r="G117" s="14">
        <f t="shared" si="7"/>
        <v>1.3804112112317308</v>
      </c>
    </row>
    <row r="118" spans="1:7" x14ac:dyDescent="0.35">
      <c r="A118" s="13">
        <v>41026</v>
      </c>
      <c r="B118">
        <v>16347.6</v>
      </c>
      <c r="C118">
        <f t="shared" si="8"/>
        <v>30411.781999999999</v>
      </c>
      <c r="D118" s="36">
        <f t="shared" si="9"/>
        <v>-0.46245833276063864</v>
      </c>
      <c r="E118">
        <f t="shared" si="5"/>
        <v>14064.181999999999</v>
      </c>
      <c r="F118">
        <f t="shared" si="6"/>
        <v>197801215.32912397</v>
      </c>
      <c r="G118" s="14">
        <f t="shared" si="7"/>
        <v>0.86032090337419553</v>
      </c>
    </row>
    <row r="119" spans="1:7" x14ac:dyDescent="0.35">
      <c r="A119" s="13">
        <v>41033</v>
      </c>
      <c r="B119">
        <v>17147.439999999999</v>
      </c>
      <c r="C119">
        <f t="shared" si="8"/>
        <v>20203.499</v>
      </c>
      <c r="D119" s="36">
        <f t="shared" si="9"/>
        <v>-0.15126384791070102</v>
      </c>
      <c r="E119">
        <f t="shared" si="5"/>
        <v>3056.0590000000011</v>
      </c>
      <c r="F119">
        <f t="shared" si="6"/>
        <v>9339496.6114810072</v>
      </c>
      <c r="G119" s="14">
        <f t="shared" si="7"/>
        <v>0.17822246352808357</v>
      </c>
    </row>
    <row r="120" spans="1:7" x14ac:dyDescent="0.35">
      <c r="A120" s="13">
        <v>41040</v>
      </c>
      <c r="B120">
        <v>18164.2</v>
      </c>
      <c r="C120">
        <f t="shared" si="8"/>
        <v>16873.237999999998</v>
      </c>
      <c r="D120" s="36">
        <f t="shared" si="9"/>
        <v>7.6509440570920795E-2</v>
      </c>
      <c r="E120">
        <f t="shared" si="5"/>
        <v>1290.9620000000032</v>
      </c>
      <c r="F120">
        <f t="shared" si="6"/>
        <v>1666582.8854440083</v>
      </c>
      <c r="G120" s="14">
        <f t="shared" si="7"/>
        <v>7.1071778553418438E-2</v>
      </c>
    </row>
    <row r="121" spans="1:7" x14ac:dyDescent="0.35">
      <c r="A121" s="13">
        <v>41047</v>
      </c>
      <c r="B121">
        <v>18517.79</v>
      </c>
      <c r="C121">
        <f t="shared" si="8"/>
        <v>17495.851999999999</v>
      </c>
      <c r="D121" s="36">
        <f t="shared" si="9"/>
        <v>5.8410302053309771E-2</v>
      </c>
      <c r="E121">
        <f t="shared" si="5"/>
        <v>1021.9380000000019</v>
      </c>
      <c r="F121">
        <f t="shared" si="6"/>
        <v>1044357.2758440039</v>
      </c>
      <c r="G121" s="14">
        <f t="shared" si="7"/>
        <v>5.5186823049618874E-2</v>
      </c>
    </row>
    <row r="122" spans="1:7" x14ac:dyDescent="0.35">
      <c r="A122" s="13">
        <v>41054</v>
      </c>
      <c r="B122">
        <v>16963.55</v>
      </c>
      <c r="C122">
        <f t="shared" si="8"/>
        <v>18137.643</v>
      </c>
      <c r="D122" s="36">
        <f t="shared" si="9"/>
        <v>-6.4732391083008989E-2</v>
      </c>
      <c r="E122">
        <f t="shared" si="5"/>
        <v>1174.0930000000008</v>
      </c>
      <c r="F122">
        <f t="shared" si="6"/>
        <v>1378494.3726490019</v>
      </c>
      <c r="G122" s="14">
        <f t="shared" si="7"/>
        <v>6.9212694276846579E-2</v>
      </c>
    </row>
    <row r="123" spans="1:7" x14ac:dyDescent="0.35">
      <c r="A123" s="13">
        <v>41061</v>
      </c>
      <c r="B123">
        <v>16065.49</v>
      </c>
      <c r="C123">
        <f t="shared" si="8"/>
        <v>17669.951999999997</v>
      </c>
      <c r="D123" s="36">
        <f t="shared" si="9"/>
        <v>-9.0801718080501748E-2</v>
      </c>
      <c r="E123">
        <f t="shared" si="5"/>
        <v>1604.4619999999977</v>
      </c>
      <c r="F123">
        <f t="shared" si="6"/>
        <v>2574298.3094439926</v>
      </c>
      <c r="G123" s="14">
        <f t="shared" si="7"/>
        <v>9.9870094220593189E-2</v>
      </c>
    </row>
    <row r="124" spans="1:7" x14ac:dyDescent="0.35">
      <c r="A124" s="13">
        <v>41068</v>
      </c>
      <c r="B124">
        <v>17666</v>
      </c>
      <c r="C124">
        <f t="shared" si="8"/>
        <v>16825.367999999999</v>
      </c>
      <c r="D124" s="36">
        <f t="shared" si="9"/>
        <v>4.9962176161615135E-2</v>
      </c>
      <c r="E124">
        <f t="shared" si="5"/>
        <v>840.63200000000143</v>
      </c>
      <c r="F124">
        <f t="shared" si="6"/>
        <v>706662.1594240024</v>
      </c>
      <c r="G124" s="14">
        <f t="shared" si="7"/>
        <v>4.7584739046756565E-2</v>
      </c>
    </row>
    <row r="125" spans="1:7" x14ac:dyDescent="0.35">
      <c r="A125" s="13">
        <v>41075</v>
      </c>
      <c r="B125">
        <v>17558.82</v>
      </c>
      <c r="C125">
        <f t="shared" si="8"/>
        <v>17045.357</v>
      </c>
      <c r="D125" s="36">
        <f t="shared" si="9"/>
        <v>3.0123335052472111E-2</v>
      </c>
      <c r="E125">
        <f t="shared" si="5"/>
        <v>513.46299999999974</v>
      </c>
      <c r="F125">
        <f t="shared" si="6"/>
        <v>263644.2523689997</v>
      </c>
      <c r="G125" s="14">
        <f t="shared" si="7"/>
        <v>2.9242454789103124E-2</v>
      </c>
    </row>
    <row r="126" spans="1:7" x14ac:dyDescent="0.35">
      <c r="A126" s="13">
        <v>41082</v>
      </c>
      <c r="B126">
        <v>16633.41</v>
      </c>
      <c r="C126">
        <f t="shared" si="8"/>
        <v>17292.308000000001</v>
      </c>
      <c r="D126" s="36">
        <f t="shared" si="9"/>
        <v>-3.8103531350471065E-2</v>
      </c>
      <c r="E126">
        <f t="shared" si="5"/>
        <v>658.89800000000105</v>
      </c>
      <c r="F126">
        <f t="shared" si="6"/>
        <v>434146.57440400135</v>
      </c>
      <c r="G126" s="14">
        <f t="shared" si="7"/>
        <v>3.9612923627806988E-2</v>
      </c>
    </row>
    <row r="127" spans="1:7" x14ac:dyDescent="0.35">
      <c r="A127" s="13">
        <v>41089</v>
      </c>
      <c r="B127">
        <v>15722.82</v>
      </c>
      <c r="C127">
        <f t="shared" si="8"/>
        <v>17117.550999999999</v>
      </c>
      <c r="D127" s="36">
        <f t="shared" si="9"/>
        <v>-8.1479587821879362E-2</v>
      </c>
      <c r="E127">
        <f t="shared" si="5"/>
        <v>1394.7309999999998</v>
      </c>
      <c r="F127">
        <f t="shared" si="6"/>
        <v>1945274.5623609994</v>
      </c>
      <c r="G127" s="14">
        <f t="shared" si="7"/>
        <v>8.8707432890537438E-2</v>
      </c>
    </row>
    <row r="128" spans="1:7" x14ac:dyDescent="0.35">
      <c r="A128" s="13">
        <v>41096</v>
      </c>
      <c r="B128">
        <v>17823.37</v>
      </c>
      <c r="C128">
        <f t="shared" si="8"/>
        <v>16363.197</v>
      </c>
      <c r="D128" s="36">
        <f t="shared" si="9"/>
        <v>8.9235190409306941E-2</v>
      </c>
      <c r="E128">
        <f t="shared" si="5"/>
        <v>1460.1729999999989</v>
      </c>
      <c r="F128">
        <f t="shared" si="6"/>
        <v>2132105.1899289968</v>
      </c>
      <c r="G128" s="14">
        <f t="shared" si="7"/>
        <v>8.1924630415011246E-2</v>
      </c>
    </row>
    <row r="129" spans="1:7" x14ac:dyDescent="0.35">
      <c r="A129" s="13">
        <v>41103</v>
      </c>
      <c r="B129">
        <v>16566.18</v>
      </c>
      <c r="C129">
        <f t="shared" si="8"/>
        <v>16955.213</v>
      </c>
      <c r="D129" s="36">
        <f t="shared" si="9"/>
        <v>-2.2944742717180833E-2</v>
      </c>
      <c r="E129">
        <f t="shared" si="5"/>
        <v>389.03299999999945</v>
      </c>
      <c r="F129">
        <f t="shared" si="6"/>
        <v>151346.67508899956</v>
      </c>
      <c r="G129" s="14">
        <f t="shared" si="7"/>
        <v>2.3483567122897338E-2</v>
      </c>
    </row>
    <row r="130" spans="1:7" x14ac:dyDescent="0.35">
      <c r="A130" s="13">
        <v>41110</v>
      </c>
      <c r="B130">
        <v>16348.06</v>
      </c>
      <c r="C130">
        <f t="shared" si="8"/>
        <v>16774.665000000001</v>
      </c>
      <c r="D130" s="36">
        <f t="shared" si="9"/>
        <v>-2.5431506381796698E-2</v>
      </c>
      <c r="E130">
        <f t="shared" si="5"/>
        <v>426.60500000000138</v>
      </c>
      <c r="F130">
        <f t="shared" si="6"/>
        <v>181991.82602500118</v>
      </c>
      <c r="G130" s="14">
        <f t="shared" si="7"/>
        <v>2.6095145234358168E-2</v>
      </c>
    </row>
    <row r="131" spans="1:7" x14ac:dyDescent="0.35">
      <c r="A131" s="13">
        <v>41117</v>
      </c>
      <c r="B131">
        <v>15731.18</v>
      </c>
      <c r="C131">
        <f t="shared" si="8"/>
        <v>16708.558000000001</v>
      </c>
      <c r="D131" s="36">
        <f t="shared" si="9"/>
        <v>-5.8495652347737015E-2</v>
      </c>
      <c r="E131">
        <f t="shared" ref="E131:E144" si="10">AVERAGE(ABS(B131-C131))</f>
        <v>977.37800000000061</v>
      </c>
      <c r="F131">
        <f t="shared" ref="F131:F144" si="11">E131^2</f>
        <v>955267.75488400122</v>
      </c>
      <c r="G131" s="14">
        <f t="shared" ref="G131:G144" si="12">AVERAGE(ABS(B131-C131)/B131)</f>
        <v>6.2129986434584096E-2</v>
      </c>
    </row>
    <row r="132" spans="1:7" x14ac:dyDescent="0.35">
      <c r="A132" s="13">
        <v>41124</v>
      </c>
      <c r="B132">
        <v>16628.310000000001</v>
      </c>
      <c r="C132">
        <f t="shared" si="8"/>
        <v>16083.244000000001</v>
      </c>
      <c r="D132" s="36">
        <f t="shared" si="9"/>
        <v>3.38903022300725E-2</v>
      </c>
      <c r="E132">
        <f t="shared" si="10"/>
        <v>545.06600000000071</v>
      </c>
      <c r="F132">
        <f t="shared" si="11"/>
        <v>297096.94435600075</v>
      </c>
      <c r="G132" s="14">
        <f t="shared" si="12"/>
        <v>3.2779398507725717E-2</v>
      </c>
    </row>
    <row r="133" spans="1:7" x14ac:dyDescent="0.35">
      <c r="A133" s="13">
        <v>41131</v>
      </c>
      <c r="B133">
        <v>16119.92</v>
      </c>
      <c r="C133">
        <f t="shared" si="8"/>
        <v>16303.121000000001</v>
      </c>
      <c r="D133" s="36">
        <f t="shared" si="9"/>
        <v>-1.1237173544869195E-2</v>
      </c>
      <c r="E133">
        <f t="shared" si="10"/>
        <v>183.20100000000093</v>
      </c>
      <c r="F133">
        <f t="shared" si="11"/>
        <v>33562.606401000339</v>
      </c>
      <c r="G133" s="14">
        <f t="shared" si="12"/>
        <v>1.1364882704132584E-2</v>
      </c>
    </row>
    <row r="134" spans="1:7" x14ac:dyDescent="0.35">
      <c r="A134" s="13">
        <v>41138</v>
      </c>
      <c r="B134">
        <v>17330.7</v>
      </c>
      <c r="C134">
        <f t="shared" ref="C134:C144" si="13">0.2*B131+0.3*B132+0.5*B133</f>
        <v>16194.689000000002</v>
      </c>
      <c r="D134" s="36">
        <f t="shared" ref="D134:D144" si="14">IF(C134=0,0,(B134/C134)-1)</f>
        <v>7.014713280384699E-2</v>
      </c>
      <c r="E134">
        <f t="shared" si="10"/>
        <v>1136.0109999999986</v>
      </c>
      <c r="F134">
        <f t="shared" si="11"/>
        <v>1290520.9921209968</v>
      </c>
      <c r="G134" s="14">
        <f t="shared" si="12"/>
        <v>6.5549054567905427E-2</v>
      </c>
    </row>
    <row r="135" spans="1:7" x14ac:dyDescent="0.35">
      <c r="A135" s="13">
        <v>41145</v>
      </c>
      <c r="B135">
        <v>16286.4</v>
      </c>
      <c r="C135">
        <f t="shared" si="13"/>
        <v>16826.988000000001</v>
      </c>
      <c r="D135" s="36">
        <f t="shared" si="14"/>
        <v>-3.2126248619182562E-2</v>
      </c>
      <c r="E135">
        <f t="shared" si="10"/>
        <v>540.58800000000156</v>
      </c>
      <c r="F135">
        <f t="shared" si="11"/>
        <v>292235.38574400166</v>
      </c>
      <c r="G135" s="14">
        <f t="shared" si="12"/>
        <v>3.3192602416740442E-2</v>
      </c>
    </row>
    <row r="136" spans="1:7" x14ac:dyDescent="0.35">
      <c r="A136" s="13">
        <v>41152</v>
      </c>
      <c r="B136">
        <v>16680.240000000002</v>
      </c>
      <c r="C136">
        <f t="shared" si="13"/>
        <v>16566.394</v>
      </c>
      <c r="D136" s="36">
        <f t="shared" si="14"/>
        <v>6.8721050579867438E-3</v>
      </c>
      <c r="E136">
        <f t="shared" si="10"/>
        <v>113.84600000000137</v>
      </c>
      <c r="F136">
        <f t="shared" si="11"/>
        <v>12960.911716000312</v>
      </c>
      <c r="G136" s="14">
        <f t="shared" si="12"/>
        <v>6.8252015558529951E-3</v>
      </c>
    </row>
    <row r="137" spans="1:7" x14ac:dyDescent="0.35">
      <c r="A137" s="13">
        <v>41159</v>
      </c>
      <c r="B137">
        <v>18322.37</v>
      </c>
      <c r="C137">
        <f t="shared" si="13"/>
        <v>16692.18</v>
      </c>
      <c r="D137" s="36">
        <f t="shared" si="14"/>
        <v>9.7661899164758426E-2</v>
      </c>
      <c r="E137">
        <f t="shared" si="10"/>
        <v>1630.1899999999987</v>
      </c>
      <c r="F137">
        <f t="shared" si="11"/>
        <v>2657519.4360999959</v>
      </c>
      <c r="G137" s="14">
        <f t="shared" si="12"/>
        <v>8.8972660196251843E-2</v>
      </c>
    </row>
    <row r="138" spans="1:7" x14ac:dyDescent="0.35">
      <c r="A138" s="13">
        <v>41166</v>
      </c>
      <c r="B138">
        <v>19616.22</v>
      </c>
      <c r="C138">
        <f t="shared" si="13"/>
        <v>17422.537</v>
      </c>
      <c r="D138" s="36">
        <f t="shared" si="14"/>
        <v>0.12591065239235832</v>
      </c>
      <c r="E138">
        <f t="shared" si="10"/>
        <v>2193.6830000000009</v>
      </c>
      <c r="F138">
        <f t="shared" si="11"/>
        <v>4812245.1044890042</v>
      </c>
      <c r="G138" s="14">
        <f t="shared" si="12"/>
        <v>0.11183005696306428</v>
      </c>
    </row>
    <row r="139" spans="1:7" x14ac:dyDescent="0.35">
      <c r="A139" s="13">
        <v>41173</v>
      </c>
      <c r="B139">
        <v>19251.5</v>
      </c>
      <c r="C139">
        <f t="shared" si="13"/>
        <v>18640.868999999999</v>
      </c>
      <c r="D139" s="36">
        <f t="shared" si="14"/>
        <v>3.2757646652632033E-2</v>
      </c>
      <c r="E139">
        <f t="shared" si="10"/>
        <v>610.63100000000122</v>
      </c>
      <c r="F139">
        <f t="shared" si="11"/>
        <v>372870.21816100151</v>
      </c>
      <c r="G139" s="14">
        <f t="shared" si="12"/>
        <v>3.1718619328364089E-2</v>
      </c>
    </row>
    <row r="140" spans="1:7" x14ac:dyDescent="0.35">
      <c r="A140" s="13">
        <v>41180</v>
      </c>
      <c r="B140">
        <v>18947.810000000001</v>
      </c>
      <c r="C140">
        <f t="shared" si="13"/>
        <v>19175.09</v>
      </c>
      <c r="D140" s="36">
        <f t="shared" si="14"/>
        <v>-1.1852877874367174E-2</v>
      </c>
      <c r="E140">
        <f t="shared" si="10"/>
        <v>227.27999999999884</v>
      </c>
      <c r="F140">
        <f t="shared" si="11"/>
        <v>51656.19839999947</v>
      </c>
      <c r="G140" s="14">
        <f t="shared" si="12"/>
        <v>1.1995053781940964E-2</v>
      </c>
    </row>
    <row r="141" spans="1:7" x14ac:dyDescent="0.35">
      <c r="A141" s="13">
        <v>41187</v>
      </c>
      <c r="B141">
        <v>21904.47</v>
      </c>
      <c r="C141">
        <f t="shared" si="13"/>
        <v>19172.599000000002</v>
      </c>
      <c r="D141" s="36">
        <f t="shared" si="14"/>
        <v>0.14248829801322183</v>
      </c>
      <c r="E141">
        <f t="shared" si="10"/>
        <v>2731.8709999999992</v>
      </c>
      <c r="F141">
        <f t="shared" si="11"/>
        <v>7463119.1606409959</v>
      </c>
      <c r="G141" s="14">
        <f t="shared" si="12"/>
        <v>0.12471751199640982</v>
      </c>
    </row>
    <row r="142" spans="1:7" x14ac:dyDescent="0.35">
      <c r="A142" s="13">
        <v>41194</v>
      </c>
      <c r="B142">
        <v>22764.01</v>
      </c>
      <c r="C142">
        <f t="shared" si="13"/>
        <v>20486.878000000001</v>
      </c>
      <c r="D142" s="36">
        <f t="shared" si="14"/>
        <v>0.11115075708460798</v>
      </c>
      <c r="E142">
        <f t="shared" si="10"/>
        <v>2277.1319999999978</v>
      </c>
      <c r="F142">
        <f t="shared" si="11"/>
        <v>5185330.1454239897</v>
      </c>
      <c r="G142" s="14">
        <f t="shared" si="12"/>
        <v>0.10003211209272873</v>
      </c>
    </row>
    <row r="143" spans="1:7" x14ac:dyDescent="0.35">
      <c r="A143" s="13">
        <v>41201</v>
      </c>
      <c r="B143">
        <v>24185.27</v>
      </c>
      <c r="C143">
        <f t="shared" si="13"/>
        <v>21742.907999999999</v>
      </c>
      <c r="D143" s="36">
        <f t="shared" si="14"/>
        <v>0.11232913279125323</v>
      </c>
      <c r="E143">
        <f t="shared" si="10"/>
        <v>2442.362000000001</v>
      </c>
      <c r="F143">
        <f t="shared" si="11"/>
        <v>5965132.1390440045</v>
      </c>
      <c r="G143" s="14">
        <f t="shared" si="12"/>
        <v>0.10098551721771148</v>
      </c>
    </row>
    <row r="144" spans="1:7" x14ac:dyDescent="0.35">
      <c r="A144" s="13">
        <v>41208</v>
      </c>
      <c r="B144">
        <v>27390.81</v>
      </c>
      <c r="C144">
        <f t="shared" si="13"/>
        <v>23302.732</v>
      </c>
      <c r="D144" s="36">
        <f t="shared" si="14"/>
        <v>0.1754334212829638</v>
      </c>
      <c r="E144">
        <f t="shared" si="10"/>
        <v>4088.0780000000013</v>
      </c>
      <c r="F144">
        <f t="shared" si="11"/>
        <v>16712381.73408401</v>
      </c>
      <c r="G144" s="14">
        <f t="shared" si="12"/>
        <v>0.14924998567037634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1F31-9890-4DF5-A40D-AC39B9ED7358}">
  <dimension ref="A1:L144"/>
  <sheetViews>
    <sheetView workbookViewId="0">
      <selection activeCell="E1" sqref="E1:E1048576"/>
    </sheetView>
  </sheetViews>
  <sheetFormatPr defaultRowHeight="14.5" x14ac:dyDescent="0.35"/>
  <cols>
    <col min="1" max="1" width="10.453125" style="17" bestFit="1" customWidth="1"/>
    <col min="2" max="2" width="12.08984375" style="17" bestFit="1" customWidth="1"/>
    <col min="3" max="3" width="21.1796875" style="17" customWidth="1"/>
    <col min="4" max="4" width="8.7265625" style="36"/>
    <col min="6" max="6" width="11.81640625" bestFit="1" customWidth="1"/>
    <col min="7" max="7" width="8.7265625" style="36"/>
    <col min="11" max="11" width="10.81640625" bestFit="1" customWidth="1"/>
  </cols>
  <sheetData>
    <row r="1" spans="1:12" ht="36" customHeight="1" x14ac:dyDescent="0.35">
      <c r="A1" s="38" t="s">
        <v>18</v>
      </c>
      <c r="B1" s="38" t="s">
        <v>19</v>
      </c>
      <c r="C1" s="39" t="s">
        <v>36</v>
      </c>
      <c r="D1" s="42" t="s">
        <v>33</v>
      </c>
      <c r="E1" s="43" t="s">
        <v>60</v>
      </c>
      <c r="F1" s="43" t="s">
        <v>61</v>
      </c>
      <c r="G1" s="44" t="s">
        <v>62</v>
      </c>
    </row>
    <row r="2" spans="1:12" x14ac:dyDescent="0.35">
      <c r="A2" s="40">
        <v>40214</v>
      </c>
      <c r="B2" s="17">
        <v>24924.5</v>
      </c>
      <c r="C2" s="17">
        <v>24924.5</v>
      </c>
      <c r="D2" s="36">
        <v>0</v>
      </c>
      <c r="E2">
        <f>AVERAGE(ABS(B2-C2))</f>
        <v>0</v>
      </c>
      <c r="F2">
        <f>E2^2</f>
        <v>0</v>
      </c>
      <c r="G2" s="36">
        <f>AVERAGE(ABS(B2-C2)/B2)</f>
        <v>0</v>
      </c>
    </row>
    <row r="3" spans="1:12" x14ac:dyDescent="0.35">
      <c r="A3" s="40">
        <v>40221</v>
      </c>
      <c r="B3" s="17">
        <v>46039.49</v>
      </c>
      <c r="C3" s="17">
        <f>0.5*B2+0.5*C2</f>
        <v>24924.5</v>
      </c>
      <c r="D3" s="36">
        <f>IF(C3=0,0,(B3/C3)-1)</f>
        <v>0.84715801721198014</v>
      </c>
      <c r="E3">
        <f t="shared" ref="E3:E66" si="0">AVERAGE(ABS(B3-C3))</f>
        <v>21114.989999999998</v>
      </c>
      <c r="F3">
        <f t="shared" ref="F3:F66" si="1">E3^2</f>
        <v>445842802.70009989</v>
      </c>
      <c r="G3" s="36">
        <f t="shared" ref="G3:G66" si="2">AVERAGE(ABS(B3-C3)/B3)</f>
        <v>0.45862779974322043</v>
      </c>
    </row>
    <row r="4" spans="1:12" x14ac:dyDescent="0.35">
      <c r="A4" s="40">
        <v>40228</v>
      </c>
      <c r="B4" s="17">
        <v>41595.550000000003</v>
      </c>
      <c r="C4" s="17">
        <f>0.5*B3+0.5*C3</f>
        <v>35481.994999999995</v>
      </c>
      <c r="D4" s="36">
        <f t="shared" ref="D4:D67" si="3">IF(C4=0,0,(B4/C4)-1)</f>
        <v>0.17230020465309259</v>
      </c>
      <c r="E4">
        <f t="shared" si="0"/>
        <v>6113.5550000000076</v>
      </c>
      <c r="F4">
        <f t="shared" si="1"/>
        <v>37375554.738025092</v>
      </c>
      <c r="G4" s="36">
        <f t="shared" si="2"/>
        <v>0.14697617894221876</v>
      </c>
    </row>
    <row r="5" spans="1:12" x14ac:dyDescent="0.35">
      <c r="A5" s="40">
        <v>40235</v>
      </c>
      <c r="B5" s="17">
        <v>19403.54</v>
      </c>
      <c r="C5" s="17">
        <f t="shared" ref="C5:C67" si="4">0.5*B4+0.5*C4</f>
        <v>38538.772499999999</v>
      </c>
      <c r="D5" s="36">
        <f t="shared" si="3"/>
        <v>-0.49651899265862709</v>
      </c>
      <c r="E5">
        <f t="shared" si="0"/>
        <v>19135.232499999998</v>
      </c>
      <c r="F5">
        <f t="shared" si="1"/>
        <v>366157122.8290562</v>
      </c>
      <c r="G5" s="36">
        <f t="shared" si="2"/>
        <v>0.98617223970471357</v>
      </c>
    </row>
    <row r="6" spans="1:12" x14ac:dyDescent="0.35">
      <c r="A6" s="40">
        <v>40242</v>
      </c>
      <c r="B6" s="17">
        <v>21827.9</v>
      </c>
      <c r="C6" s="17">
        <f t="shared" si="4"/>
        <v>28971.15625</v>
      </c>
      <c r="D6" s="36">
        <f t="shared" si="3"/>
        <v>-0.2465644169793878</v>
      </c>
      <c r="E6">
        <f t="shared" si="0"/>
        <v>7143.2562499999985</v>
      </c>
      <c r="F6">
        <f t="shared" si="1"/>
        <v>51026109.85316404</v>
      </c>
      <c r="G6" s="36">
        <f t="shared" si="2"/>
        <v>0.32725348063716608</v>
      </c>
    </row>
    <row r="7" spans="1:12" x14ac:dyDescent="0.35">
      <c r="A7" s="40">
        <v>40249</v>
      </c>
      <c r="B7" s="17">
        <v>21043.39</v>
      </c>
      <c r="C7" s="17">
        <f t="shared" si="4"/>
        <v>25399.528125000001</v>
      </c>
      <c r="D7" s="36">
        <f t="shared" si="3"/>
        <v>-0.17150468715646661</v>
      </c>
      <c r="E7">
        <f t="shared" si="0"/>
        <v>4356.1381250000013</v>
      </c>
      <c r="F7">
        <f t="shared" si="1"/>
        <v>18975939.364078525</v>
      </c>
      <c r="G7" s="36">
        <f t="shared" si="2"/>
        <v>0.20700743202497324</v>
      </c>
    </row>
    <row r="8" spans="1:12" x14ac:dyDescent="0.35">
      <c r="A8" s="40">
        <v>40256</v>
      </c>
      <c r="B8" s="17">
        <v>22136.639999999999</v>
      </c>
      <c r="C8" s="17">
        <f t="shared" si="4"/>
        <v>23221.459062499998</v>
      </c>
      <c r="D8" s="36">
        <f t="shared" si="3"/>
        <v>-4.671623172257322E-2</v>
      </c>
      <c r="E8">
        <f t="shared" si="0"/>
        <v>1084.8190624999988</v>
      </c>
      <c r="F8">
        <f t="shared" si="1"/>
        <v>1176832.3983633763</v>
      </c>
      <c r="G8" s="36">
        <f t="shared" si="2"/>
        <v>4.900558813351976E-2</v>
      </c>
    </row>
    <row r="9" spans="1:12" x14ac:dyDescent="0.35">
      <c r="A9" s="40">
        <v>40263</v>
      </c>
      <c r="B9" s="17">
        <v>26229.21</v>
      </c>
      <c r="C9" s="17">
        <f t="shared" si="4"/>
        <v>22679.049531249999</v>
      </c>
      <c r="D9" s="36">
        <f t="shared" si="3"/>
        <v>0.1565392087467401</v>
      </c>
      <c r="E9">
        <f t="shared" si="0"/>
        <v>3550.1604687500003</v>
      </c>
      <c r="F9">
        <f t="shared" si="1"/>
        <v>12603639.353875222</v>
      </c>
      <c r="G9" s="36">
        <f t="shared" si="2"/>
        <v>0.13535140664739809</v>
      </c>
    </row>
    <row r="10" spans="1:12" x14ac:dyDescent="0.35">
      <c r="A10" s="40">
        <v>40270</v>
      </c>
      <c r="B10" s="17">
        <v>57258.43</v>
      </c>
      <c r="C10" s="17">
        <f t="shared" si="4"/>
        <v>24454.129765624999</v>
      </c>
      <c r="D10" s="36">
        <f t="shared" si="3"/>
        <v>1.3414625892959715</v>
      </c>
      <c r="E10">
        <f t="shared" si="0"/>
        <v>32804.300234374998</v>
      </c>
      <c r="F10">
        <f t="shared" si="1"/>
        <v>1076122113.8670156</v>
      </c>
      <c r="G10" s="36">
        <f t="shared" si="2"/>
        <v>0.57291651612478722</v>
      </c>
    </row>
    <row r="11" spans="1:12" x14ac:dyDescent="0.35">
      <c r="A11" s="40">
        <v>40277</v>
      </c>
      <c r="B11" s="17">
        <v>42960.91</v>
      </c>
      <c r="C11" s="17">
        <f t="shared" si="4"/>
        <v>40856.279882812501</v>
      </c>
      <c r="D11" s="36">
        <f t="shared" si="3"/>
        <v>5.1513013990118095E-2</v>
      </c>
      <c r="E11">
        <f t="shared" si="0"/>
        <v>2104.630117187502</v>
      </c>
      <c r="F11">
        <f t="shared" si="1"/>
        <v>4429467.930172679</v>
      </c>
      <c r="G11" s="36">
        <f t="shared" si="2"/>
        <v>4.8989421248002006E-2</v>
      </c>
    </row>
    <row r="12" spans="1:12" x14ac:dyDescent="0.35">
      <c r="A12" s="40">
        <v>40284</v>
      </c>
      <c r="B12" s="17">
        <v>17596.96</v>
      </c>
      <c r="C12" s="17">
        <f t="shared" si="4"/>
        <v>41908.594941406249</v>
      </c>
      <c r="D12" s="36">
        <f t="shared" si="3"/>
        <v>-0.58011095278658531</v>
      </c>
      <c r="E12">
        <f t="shared" si="0"/>
        <v>24311.63494140625</v>
      </c>
      <c r="F12">
        <f t="shared" si="1"/>
        <v>591055593.52420521</v>
      </c>
      <c r="G12" s="36">
        <f t="shared" si="2"/>
        <v>1.3815815312080184</v>
      </c>
    </row>
    <row r="13" spans="1:12" x14ac:dyDescent="0.35">
      <c r="A13" s="40">
        <v>40291</v>
      </c>
      <c r="B13" s="17">
        <v>16145.35</v>
      </c>
      <c r="C13" s="17">
        <f t="shared" si="4"/>
        <v>29752.777470703124</v>
      </c>
      <c r="D13" s="36">
        <f t="shared" si="3"/>
        <v>-0.45734982167974214</v>
      </c>
      <c r="E13">
        <f t="shared" si="0"/>
        <v>13607.427470703124</v>
      </c>
      <c r="F13">
        <f t="shared" si="1"/>
        <v>185162082.370446</v>
      </c>
      <c r="G13" s="36">
        <f t="shared" si="2"/>
        <v>0.84280783449743257</v>
      </c>
    </row>
    <row r="14" spans="1:12" x14ac:dyDescent="0.35">
      <c r="A14" s="40">
        <v>40298</v>
      </c>
      <c r="B14" s="17">
        <v>16555.11</v>
      </c>
      <c r="C14" s="17">
        <f t="shared" si="4"/>
        <v>22949.063735351563</v>
      </c>
      <c r="D14" s="36">
        <f t="shared" si="3"/>
        <v>-0.27861501493422958</v>
      </c>
      <c r="E14">
        <f t="shared" si="0"/>
        <v>6393.9537353515625</v>
      </c>
      <c r="F14">
        <f t="shared" si="1"/>
        <v>40882644.369816199</v>
      </c>
      <c r="G14" s="36">
        <f t="shared" si="2"/>
        <v>0.38622236489830403</v>
      </c>
    </row>
    <row r="15" spans="1:12" x14ac:dyDescent="0.35">
      <c r="A15" s="40">
        <v>40305</v>
      </c>
      <c r="B15" s="17">
        <v>17413.939999999999</v>
      </c>
      <c r="C15" s="17">
        <f t="shared" si="4"/>
        <v>19752.086867675782</v>
      </c>
      <c r="D15" s="36">
        <f t="shared" si="3"/>
        <v>-0.11837467520974465</v>
      </c>
      <c r="E15">
        <f t="shared" si="0"/>
        <v>2338.1468676757831</v>
      </c>
      <c r="F15">
        <f t="shared" si="1"/>
        <v>5466930.7748220759</v>
      </c>
      <c r="G15" s="36">
        <f t="shared" si="2"/>
        <v>0.13426868748116644</v>
      </c>
    </row>
    <row r="16" spans="1:12" x14ac:dyDescent="0.35">
      <c r="A16" s="40">
        <v>40312</v>
      </c>
      <c r="B16" s="17">
        <v>18926.740000000002</v>
      </c>
      <c r="C16" s="17">
        <f t="shared" si="4"/>
        <v>18583.013433837892</v>
      </c>
      <c r="D16" s="36">
        <f t="shared" si="3"/>
        <v>1.8496815243980613E-2</v>
      </c>
      <c r="E16">
        <f t="shared" si="0"/>
        <v>343.72656616210952</v>
      </c>
      <c r="F16">
        <f t="shared" si="1"/>
        <v>118147.95228559505</v>
      </c>
      <c r="G16" s="36">
        <f t="shared" si="2"/>
        <v>1.8160896496814006E-2</v>
      </c>
      <c r="H16" s="19"/>
      <c r="I16" s="19"/>
      <c r="J16" s="37" t="s">
        <v>28</v>
      </c>
      <c r="K16" s="37" t="s">
        <v>29</v>
      </c>
      <c r="L16" s="37" t="s">
        <v>30</v>
      </c>
    </row>
    <row r="17" spans="1:12" x14ac:dyDescent="0.35">
      <c r="A17" s="40">
        <v>40319</v>
      </c>
      <c r="B17" s="17">
        <v>14773.04</v>
      </c>
      <c r="C17" s="17">
        <f t="shared" si="4"/>
        <v>18754.876716918945</v>
      </c>
      <c r="D17" s="36">
        <f t="shared" si="3"/>
        <v>-0.21230940501607742</v>
      </c>
      <c r="E17">
        <f t="shared" si="0"/>
        <v>3981.8367169189441</v>
      </c>
      <c r="F17">
        <f t="shared" si="1"/>
        <v>15855023.640203835</v>
      </c>
      <c r="G17" s="36">
        <f t="shared" si="2"/>
        <v>0.26953401039453923</v>
      </c>
      <c r="H17" s="19" t="s">
        <v>35</v>
      </c>
      <c r="I17" s="19">
        <v>143</v>
      </c>
      <c r="J17" s="19">
        <f>SUM(E2:E144)/143</f>
        <v>5794.9545735251622</v>
      </c>
      <c r="K17" s="19">
        <f>SUM(F2:F144)/I17</f>
        <v>88440484.256007835</v>
      </c>
      <c r="L17" s="19">
        <f>SUM(G2:G144)/I17*100</f>
        <v>23.585085655881439</v>
      </c>
    </row>
    <row r="18" spans="1:12" x14ac:dyDescent="0.35">
      <c r="A18" s="40">
        <v>40326</v>
      </c>
      <c r="B18" s="17">
        <v>15580.43</v>
      </c>
      <c r="C18" s="17">
        <f t="shared" si="4"/>
        <v>16763.958358459473</v>
      </c>
      <c r="D18" s="36">
        <f t="shared" si="3"/>
        <v>-7.0599576374051121E-2</v>
      </c>
      <c r="E18">
        <f t="shared" si="0"/>
        <v>1183.5283584594727</v>
      </c>
      <c r="F18">
        <f t="shared" si="1"/>
        <v>1400739.3752777739</v>
      </c>
      <c r="G18" s="36">
        <f t="shared" si="2"/>
        <v>7.5962496443260724E-2</v>
      </c>
    </row>
    <row r="19" spans="1:12" x14ac:dyDescent="0.35">
      <c r="A19" s="40">
        <v>40333</v>
      </c>
      <c r="B19" s="17">
        <v>17558.09</v>
      </c>
      <c r="C19" s="17">
        <f t="shared" si="4"/>
        <v>16172.194179229737</v>
      </c>
      <c r="D19" s="36">
        <f t="shared" si="3"/>
        <v>8.5696214466074006E-2</v>
      </c>
      <c r="E19">
        <f t="shared" si="0"/>
        <v>1385.8958207702635</v>
      </c>
      <c r="F19">
        <f t="shared" si="1"/>
        <v>1920707.2260284824</v>
      </c>
      <c r="G19" s="36">
        <f t="shared" si="2"/>
        <v>7.893203764021392E-2</v>
      </c>
    </row>
    <row r="20" spans="1:12" x14ac:dyDescent="0.35">
      <c r="A20" s="40">
        <v>40340</v>
      </c>
      <c r="B20" s="17">
        <v>16637.62</v>
      </c>
      <c r="C20" s="17">
        <f t="shared" si="4"/>
        <v>16865.14208961487</v>
      </c>
      <c r="D20" s="36">
        <f t="shared" si="3"/>
        <v>-1.3490671374478014E-2</v>
      </c>
      <c r="E20">
        <f t="shared" si="0"/>
        <v>227.52208961487122</v>
      </c>
      <c r="F20">
        <f t="shared" si="1"/>
        <v>51766.30126271749</v>
      </c>
      <c r="G20" s="36">
        <f t="shared" si="2"/>
        <v>1.3675158443026782E-2</v>
      </c>
    </row>
    <row r="21" spans="1:12" x14ac:dyDescent="0.35">
      <c r="A21" s="40">
        <v>40347</v>
      </c>
      <c r="B21" s="17">
        <v>16216.27</v>
      </c>
      <c r="C21" s="17">
        <f t="shared" si="4"/>
        <v>16751.381044807436</v>
      </c>
      <c r="D21" s="36">
        <f t="shared" si="3"/>
        <v>-3.1944294227209902E-2</v>
      </c>
      <c r="E21">
        <f t="shared" si="0"/>
        <v>535.11104480743597</v>
      </c>
      <c r="F21">
        <f t="shared" si="1"/>
        <v>286343.83027490578</v>
      </c>
      <c r="G21" s="36">
        <f t="shared" si="2"/>
        <v>3.2998404985082018E-2</v>
      </c>
    </row>
    <row r="22" spans="1:12" x14ac:dyDescent="0.35">
      <c r="A22" s="40">
        <v>40354</v>
      </c>
      <c r="B22" s="17">
        <v>16328.72</v>
      </c>
      <c r="C22" s="17">
        <f t="shared" si="4"/>
        <v>16483.82552240372</v>
      </c>
      <c r="D22" s="36">
        <f t="shared" si="3"/>
        <v>-9.4095586120414021E-3</v>
      </c>
      <c r="E22">
        <f t="shared" si="0"/>
        <v>155.1055224037209</v>
      </c>
      <c r="F22">
        <f t="shared" si="1"/>
        <v>24057.723080131163</v>
      </c>
      <c r="G22" s="36">
        <f t="shared" si="2"/>
        <v>9.4989394394490757E-3</v>
      </c>
    </row>
    <row r="23" spans="1:12" x14ac:dyDescent="0.35">
      <c r="A23" s="40">
        <v>40361</v>
      </c>
      <c r="B23" s="17">
        <v>16333.14</v>
      </c>
      <c r="C23" s="17">
        <f t="shared" si="4"/>
        <v>16406.272761201861</v>
      </c>
      <c r="D23" s="36">
        <f t="shared" si="3"/>
        <v>-4.4576097366129108E-3</v>
      </c>
      <c r="E23">
        <f t="shared" si="0"/>
        <v>73.132761201861285</v>
      </c>
      <c r="F23">
        <f t="shared" si="1"/>
        <v>5348.4007610084673</v>
      </c>
      <c r="G23" s="36">
        <f t="shared" si="2"/>
        <v>4.4775689917469202E-3</v>
      </c>
    </row>
    <row r="24" spans="1:12" x14ac:dyDescent="0.35">
      <c r="A24" s="40">
        <v>40368</v>
      </c>
      <c r="B24" s="17">
        <v>17688.759999999998</v>
      </c>
      <c r="C24" s="17">
        <f t="shared" si="4"/>
        <v>16369.70638060093</v>
      </c>
      <c r="D24" s="36">
        <f t="shared" si="3"/>
        <v>8.0578941902233803E-2</v>
      </c>
      <c r="E24">
        <f t="shared" si="0"/>
        <v>1319.0536193990683</v>
      </c>
      <c r="F24">
        <f t="shared" si="1"/>
        <v>1739902.4508497822</v>
      </c>
      <c r="G24" s="36">
        <f t="shared" si="2"/>
        <v>7.4570157512401578E-2</v>
      </c>
    </row>
    <row r="25" spans="1:12" x14ac:dyDescent="0.35">
      <c r="A25" s="40">
        <v>40375</v>
      </c>
      <c r="B25" s="17">
        <v>17150.84</v>
      </c>
      <c r="C25" s="17">
        <f t="shared" si="4"/>
        <v>17029.233190300463</v>
      </c>
      <c r="D25" s="36">
        <f t="shared" si="3"/>
        <v>7.1410619809235687E-3</v>
      </c>
      <c r="E25">
        <f t="shared" si="0"/>
        <v>121.60680969953683</v>
      </c>
      <c r="F25">
        <f t="shared" si="1"/>
        <v>14788.216165299364</v>
      </c>
      <c r="G25" s="36">
        <f t="shared" si="2"/>
        <v>7.0904287894666867E-3</v>
      </c>
    </row>
    <row r="26" spans="1:12" x14ac:dyDescent="0.35">
      <c r="A26" s="40">
        <v>40382</v>
      </c>
      <c r="B26" s="17">
        <v>15360.45</v>
      </c>
      <c r="C26" s="17">
        <f t="shared" si="4"/>
        <v>17090.036595150232</v>
      </c>
      <c r="D26" s="36">
        <f t="shared" si="3"/>
        <v>-0.10120438218611238</v>
      </c>
      <c r="E26">
        <f t="shared" si="0"/>
        <v>1729.586595150231</v>
      </c>
      <c r="F26">
        <f t="shared" si="1"/>
        <v>2991469.7901233691</v>
      </c>
      <c r="G26" s="36">
        <f t="shared" si="2"/>
        <v>0.11259999512711091</v>
      </c>
    </row>
    <row r="27" spans="1:12" x14ac:dyDescent="0.35">
      <c r="A27" s="40">
        <v>40389</v>
      </c>
      <c r="B27" s="17">
        <v>15381.82</v>
      </c>
      <c r="C27" s="17">
        <f t="shared" si="4"/>
        <v>16225.243297575116</v>
      </c>
      <c r="D27" s="36">
        <f t="shared" si="3"/>
        <v>-5.19821664369845E-2</v>
      </c>
      <c r="E27">
        <f t="shared" si="0"/>
        <v>843.42329757511652</v>
      </c>
      <c r="F27">
        <f t="shared" si="1"/>
        <v>711362.85889248352</v>
      </c>
      <c r="G27" s="36">
        <f t="shared" si="2"/>
        <v>5.4832477403526793E-2</v>
      </c>
    </row>
    <row r="28" spans="1:12" x14ac:dyDescent="0.35">
      <c r="A28" s="40">
        <v>40396</v>
      </c>
      <c r="B28" s="17">
        <v>17508.41</v>
      </c>
      <c r="C28" s="17">
        <f t="shared" si="4"/>
        <v>15803.531648787557</v>
      </c>
      <c r="D28" s="36">
        <f t="shared" si="3"/>
        <v>0.10787957964720118</v>
      </c>
      <c r="E28">
        <f t="shared" si="0"/>
        <v>1704.8783512124428</v>
      </c>
      <c r="F28">
        <f t="shared" si="1"/>
        <v>2906610.1924328576</v>
      </c>
      <c r="G28" s="36">
        <f t="shared" si="2"/>
        <v>9.7374824510760419E-2</v>
      </c>
    </row>
    <row r="29" spans="1:12" x14ac:dyDescent="0.35">
      <c r="A29" s="40">
        <v>40403</v>
      </c>
      <c r="B29" s="17">
        <v>15536.4</v>
      </c>
      <c r="C29" s="17">
        <f t="shared" si="4"/>
        <v>16655.970824393778</v>
      </c>
      <c r="D29" s="36">
        <f t="shared" si="3"/>
        <v>-6.7217386257310996E-2</v>
      </c>
      <c r="E29">
        <f t="shared" si="0"/>
        <v>1119.5708243937788</v>
      </c>
      <c r="F29">
        <f t="shared" si="1"/>
        <v>1253438.8308337654</v>
      </c>
      <c r="G29" s="36">
        <f t="shared" si="2"/>
        <v>7.2061148296502328E-2</v>
      </c>
    </row>
    <row r="30" spans="1:12" x14ac:dyDescent="0.35">
      <c r="A30" s="40">
        <v>40410</v>
      </c>
      <c r="B30" s="17">
        <v>15740.13</v>
      </c>
      <c r="C30" s="17">
        <f t="shared" si="4"/>
        <v>16096.18541219689</v>
      </c>
      <c r="D30" s="36">
        <f t="shared" si="3"/>
        <v>-2.2120484020213271E-2</v>
      </c>
      <c r="E30">
        <f t="shared" si="0"/>
        <v>356.05541219689076</v>
      </c>
      <c r="F30">
        <f t="shared" si="1"/>
        <v>126775.45655469778</v>
      </c>
      <c r="G30" s="36">
        <f t="shared" si="2"/>
        <v>2.2620868582209346E-2</v>
      </c>
    </row>
    <row r="31" spans="1:12" x14ac:dyDescent="0.35">
      <c r="A31" s="40">
        <v>40417</v>
      </c>
      <c r="B31" s="17">
        <v>15793.87</v>
      </c>
      <c r="C31" s="17">
        <f t="shared" si="4"/>
        <v>15918.157706098445</v>
      </c>
      <c r="D31" s="36">
        <f t="shared" si="3"/>
        <v>-7.8079202627090449E-3</v>
      </c>
      <c r="E31">
        <f t="shared" si="0"/>
        <v>124.28770609844469</v>
      </c>
      <c r="F31">
        <f t="shared" si="1"/>
        <v>15447.433887213365</v>
      </c>
      <c r="G31" s="36">
        <f t="shared" si="2"/>
        <v>7.8693636264224459E-3</v>
      </c>
    </row>
    <row r="32" spans="1:12" x14ac:dyDescent="0.35">
      <c r="A32" s="40">
        <v>40424</v>
      </c>
      <c r="B32" s="17">
        <v>16241.78</v>
      </c>
      <c r="C32" s="17">
        <f t="shared" si="4"/>
        <v>15856.013853049222</v>
      </c>
      <c r="D32" s="36">
        <f t="shared" si="3"/>
        <v>2.4329327063282946E-2</v>
      </c>
      <c r="E32">
        <f t="shared" si="0"/>
        <v>385.76614695077842</v>
      </c>
      <c r="F32">
        <f t="shared" si="1"/>
        <v>148815.52013324958</v>
      </c>
      <c r="G32" s="36">
        <f t="shared" si="2"/>
        <v>2.3751469786610729E-2</v>
      </c>
    </row>
    <row r="33" spans="1:7" x14ac:dyDescent="0.35">
      <c r="A33" s="40">
        <v>40431</v>
      </c>
      <c r="B33" s="17">
        <v>18194.740000000002</v>
      </c>
      <c r="C33" s="17">
        <f t="shared" si="4"/>
        <v>16048.896926524612</v>
      </c>
      <c r="D33" s="36">
        <f t="shared" si="3"/>
        <v>0.13370657705009448</v>
      </c>
      <c r="E33">
        <f t="shared" si="0"/>
        <v>2145.8430734753892</v>
      </c>
      <c r="F33">
        <f t="shared" si="1"/>
        <v>4604642.4959823051</v>
      </c>
      <c r="G33" s="36">
        <f t="shared" si="2"/>
        <v>0.11793755082377594</v>
      </c>
    </row>
    <row r="34" spans="1:7" x14ac:dyDescent="0.35">
      <c r="A34" s="40">
        <v>40438</v>
      </c>
      <c r="B34" s="17">
        <v>19354.23</v>
      </c>
      <c r="C34" s="17">
        <f t="shared" si="4"/>
        <v>17121.818463262309</v>
      </c>
      <c r="D34" s="36">
        <f t="shared" si="3"/>
        <v>0.13038402092205903</v>
      </c>
      <c r="E34">
        <f t="shared" si="0"/>
        <v>2232.4115367376908</v>
      </c>
      <c r="F34">
        <f t="shared" si="1"/>
        <v>4983661.2693595383</v>
      </c>
      <c r="G34" s="36">
        <f t="shared" si="2"/>
        <v>0.11534489032824818</v>
      </c>
    </row>
    <row r="35" spans="1:7" x14ac:dyDescent="0.35">
      <c r="A35" s="40">
        <v>40445</v>
      </c>
      <c r="B35" s="17">
        <v>18122.52</v>
      </c>
      <c r="C35" s="17">
        <f t="shared" si="4"/>
        <v>18238.024231631156</v>
      </c>
      <c r="D35" s="36">
        <f t="shared" si="3"/>
        <v>-6.333154850777678E-3</v>
      </c>
      <c r="E35">
        <f t="shared" si="0"/>
        <v>115.50423163115556</v>
      </c>
      <c r="F35">
        <f t="shared" si="1"/>
        <v>13341.227524703638</v>
      </c>
      <c r="G35" s="36">
        <f t="shared" si="2"/>
        <v>6.3735193356749256E-3</v>
      </c>
    </row>
    <row r="36" spans="1:7" x14ac:dyDescent="0.35">
      <c r="A36" s="40">
        <v>40452</v>
      </c>
      <c r="B36" s="17">
        <v>20094.189999999999</v>
      </c>
      <c r="C36" s="17">
        <f t="shared" si="4"/>
        <v>18180.272115815576</v>
      </c>
      <c r="D36" s="36">
        <f t="shared" si="3"/>
        <v>0.10527443549755477</v>
      </c>
      <c r="E36">
        <f t="shared" si="0"/>
        <v>1913.9178841844223</v>
      </c>
      <c r="F36">
        <f t="shared" si="1"/>
        <v>3663081.6674009757</v>
      </c>
      <c r="G36" s="36">
        <f t="shared" si="2"/>
        <v>9.5247326923076886E-2</v>
      </c>
    </row>
    <row r="37" spans="1:7" x14ac:dyDescent="0.35">
      <c r="A37" s="40">
        <v>40459</v>
      </c>
      <c r="B37" s="17">
        <v>23388.03</v>
      </c>
      <c r="C37" s="17">
        <f t="shared" si="4"/>
        <v>19137.231057907789</v>
      </c>
      <c r="D37" s="36">
        <f t="shared" si="3"/>
        <v>0.22212194278417918</v>
      </c>
      <c r="E37">
        <f t="shared" si="0"/>
        <v>4250.7989420922095</v>
      </c>
      <c r="F37">
        <f t="shared" si="1"/>
        <v>18069291.646092247</v>
      </c>
      <c r="G37" s="36">
        <f t="shared" si="2"/>
        <v>0.18175104709940126</v>
      </c>
    </row>
    <row r="38" spans="1:7" x14ac:dyDescent="0.35">
      <c r="A38" s="40">
        <v>40466</v>
      </c>
      <c r="B38" s="17">
        <v>26978.34</v>
      </c>
      <c r="C38" s="17">
        <f t="shared" si="4"/>
        <v>21262.630528953894</v>
      </c>
      <c r="D38" s="36">
        <f t="shared" si="3"/>
        <v>0.26881478579345441</v>
      </c>
      <c r="E38">
        <f t="shared" si="0"/>
        <v>5715.709471046106</v>
      </c>
      <c r="F38">
        <f t="shared" si="1"/>
        <v>32669334.757406157</v>
      </c>
      <c r="G38" s="36">
        <f t="shared" si="2"/>
        <v>0.21186290450213416</v>
      </c>
    </row>
    <row r="39" spans="1:7" x14ac:dyDescent="0.35">
      <c r="A39" s="40">
        <v>40473</v>
      </c>
      <c r="B39" s="17">
        <v>25543.040000000001</v>
      </c>
      <c r="C39" s="17">
        <f t="shared" si="4"/>
        <v>24120.485264476949</v>
      </c>
      <c r="D39" s="36">
        <f t="shared" si="3"/>
        <v>5.8977036320993825E-2</v>
      </c>
      <c r="E39">
        <f t="shared" si="0"/>
        <v>1422.5547355230519</v>
      </c>
      <c r="F39">
        <f t="shared" si="1"/>
        <v>2023661.9755590602</v>
      </c>
      <c r="G39" s="36">
        <f t="shared" si="2"/>
        <v>5.5692460080047322E-2</v>
      </c>
    </row>
    <row r="40" spans="1:7" x14ac:dyDescent="0.35">
      <c r="A40" s="40">
        <v>40480</v>
      </c>
      <c r="B40" s="17">
        <v>38640.93</v>
      </c>
      <c r="C40" s="17">
        <f t="shared" si="4"/>
        <v>24831.762632238475</v>
      </c>
      <c r="D40" s="36">
        <f t="shared" si="3"/>
        <v>0.55610902746925506</v>
      </c>
      <c r="E40">
        <f t="shared" si="0"/>
        <v>13809.167367761525</v>
      </c>
      <c r="F40">
        <f t="shared" si="1"/>
        <v>190693103.39084977</v>
      </c>
      <c r="G40" s="36">
        <f t="shared" si="2"/>
        <v>0.35737150652847965</v>
      </c>
    </row>
    <row r="41" spans="1:7" x14ac:dyDescent="0.35">
      <c r="A41" s="40">
        <v>40487</v>
      </c>
      <c r="B41" s="17">
        <v>34238.879999999997</v>
      </c>
      <c r="C41" s="17">
        <f t="shared" si="4"/>
        <v>31736.346316119238</v>
      </c>
      <c r="D41" s="36">
        <f t="shared" si="3"/>
        <v>7.8853868651215686E-2</v>
      </c>
      <c r="E41">
        <f t="shared" si="0"/>
        <v>2502.5336838807598</v>
      </c>
      <c r="F41">
        <f t="shared" si="1"/>
        <v>6262674.8389578061</v>
      </c>
      <c r="G41" s="36">
        <f t="shared" si="2"/>
        <v>7.3090407276194785E-2</v>
      </c>
    </row>
    <row r="42" spans="1:7" x14ac:dyDescent="0.35">
      <c r="A42" s="40">
        <v>40494</v>
      </c>
      <c r="B42" s="17">
        <v>19549.39</v>
      </c>
      <c r="C42" s="17">
        <f t="shared" si="4"/>
        <v>32987.613158059619</v>
      </c>
      <c r="D42" s="36">
        <f t="shared" si="3"/>
        <v>-0.40737179418439851</v>
      </c>
      <c r="E42">
        <f t="shared" si="0"/>
        <v>13438.22315805962</v>
      </c>
      <c r="F42">
        <f t="shared" si="1"/>
        <v>180585841.64580986</v>
      </c>
      <c r="G42" s="36">
        <f t="shared" si="2"/>
        <v>0.68739859187727193</v>
      </c>
    </row>
    <row r="43" spans="1:7" x14ac:dyDescent="0.35">
      <c r="A43" s="40">
        <v>40501</v>
      </c>
      <c r="B43" s="17">
        <v>19552.84</v>
      </c>
      <c r="C43" s="17">
        <f t="shared" si="4"/>
        <v>26268.501579029809</v>
      </c>
      <c r="D43" s="36">
        <f t="shared" si="3"/>
        <v>-0.25565453586400733</v>
      </c>
      <c r="E43">
        <f t="shared" si="0"/>
        <v>6715.6615790298092</v>
      </c>
      <c r="F43">
        <f t="shared" si="1"/>
        <v>45100110.444057152</v>
      </c>
      <c r="G43" s="36">
        <f t="shared" si="2"/>
        <v>0.34346220697503838</v>
      </c>
    </row>
    <row r="44" spans="1:7" x14ac:dyDescent="0.35">
      <c r="A44" s="40">
        <v>40508</v>
      </c>
      <c r="B44" s="17">
        <v>18820.29</v>
      </c>
      <c r="C44" s="17">
        <f t="shared" si="4"/>
        <v>22910.670789514905</v>
      </c>
      <c r="D44" s="36">
        <f t="shared" si="3"/>
        <v>-0.1785360554081582</v>
      </c>
      <c r="E44">
        <f t="shared" si="0"/>
        <v>4090.3807895149039</v>
      </c>
      <c r="F44">
        <f t="shared" si="1"/>
        <v>16731215.003232569</v>
      </c>
      <c r="G44" s="36">
        <f t="shared" si="2"/>
        <v>0.21733888210622174</v>
      </c>
    </row>
    <row r="45" spans="1:7" x14ac:dyDescent="0.35">
      <c r="A45" s="40">
        <v>40515</v>
      </c>
      <c r="B45" s="17">
        <v>22517.56</v>
      </c>
      <c r="C45" s="17">
        <f t="shared" si="4"/>
        <v>20865.480394757455</v>
      </c>
      <c r="D45" s="36">
        <f t="shared" si="3"/>
        <v>7.917764527758675E-2</v>
      </c>
      <c r="E45">
        <f t="shared" si="0"/>
        <v>1652.0796052425467</v>
      </c>
      <c r="F45">
        <f t="shared" si="1"/>
        <v>2729367.0220583687</v>
      </c>
      <c r="G45" s="36">
        <f t="shared" si="2"/>
        <v>7.3368500194627956E-2</v>
      </c>
    </row>
    <row r="46" spans="1:7" x14ac:dyDescent="0.35">
      <c r="A46" s="40">
        <v>40522</v>
      </c>
      <c r="B46" s="17">
        <v>31497.65</v>
      </c>
      <c r="C46" s="17">
        <f t="shared" si="4"/>
        <v>21691.520197378726</v>
      </c>
      <c r="D46" s="36">
        <f t="shared" si="3"/>
        <v>0.45207204075103413</v>
      </c>
      <c r="E46">
        <f t="shared" si="0"/>
        <v>9806.1298026212753</v>
      </c>
      <c r="F46">
        <f t="shared" si="1"/>
        <v>96160181.705857173</v>
      </c>
      <c r="G46" s="36">
        <f t="shared" si="2"/>
        <v>0.31132893414655616</v>
      </c>
    </row>
    <row r="47" spans="1:7" x14ac:dyDescent="0.35">
      <c r="A47" s="40">
        <v>40529</v>
      </c>
      <c r="B47" s="17">
        <v>44912.86</v>
      </c>
      <c r="C47" s="17">
        <f t="shared" si="4"/>
        <v>26594.585098689364</v>
      </c>
      <c r="D47" s="36">
        <f t="shared" si="3"/>
        <v>0.68879716804506197</v>
      </c>
      <c r="E47">
        <f t="shared" si="0"/>
        <v>18318.274901310637</v>
      </c>
      <c r="F47">
        <f t="shared" si="1"/>
        <v>335559195.3599872</v>
      </c>
      <c r="G47" s="36">
        <f t="shared" si="2"/>
        <v>0.40786257880951327</v>
      </c>
    </row>
    <row r="48" spans="1:7" x14ac:dyDescent="0.35">
      <c r="A48" s="40">
        <v>40536</v>
      </c>
      <c r="B48" s="17">
        <v>55931.23</v>
      </c>
      <c r="C48" s="17">
        <f t="shared" si="4"/>
        <v>35753.722549344682</v>
      </c>
      <c r="D48" s="36">
        <f t="shared" si="3"/>
        <v>0.5643470389078451</v>
      </c>
      <c r="E48">
        <f t="shared" si="0"/>
        <v>20177.507450655321</v>
      </c>
      <c r="F48">
        <f t="shared" si="1"/>
        <v>407131806.921251</v>
      </c>
      <c r="G48" s="36">
        <f t="shared" si="2"/>
        <v>0.36075565387450481</v>
      </c>
    </row>
    <row r="49" spans="1:7" x14ac:dyDescent="0.35">
      <c r="A49" s="40">
        <v>40543</v>
      </c>
      <c r="B49" s="17">
        <v>19124.580000000002</v>
      </c>
      <c r="C49" s="17">
        <f t="shared" si="4"/>
        <v>45842.476274672343</v>
      </c>
      <c r="D49" s="36">
        <f t="shared" si="3"/>
        <v>-0.58281965648164169</v>
      </c>
      <c r="E49">
        <f t="shared" si="0"/>
        <v>26717.896274672341</v>
      </c>
      <c r="F49">
        <f t="shared" si="1"/>
        <v>713845981.34415019</v>
      </c>
      <c r="G49" s="36">
        <f t="shared" si="2"/>
        <v>1.3970448644975386</v>
      </c>
    </row>
    <row r="50" spans="1:7" x14ac:dyDescent="0.35">
      <c r="A50" s="40">
        <v>40550</v>
      </c>
      <c r="B50" s="17">
        <v>15984.24</v>
      </c>
      <c r="C50" s="17">
        <f t="shared" si="4"/>
        <v>32483.528137336172</v>
      </c>
      <c r="D50" s="36">
        <f t="shared" si="3"/>
        <v>-0.50792783553496124</v>
      </c>
      <c r="E50">
        <f t="shared" si="0"/>
        <v>16499.288137336174</v>
      </c>
      <c r="F50">
        <f t="shared" si="1"/>
        <v>272226509.0388422</v>
      </c>
      <c r="G50" s="36">
        <f t="shared" si="2"/>
        <v>1.0322222474972957</v>
      </c>
    </row>
    <row r="51" spans="1:7" x14ac:dyDescent="0.35">
      <c r="A51" s="40">
        <v>40557</v>
      </c>
      <c r="B51" s="17">
        <v>17359.7</v>
      </c>
      <c r="C51" s="17">
        <f t="shared" si="4"/>
        <v>24233.884068668085</v>
      </c>
      <c r="D51" s="36">
        <f t="shared" si="3"/>
        <v>-0.28366002119964318</v>
      </c>
      <c r="E51">
        <f t="shared" si="0"/>
        <v>6874.1840686680844</v>
      </c>
      <c r="F51">
        <f t="shared" si="1"/>
        <v>47254406.609930098</v>
      </c>
      <c r="G51" s="36">
        <f t="shared" si="2"/>
        <v>0.39598518803136484</v>
      </c>
    </row>
    <row r="52" spans="1:7" x14ac:dyDescent="0.35">
      <c r="A52" s="40">
        <v>40564</v>
      </c>
      <c r="B52" s="17">
        <v>17341.47</v>
      </c>
      <c r="C52" s="17">
        <f t="shared" si="4"/>
        <v>20796.792034334045</v>
      </c>
      <c r="D52" s="36">
        <f t="shared" si="3"/>
        <v>-0.16614687633696335</v>
      </c>
      <c r="E52">
        <f t="shared" si="0"/>
        <v>3455.3220343340436</v>
      </c>
      <c r="F52">
        <f t="shared" si="1"/>
        <v>11939250.360954354</v>
      </c>
      <c r="G52" s="36">
        <f t="shared" si="2"/>
        <v>0.19925196850866989</v>
      </c>
    </row>
    <row r="53" spans="1:7" x14ac:dyDescent="0.35">
      <c r="A53" s="40">
        <v>40571</v>
      </c>
      <c r="B53" s="17">
        <v>18461.18</v>
      </c>
      <c r="C53" s="17">
        <f t="shared" si="4"/>
        <v>19069.131017167023</v>
      </c>
      <c r="D53" s="36">
        <f t="shared" si="3"/>
        <v>-3.1881422211621158E-2</v>
      </c>
      <c r="E53">
        <f t="shared" si="0"/>
        <v>607.95101716702266</v>
      </c>
      <c r="F53">
        <f t="shared" si="1"/>
        <v>369604.43927441747</v>
      </c>
      <c r="G53" s="36">
        <f t="shared" si="2"/>
        <v>3.2931319513000934E-2</v>
      </c>
    </row>
    <row r="54" spans="1:7" x14ac:dyDescent="0.35">
      <c r="A54" s="40">
        <v>40578</v>
      </c>
      <c r="B54" s="17">
        <v>21665.759999999998</v>
      </c>
      <c r="C54" s="17">
        <f t="shared" si="4"/>
        <v>18765.155508583513</v>
      </c>
      <c r="D54" s="36">
        <f t="shared" si="3"/>
        <v>0.15457396503267429</v>
      </c>
      <c r="E54">
        <f t="shared" si="0"/>
        <v>2900.604491416485</v>
      </c>
      <c r="F54">
        <f t="shared" si="1"/>
        <v>8413506.4156254847</v>
      </c>
      <c r="G54" s="36">
        <f t="shared" si="2"/>
        <v>0.13387965579866504</v>
      </c>
    </row>
    <row r="55" spans="1:7" x14ac:dyDescent="0.35">
      <c r="A55" s="40">
        <v>40585</v>
      </c>
      <c r="B55" s="17">
        <v>37887.17</v>
      </c>
      <c r="C55" s="17">
        <f t="shared" si="4"/>
        <v>20215.457754291754</v>
      </c>
      <c r="D55" s="36">
        <f t="shared" si="3"/>
        <v>0.87416829539546437</v>
      </c>
      <c r="E55">
        <f t="shared" si="0"/>
        <v>17671.712245708244</v>
      </c>
      <c r="F55">
        <f t="shared" si="1"/>
        <v>312289413.69511473</v>
      </c>
      <c r="G55" s="36">
        <f t="shared" si="2"/>
        <v>0.46642998792752915</v>
      </c>
    </row>
    <row r="56" spans="1:7" x14ac:dyDescent="0.35">
      <c r="A56" s="40">
        <v>40592</v>
      </c>
      <c r="B56" s="17">
        <v>46845.87</v>
      </c>
      <c r="C56" s="17">
        <f t="shared" si="4"/>
        <v>29051.313877145876</v>
      </c>
      <c r="D56" s="36">
        <f t="shared" si="3"/>
        <v>0.61252156092164811</v>
      </c>
      <c r="E56">
        <f t="shared" si="0"/>
        <v>17794.556122854126</v>
      </c>
      <c r="F56">
        <f t="shared" si="1"/>
        <v>316646227.60940528</v>
      </c>
      <c r="G56" s="36">
        <f t="shared" si="2"/>
        <v>0.37985325329328123</v>
      </c>
    </row>
    <row r="57" spans="1:7" x14ac:dyDescent="0.35">
      <c r="A57" s="40">
        <v>40599</v>
      </c>
      <c r="B57" s="17">
        <v>19363.830000000002</v>
      </c>
      <c r="C57" s="17">
        <f t="shared" si="4"/>
        <v>37948.591938572936</v>
      </c>
      <c r="D57" s="36">
        <f t="shared" si="3"/>
        <v>-0.48973521780876428</v>
      </c>
      <c r="E57">
        <f t="shared" si="0"/>
        <v>18584.761938572934</v>
      </c>
      <c r="F57">
        <f t="shared" si="1"/>
        <v>345393376.31342918</v>
      </c>
      <c r="G57" s="36">
        <f t="shared" si="2"/>
        <v>0.95976684047385941</v>
      </c>
    </row>
    <row r="58" spans="1:7" x14ac:dyDescent="0.35">
      <c r="A58" s="40">
        <v>40606</v>
      </c>
      <c r="B58" s="17">
        <v>20327.61</v>
      </c>
      <c r="C58" s="17">
        <f t="shared" si="4"/>
        <v>28656.210969286469</v>
      </c>
      <c r="D58" s="36">
        <f t="shared" si="3"/>
        <v>-0.29063859762244926</v>
      </c>
      <c r="E58">
        <f t="shared" si="0"/>
        <v>8328.6009692864682</v>
      </c>
      <c r="F58">
        <f t="shared" si="1"/>
        <v>69365594.105599493</v>
      </c>
      <c r="G58" s="36">
        <f t="shared" si="2"/>
        <v>0.40971865208386365</v>
      </c>
    </row>
    <row r="59" spans="1:7" x14ac:dyDescent="0.35">
      <c r="A59" s="40">
        <v>40613</v>
      </c>
      <c r="B59" s="17">
        <v>21280.400000000001</v>
      </c>
      <c r="C59" s="17">
        <f t="shared" si="4"/>
        <v>24491.910484643235</v>
      </c>
      <c r="D59" s="36">
        <f t="shared" si="3"/>
        <v>-0.13112535613164578</v>
      </c>
      <c r="E59">
        <f t="shared" si="0"/>
        <v>3211.5104846432332</v>
      </c>
      <c r="F59">
        <f t="shared" si="1"/>
        <v>10313799.592973415</v>
      </c>
      <c r="G59" s="36">
        <f t="shared" si="2"/>
        <v>0.15091400935335958</v>
      </c>
    </row>
    <row r="60" spans="1:7" x14ac:dyDescent="0.35">
      <c r="A60" s="40">
        <v>40620</v>
      </c>
      <c r="B60" s="17">
        <v>20334.23</v>
      </c>
      <c r="C60" s="17">
        <f t="shared" si="4"/>
        <v>22886.15524232162</v>
      </c>
      <c r="D60" s="36">
        <f t="shared" si="3"/>
        <v>-0.11150519671397408</v>
      </c>
      <c r="E60">
        <f t="shared" si="0"/>
        <v>2551.9252423216203</v>
      </c>
      <c r="F60">
        <f t="shared" si="1"/>
        <v>6512322.4423982603</v>
      </c>
      <c r="G60" s="36">
        <f t="shared" si="2"/>
        <v>0.12549898581463967</v>
      </c>
    </row>
    <row r="61" spans="1:7" x14ac:dyDescent="0.35">
      <c r="A61" s="40">
        <v>40627</v>
      </c>
      <c r="B61" s="17">
        <v>20881.099999999999</v>
      </c>
      <c r="C61" s="17">
        <f t="shared" si="4"/>
        <v>21610.192621160808</v>
      </c>
      <c r="D61" s="36">
        <f t="shared" si="3"/>
        <v>-3.3738367535274927E-2</v>
      </c>
      <c r="E61">
        <f t="shared" si="0"/>
        <v>729.09262116080936</v>
      </c>
      <c r="F61">
        <f t="shared" si="1"/>
        <v>531576.05023113952</v>
      </c>
      <c r="G61" s="36">
        <f t="shared" si="2"/>
        <v>3.4916389517832366E-2</v>
      </c>
    </row>
    <row r="62" spans="1:7" x14ac:dyDescent="0.35">
      <c r="A62" s="40">
        <v>40634</v>
      </c>
      <c r="B62" s="17">
        <v>20398.09</v>
      </c>
      <c r="C62" s="17">
        <f t="shared" si="4"/>
        <v>21245.646310580403</v>
      </c>
      <c r="D62" s="36">
        <f t="shared" si="3"/>
        <v>-3.9893176144908171E-2</v>
      </c>
      <c r="E62">
        <f t="shared" si="0"/>
        <v>847.55631058040308</v>
      </c>
      <c r="F62">
        <f t="shared" si="1"/>
        <v>718351.6996046647</v>
      </c>
      <c r="G62" s="36">
        <f t="shared" si="2"/>
        <v>4.1550768262146265E-2</v>
      </c>
    </row>
    <row r="63" spans="1:7" x14ac:dyDescent="0.35">
      <c r="A63" s="40">
        <v>40641</v>
      </c>
      <c r="B63" s="17">
        <v>23873.79</v>
      </c>
      <c r="C63" s="17">
        <f t="shared" si="4"/>
        <v>20821.868155290202</v>
      </c>
      <c r="D63" s="36">
        <f t="shared" si="3"/>
        <v>0.14657291180351639</v>
      </c>
      <c r="E63">
        <f t="shared" si="0"/>
        <v>3051.9218447097992</v>
      </c>
      <c r="F63">
        <f t="shared" si="1"/>
        <v>9314226.9462168645</v>
      </c>
      <c r="G63" s="36">
        <f t="shared" si="2"/>
        <v>0.12783566600484461</v>
      </c>
    </row>
    <row r="64" spans="1:7" x14ac:dyDescent="0.35">
      <c r="A64" s="40">
        <v>40648</v>
      </c>
      <c r="B64" s="17">
        <v>28762.37</v>
      </c>
      <c r="C64" s="17">
        <f t="shared" si="4"/>
        <v>22347.829077645103</v>
      </c>
      <c r="D64" s="36">
        <f t="shared" si="3"/>
        <v>0.28703194838604995</v>
      </c>
      <c r="E64">
        <f t="shared" si="0"/>
        <v>6414.5409223548959</v>
      </c>
      <c r="F64">
        <f t="shared" si="1"/>
        <v>41146335.244565599</v>
      </c>
      <c r="G64" s="36">
        <f t="shared" si="2"/>
        <v>0.22301851072616394</v>
      </c>
    </row>
    <row r="65" spans="1:7" x14ac:dyDescent="0.35">
      <c r="A65" s="40">
        <v>40655</v>
      </c>
      <c r="B65" s="17">
        <v>50510.31</v>
      </c>
      <c r="C65" s="17">
        <f t="shared" si="4"/>
        <v>25555.099538822549</v>
      </c>
      <c r="D65" s="36">
        <f t="shared" si="3"/>
        <v>0.97652566069117563</v>
      </c>
      <c r="E65">
        <f t="shared" si="0"/>
        <v>24955.210461177448</v>
      </c>
      <c r="F65">
        <f t="shared" si="1"/>
        <v>622762529.16166031</v>
      </c>
      <c r="G65" s="36">
        <f t="shared" si="2"/>
        <v>0.49406171653227726</v>
      </c>
    </row>
    <row r="66" spans="1:7" x14ac:dyDescent="0.35">
      <c r="A66" s="40">
        <v>40662</v>
      </c>
      <c r="B66" s="17">
        <v>41512.39</v>
      </c>
      <c r="C66" s="17">
        <f t="shared" si="4"/>
        <v>38032.70476941127</v>
      </c>
      <c r="D66" s="36">
        <f t="shared" si="3"/>
        <v>9.1491921273696875E-2</v>
      </c>
      <c r="E66">
        <f t="shared" si="0"/>
        <v>3479.6852305887296</v>
      </c>
      <c r="F66">
        <f t="shared" si="1"/>
        <v>12108209.30397734</v>
      </c>
      <c r="G66" s="36">
        <f t="shared" si="2"/>
        <v>8.3822811227894367E-2</v>
      </c>
    </row>
    <row r="67" spans="1:7" x14ac:dyDescent="0.35">
      <c r="A67" s="40">
        <v>40669</v>
      </c>
      <c r="B67" s="17">
        <v>20138.189999999999</v>
      </c>
      <c r="C67" s="17">
        <f t="shared" si="4"/>
        <v>39772.547384705635</v>
      </c>
      <c r="D67" s="36">
        <f t="shared" si="3"/>
        <v>-0.49366607561717168</v>
      </c>
      <c r="E67">
        <f t="shared" ref="E67:E130" si="5">AVERAGE(ABS(B67-C67))</f>
        <v>19634.357384705636</v>
      </c>
      <c r="F67">
        <f t="shared" ref="F67:F130" si="6">E67^2</f>
        <v>385507989.91034472</v>
      </c>
      <c r="G67" s="36">
        <f t="shared" ref="G67:G130" si="7">AVERAGE(ABS(B67-C67)/B67)</f>
        <v>0.97498123638249701</v>
      </c>
    </row>
    <row r="68" spans="1:7" x14ac:dyDescent="0.35">
      <c r="A68" s="40">
        <v>40676</v>
      </c>
      <c r="B68" s="17">
        <v>17235.150000000001</v>
      </c>
      <c r="C68" s="17">
        <f t="shared" ref="C68:C131" si="8">0.5*B67+0.5*C67</f>
        <v>29955.368692352815</v>
      </c>
      <c r="D68" s="36">
        <f t="shared" ref="D68:D131" si="9">IF(C68=0,0,(B68/C68)-1)</f>
        <v>-0.42463902958403932</v>
      </c>
      <c r="E68">
        <f t="shared" si="5"/>
        <v>12720.218692352813</v>
      </c>
      <c r="F68">
        <f t="shared" si="6"/>
        <v>161803963.58128193</v>
      </c>
      <c r="G68" s="36">
        <f t="shared" si="7"/>
        <v>0.73803933776919917</v>
      </c>
    </row>
    <row r="69" spans="1:7" x14ac:dyDescent="0.35">
      <c r="A69" s="40">
        <v>40683</v>
      </c>
      <c r="B69" s="17">
        <v>15136.78</v>
      </c>
      <c r="C69" s="17">
        <f t="shared" si="8"/>
        <v>23595.259346176408</v>
      </c>
      <c r="D69" s="36">
        <f t="shared" si="9"/>
        <v>-0.35848215194748845</v>
      </c>
      <c r="E69">
        <f t="shared" si="5"/>
        <v>8458.4793461764075</v>
      </c>
      <c r="F69">
        <f t="shared" si="6"/>
        <v>71545872.849692866</v>
      </c>
      <c r="G69" s="36">
        <f t="shared" si="7"/>
        <v>0.55880308402291679</v>
      </c>
    </row>
    <row r="70" spans="1:7" x14ac:dyDescent="0.35">
      <c r="A70" s="40">
        <v>40690</v>
      </c>
      <c r="B70" s="17">
        <v>15741.6</v>
      </c>
      <c r="C70" s="17">
        <f t="shared" si="8"/>
        <v>19366.019673088205</v>
      </c>
      <c r="D70" s="36">
        <f t="shared" si="9"/>
        <v>-0.18715356765462976</v>
      </c>
      <c r="E70">
        <f t="shared" si="5"/>
        <v>3624.4196730882049</v>
      </c>
      <c r="F70">
        <f t="shared" si="6"/>
        <v>13136417.966668811</v>
      </c>
      <c r="G70" s="36">
        <f t="shared" si="7"/>
        <v>0.23024468116889038</v>
      </c>
    </row>
    <row r="71" spans="1:7" x14ac:dyDescent="0.35">
      <c r="A71" s="40">
        <v>40697</v>
      </c>
      <c r="B71" s="17">
        <v>16434.150000000001</v>
      </c>
      <c r="C71" s="17">
        <f t="shared" si="8"/>
        <v>17553.809836544104</v>
      </c>
      <c r="D71" s="36">
        <f t="shared" si="9"/>
        <v>-6.3784434659486688E-2</v>
      </c>
      <c r="E71">
        <f t="shared" si="5"/>
        <v>1119.6598365441023</v>
      </c>
      <c r="F71">
        <f t="shared" si="6"/>
        <v>1253638.1495699659</v>
      </c>
      <c r="G71" s="36">
        <f t="shared" si="7"/>
        <v>6.8130072838820513E-2</v>
      </c>
    </row>
    <row r="72" spans="1:7" x14ac:dyDescent="0.35">
      <c r="A72" s="40">
        <v>40704</v>
      </c>
      <c r="B72" s="17">
        <v>15883.52</v>
      </c>
      <c r="C72" s="17">
        <f t="shared" si="8"/>
        <v>16993.979918272053</v>
      </c>
      <c r="D72" s="36">
        <f t="shared" si="9"/>
        <v>-6.5344311551061574E-2</v>
      </c>
      <c r="E72">
        <f t="shared" si="5"/>
        <v>1110.4599182720522</v>
      </c>
      <c r="F72">
        <f t="shared" si="6"/>
        <v>1233121.2300887727</v>
      </c>
      <c r="G72" s="36">
        <f t="shared" si="7"/>
        <v>6.9912709416555779E-2</v>
      </c>
    </row>
    <row r="73" spans="1:7" x14ac:dyDescent="0.35">
      <c r="A73" s="40">
        <v>40711</v>
      </c>
      <c r="B73" s="17">
        <v>14978.09</v>
      </c>
      <c r="C73" s="17">
        <f t="shared" si="8"/>
        <v>16438.749959136025</v>
      </c>
      <c r="D73" s="36">
        <f t="shared" si="9"/>
        <v>-8.8854685591482352E-2</v>
      </c>
      <c r="E73">
        <f t="shared" si="5"/>
        <v>1460.6599591360246</v>
      </c>
      <c r="F73">
        <f t="shared" si="6"/>
        <v>2133527.5162232528</v>
      </c>
      <c r="G73" s="36">
        <f t="shared" si="7"/>
        <v>9.7519774493011094E-2</v>
      </c>
    </row>
    <row r="74" spans="1:7" x14ac:dyDescent="0.35">
      <c r="A74" s="40">
        <v>40718</v>
      </c>
      <c r="B74" s="17">
        <v>15682.81</v>
      </c>
      <c r="C74" s="17">
        <f t="shared" si="8"/>
        <v>15708.419979568012</v>
      </c>
      <c r="D74" s="36">
        <f t="shared" si="9"/>
        <v>-1.630334534047595E-3</v>
      </c>
      <c r="E74">
        <f t="shared" si="5"/>
        <v>25.609979568012932</v>
      </c>
      <c r="F74">
        <f t="shared" si="6"/>
        <v>655.87105347403985</v>
      </c>
      <c r="G74" s="36">
        <f t="shared" si="7"/>
        <v>1.6329968652309716E-3</v>
      </c>
    </row>
    <row r="75" spans="1:7" x14ac:dyDescent="0.35">
      <c r="A75" s="40">
        <v>40725</v>
      </c>
      <c r="B75" s="17">
        <v>15363.5</v>
      </c>
      <c r="C75" s="17">
        <f t="shared" si="8"/>
        <v>15695.614989784006</v>
      </c>
      <c r="D75" s="36">
        <f t="shared" si="9"/>
        <v>-2.1159730918487329E-2</v>
      </c>
      <c r="E75">
        <f t="shared" si="5"/>
        <v>332.11498978400596</v>
      </c>
      <c r="F75">
        <f t="shared" si="6"/>
        <v>110300.36643923038</v>
      </c>
      <c r="G75" s="36">
        <f t="shared" si="7"/>
        <v>2.1617143865916358E-2</v>
      </c>
    </row>
    <row r="76" spans="1:7" x14ac:dyDescent="0.35">
      <c r="A76" s="40">
        <v>40732</v>
      </c>
      <c r="B76" s="17">
        <v>16148.87</v>
      </c>
      <c r="C76" s="17">
        <f t="shared" si="8"/>
        <v>15529.557494892004</v>
      </c>
      <c r="D76" s="36">
        <f t="shared" si="9"/>
        <v>3.9879597684074453E-2</v>
      </c>
      <c r="E76">
        <f t="shared" si="5"/>
        <v>619.31250510799691</v>
      </c>
      <c r="F76">
        <f t="shared" si="6"/>
        <v>383547.9789831427</v>
      </c>
      <c r="G76" s="36">
        <f t="shared" si="7"/>
        <v>3.8350206863266401E-2</v>
      </c>
    </row>
    <row r="77" spans="1:7" x14ac:dyDescent="0.35">
      <c r="A77" s="40">
        <v>40739</v>
      </c>
      <c r="B77" s="17">
        <v>15654.85</v>
      </c>
      <c r="C77" s="17">
        <f t="shared" si="8"/>
        <v>15839.213747446003</v>
      </c>
      <c r="D77" s="36">
        <f t="shared" si="9"/>
        <v>-1.1639703231843268E-2</v>
      </c>
      <c r="E77">
        <f t="shared" si="5"/>
        <v>184.36374744600289</v>
      </c>
      <c r="F77">
        <f t="shared" si="6"/>
        <v>33989.991372333534</v>
      </c>
      <c r="G77" s="36">
        <f t="shared" si="7"/>
        <v>1.177678147321775E-2</v>
      </c>
    </row>
    <row r="78" spans="1:7" x14ac:dyDescent="0.35">
      <c r="A78" s="40">
        <v>40746</v>
      </c>
      <c r="B78" s="17">
        <v>15766.6</v>
      </c>
      <c r="C78" s="17">
        <f t="shared" si="8"/>
        <v>15747.031873723001</v>
      </c>
      <c r="D78" s="36">
        <f t="shared" si="9"/>
        <v>1.2426548973747398E-3</v>
      </c>
      <c r="E78">
        <f t="shared" si="5"/>
        <v>19.568126276999465</v>
      </c>
      <c r="F78">
        <f t="shared" si="6"/>
        <v>382.91156599259693</v>
      </c>
      <c r="G78" s="36">
        <f t="shared" si="7"/>
        <v>1.2411126226960451E-3</v>
      </c>
    </row>
    <row r="79" spans="1:7" x14ac:dyDescent="0.35">
      <c r="A79" s="40">
        <v>40753</v>
      </c>
      <c r="B79" s="17">
        <v>15922.41</v>
      </c>
      <c r="C79" s="17">
        <f t="shared" si="8"/>
        <v>15756.815936861502</v>
      </c>
      <c r="D79" s="36">
        <f t="shared" si="9"/>
        <v>1.0509360761846942E-2</v>
      </c>
      <c r="E79">
        <f t="shared" si="5"/>
        <v>165.59406313849831</v>
      </c>
      <c r="F79">
        <f t="shared" si="6"/>
        <v>27421.393746716967</v>
      </c>
      <c r="G79" s="36">
        <f t="shared" si="7"/>
        <v>1.0400062750456641E-2</v>
      </c>
    </row>
    <row r="80" spans="1:7" x14ac:dyDescent="0.35">
      <c r="A80" s="40">
        <v>40760</v>
      </c>
      <c r="B80" s="17">
        <v>15295.55</v>
      </c>
      <c r="C80" s="17">
        <f t="shared" si="8"/>
        <v>15839.612968430751</v>
      </c>
      <c r="D80" s="36">
        <f t="shared" si="9"/>
        <v>-3.434824888178134E-2</v>
      </c>
      <c r="E80">
        <f t="shared" si="5"/>
        <v>544.06296843075143</v>
      </c>
      <c r="F80">
        <f t="shared" si="6"/>
        <v>296004.51361768082</v>
      </c>
      <c r="G80" s="36">
        <f t="shared" si="7"/>
        <v>3.5570016666988204E-2</v>
      </c>
    </row>
    <row r="81" spans="1:7" x14ac:dyDescent="0.35">
      <c r="A81" s="40">
        <v>40767</v>
      </c>
      <c r="B81" s="17">
        <v>14539.79</v>
      </c>
      <c r="C81" s="17">
        <f t="shared" si="8"/>
        <v>15567.581484215374</v>
      </c>
      <c r="D81" s="36">
        <f t="shared" si="9"/>
        <v>-6.6021268959311041E-2</v>
      </c>
      <c r="E81">
        <f t="shared" si="5"/>
        <v>1027.7914842153732</v>
      </c>
      <c r="F81">
        <f t="shared" si="6"/>
        <v>1056355.3350256397</v>
      </c>
      <c r="G81" s="36">
        <f t="shared" si="7"/>
        <v>7.0688193173035721E-2</v>
      </c>
    </row>
    <row r="82" spans="1:7" x14ac:dyDescent="0.35">
      <c r="A82" s="40">
        <v>40774</v>
      </c>
      <c r="B82" s="17">
        <v>14689.24</v>
      </c>
      <c r="C82" s="17">
        <f t="shared" si="8"/>
        <v>15053.685742107687</v>
      </c>
      <c r="D82" s="36">
        <f t="shared" si="9"/>
        <v>-2.4209734967980068E-2</v>
      </c>
      <c r="E82">
        <f t="shared" si="5"/>
        <v>364.44574210768769</v>
      </c>
      <c r="F82">
        <f t="shared" si="6"/>
        <v>132820.6989404232</v>
      </c>
      <c r="G82" s="36">
        <f t="shared" si="7"/>
        <v>2.4810387883082291E-2</v>
      </c>
    </row>
    <row r="83" spans="1:7" x14ac:dyDescent="0.35">
      <c r="A83" s="40">
        <v>40781</v>
      </c>
      <c r="B83" s="17">
        <v>14537.37</v>
      </c>
      <c r="C83" s="17">
        <f t="shared" si="8"/>
        <v>14871.462871053844</v>
      </c>
      <c r="D83" s="36">
        <f t="shared" si="9"/>
        <v>-2.2465366988484337E-2</v>
      </c>
      <c r="E83">
        <f t="shared" si="5"/>
        <v>334.09287105384283</v>
      </c>
      <c r="F83">
        <f t="shared" si="6"/>
        <v>111618.04648899965</v>
      </c>
      <c r="G83" s="36">
        <f t="shared" si="7"/>
        <v>2.2981658377948886E-2</v>
      </c>
    </row>
    <row r="84" spans="1:7" x14ac:dyDescent="0.35">
      <c r="A84" s="40">
        <v>40788</v>
      </c>
      <c r="B84" s="17">
        <v>15277.27</v>
      </c>
      <c r="C84" s="17">
        <f t="shared" si="8"/>
        <v>14704.416435526922</v>
      </c>
      <c r="D84" s="36">
        <f t="shared" si="9"/>
        <v>3.895792580309565E-2</v>
      </c>
      <c r="E84">
        <f t="shared" si="5"/>
        <v>572.85356447307822</v>
      </c>
      <c r="F84">
        <f t="shared" si="6"/>
        <v>328161.20632951119</v>
      </c>
      <c r="G84" s="36">
        <f t="shared" si="7"/>
        <v>3.749711594238226E-2</v>
      </c>
    </row>
    <row r="85" spans="1:7" x14ac:dyDescent="0.35">
      <c r="A85" s="40">
        <v>40795</v>
      </c>
      <c r="B85" s="17">
        <v>17746.68</v>
      </c>
      <c r="C85" s="17">
        <f t="shared" si="8"/>
        <v>14990.84321776346</v>
      </c>
      <c r="D85" s="36">
        <f t="shared" si="9"/>
        <v>0.18383467442118273</v>
      </c>
      <c r="E85">
        <f t="shared" si="5"/>
        <v>2755.8367822365399</v>
      </c>
      <c r="F85">
        <f t="shared" si="6"/>
        <v>7594636.3703278461</v>
      </c>
      <c r="G85" s="36">
        <f t="shared" si="7"/>
        <v>0.15528745558248302</v>
      </c>
    </row>
    <row r="86" spans="1:7" x14ac:dyDescent="0.35">
      <c r="A86" s="40">
        <v>40802</v>
      </c>
      <c r="B86" s="17">
        <v>18535.48</v>
      </c>
      <c r="C86" s="17">
        <f t="shared" si="8"/>
        <v>16368.76160888173</v>
      </c>
      <c r="D86" s="36">
        <f t="shared" si="9"/>
        <v>0.13236910909268795</v>
      </c>
      <c r="E86">
        <f t="shared" si="5"/>
        <v>2166.7183911182692</v>
      </c>
      <c r="F86">
        <f t="shared" si="6"/>
        <v>4694668.5864101406</v>
      </c>
      <c r="G86" s="36">
        <f t="shared" si="7"/>
        <v>0.1168957259870405</v>
      </c>
    </row>
    <row r="87" spans="1:7" x14ac:dyDescent="0.35">
      <c r="A87" s="40">
        <v>40809</v>
      </c>
      <c r="B87" s="17">
        <v>17859.3</v>
      </c>
      <c r="C87" s="17">
        <f t="shared" si="8"/>
        <v>17452.120804440863</v>
      </c>
      <c r="D87" s="36">
        <f t="shared" si="9"/>
        <v>2.3331215737145472E-2</v>
      </c>
      <c r="E87">
        <f t="shared" si="5"/>
        <v>407.17919555913613</v>
      </c>
      <c r="F87">
        <f t="shared" si="6"/>
        <v>165794.89729618523</v>
      </c>
      <c r="G87" s="36">
        <f t="shared" si="7"/>
        <v>2.2799280798191202E-2</v>
      </c>
    </row>
    <row r="88" spans="1:7" x14ac:dyDescent="0.35">
      <c r="A88" s="40">
        <v>40816</v>
      </c>
      <c r="B88" s="17">
        <v>18337.68</v>
      </c>
      <c r="C88" s="17">
        <f t="shared" si="8"/>
        <v>17655.710402220429</v>
      </c>
      <c r="D88" s="36">
        <f t="shared" si="9"/>
        <v>3.8626007237511306E-2</v>
      </c>
      <c r="E88">
        <f t="shared" si="5"/>
        <v>681.9695977795709</v>
      </c>
      <c r="F88">
        <f t="shared" si="6"/>
        <v>465082.53229562973</v>
      </c>
      <c r="G88" s="36">
        <f t="shared" si="7"/>
        <v>3.7189524398919108E-2</v>
      </c>
    </row>
    <row r="89" spans="1:7" x14ac:dyDescent="0.35">
      <c r="A89" s="40">
        <v>40823</v>
      </c>
      <c r="B89" s="17">
        <v>20797.580000000002</v>
      </c>
      <c r="C89" s="17">
        <f t="shared" si="8"/>
        <v>17996.695201110215</v>
      </c>
      <c r="D89" s="36">
        <f t="shared" si="9"/>
        <v>0.1556332853110165</v>
      </c>
      <c r="E89">
        <f t="shared" si="5"/>
        <v>2800.8847988897869</v>
      </c>
      <c r="F89">
        <f t="shared" si="6"/>
        <v>7844955.6566518825</v>
      </c>
      <c r="G89" s="36">
        <f t="shared" si="7"/>
        <v>0.13467359177797544</v>
      </c>
    </row>
    <row r="90" spans="1:7" x14ac:dyDescent="0.35">
      <c r="A90" s="40">
        <v>40830</v>
      </c>
      <c r="B90" s="17">
        <v>23077.55</v>
      </c>
      <c r="C90" s="17">
        <f t="shared" si="8"/>
        <v>19397.137600555106</v>
      </c>
      <c r="D90" s="36">
        <f t="shared" si="9"/>
        <v>0.18973997479605265</v>
      </c>
      <c r="E90">
        <f t="shared" si="5"/>
        <v>3680.4123994448928</v>
      </c>
      <c r="F90">
        <f t="shared" si="6"/>
        <v>13545435.429987714</v>
      </c>
      <c r="G90" s="36">
        <f t="shared" si="7"/>
        <v>0.15948020476371594</v>
      </c>
    </row>
    <row r="91" spans="1:7" x14ac:dyDescent="0.35">
      <c r="A91" s="40">
        <v>40837</v>
      </c>
      <c r="B91" s="17">
        <v>23351.8</v>
      </c>
      <c r="C91" s="17">
        <f t="shared" si="8"/>
        <v>21237.343800277551</v>
      </c>
      <c r="D91" s="36">
        <f t="shared" si="9"/>
        <v>9.9563119550516221E-2</v>
      </c>
      <c r="E91">
        <f t="shared" si="5"/>
        <v>2114.4561997224482</v>
      </c>
      <c r="F91">
        <f t="shared" si="6"/>
        <v>4470925.0205446975</v>
      </c>
      <c r="G91" s="36">
        <f t="shared" si="7"/>
        <v>9.0547889230057133E-2</v>
      </c>
    </row>
    <row r="92" spans="1:7" x14ac:dyDescent="0.35">
      <c r="A92" s="40">
        <v>40844</v>
      </c>
      <c r="B92" s="17">
        <v>31579.9</v>
      </c>
      <c r="C92" s="17">
        <f t="shared" si="8"/>
        <v>22294.571900138777</v>
      </c>
      <c r="D92" s="36">
        <f t="shared" si="9"/>
        <v>0.41648380338729107</v>
      </c>
      <c r="E92">
        <f t="shared" si="5"/>
        <v>9285.3280998612245</v>
      </c>
      <c r="F92">
        <f t="shared" si="6"/>
        <v>86217317.922072455</v>
      </c>
      <c r="G92" s="36">
        <f t="shared" si="7"/>
        <v>0.29402652002891788</v>
      </c>
    </row>
    <row r="93" spans="1:7" x14ac:dyDescent="0.35">
      <c r="A93" s="40">
        <v>40851</v>
      </c>
      <c r="B93" s="17">
        <v>39886.06</v>
      </c>
      <c r="C93" s="17">
        <f t="shared" si="8"/>
        <v>26937.235950069389</v>
      </c>
      <c r="D93" s="36">
        <f t="shared" si="9"/>
        <v>0.48070351664634137</v>
      </c>
      <c r="E93">
        <f t="shared" si="5"/>
        <v>12948.824049930608</v>
      </c>
      <c r="F93">
        <f t="shared" si="6"/>
        <v>167672044.27606133</v>
      </c>
      <c r="G93" s="36">
        <f t="shared" si="7"/>
        <v>0.3246453535378177</v>
      </c>
    </row>
    <row r="94" spans="1:7" x14ac:dyDescent="0.35">
      <c r="A94" s="40">
        <v>40858</v>
      </c>
      <c r="B94" s="17">
        <v>18689.54</v>
      </c>
      <c r="C94" s="17">
        <f t="shared" si="8"/>
        <v>33411.647975034692</v>
      </c>
      <c r="D94" s="36">
        <f t="shared" si="9"/>
        <v>-0.44062801050804512</v>
      </c>
      <c r="E94">
        <f t="shared" si="5"/>
        <v>14722.107975034691</v>
      </c>
      <c r="F94">
        <f t="shared" si="6"/>
        <v>216740463.22858003</v>
      </c>
      <c r="G94" s="36">
        <f t="shared" si="7"/>
        <v>0.78771911855694099</v>
      </c>
    </row>
    <row r="95" spans="1:7" x14ac:dyDescent="0.35">
      <c r="A95" s="40">
        <v>40865</v>
      </c>
      <c r="B95" s="17">
        <v>19050.66</v>
      </c>
      <c r="C95" s="17">
        <f t="shared" si="8"/>
        <v>26050.593987517346</v>
      </c>
      <c r="D95" s="36">
        <f t="shared" si="9"/>
        <v>-0.26870535047575128</v>
      </c>
      <c r="E95">
        <f t="shared" si="5"/>
        <v>6999.9339875173464</v>
      </c>
      <c r="F95">
        <f t="shared" si="6"/>
        <v>48999075.829600498</v>
      </c>
      <c r="G95" s="36">
        <f t="shared" si="7"/>
        <v>0.36743787288825408</v>
      </c>
    </row>
    <row r="96" spans="1:7" x14ac:dyDescent="0.35">
      <c r="A96" s="40">
        <v>40872</v>
      </c>
      <c r="B96" s="17">
        <v>20911.25</v>
      </c>
      <c r="C96" s="17">
        <f t="shared" si="8"/>
        <v>22550.626993758673</v>
      </c>
      <c r="D96" s="36">
        <f t="shared" si="9"/>
        <v>-7.269762362760035E-2</v>
      </c>
      <c r="E96">
        <f t="shared" si="5"/>
        <v>1639.3769937586731</v>
      </c>
      <c r="F96">
        <f t="shared" si="6"/>
        <v>2687556.9276652243</v>
      </c>
      <c r="G96" s="36">
        <f t="shared" si="7"/>
        <v>7.8396891326853874E-2</v>
      </c>
    </row>
    <row r="97" spans="1:7" x14ac:dyDescent="0.35">
      <c r="A97" s="40">
        <v>40879</v>
      </c>
      <c r="B97" s="17">
        <v>25293.49</v>
      </c>
      <c r="C97" s="17">
        <f t="shared" si="8"/>
        <v>21730.938496879338</v>
      </c>
      <c r="D97" s="36">
        <f t="shared" si="9"/>
        <v>0.16393914619160421</v>
      </c>
      <c r="E97">
        <f t="shared" si="5"/>
        <v>3562.5515031206633</v>
      </c>
      <c r="F97">
        <f t="shared" si="6"/>
        <v>12691773.212387297</v>
      </c>
      <c r="G97" s="36">
        <f t="shared" si="7"/>
        <v>0.1408485544351793</v>
      </c>
    </row>
    <row r="98" spans="1:7" x14ac:dyDescent="0.35">
      <c r="A98" s="40">
        <v>40886</v>
      </c>
      <c r="B98" s="17">
        <v>33305.919999999998</v>
      </c>
      <c r="C98" s="17">
        <f t="shared" si="8"/>
        <v>23512.214248439668</v>
      </c>
      <c r="D98" s="36">
        <f t="shared" si="9"/>
        <v>0.41653693897461253</v>
      </c>
      <c r="E98">
        <f t="shared" si="5"/>
        <v>9793.7057515603301</v>
      </c>
      <c r="F98">
        <f t="shared" si="6"/>
        <v>95916672.348145887</v>
      </c>
      <c r="G98" s="36">
        <f t="shared" si="7"/>
        <v>0.29405300173543714</v>
      </c>
    </row>
    <row r="99" spans="1:7" x14ac:dyDescent="0.35">
      <c r="A99" s="40">
        <v>40893</v>
      </c>
      <c r="B99" s="17">
        <v>45773.03</v>
      </c>
      <c r="C99" s="17">
        <f t="shared" si="8"/>
        <v>28409.067124219833</v>
      </c>
      <c r="D99" s="36">
        <f t="shared" si="9"/>
        <v>0.6112120049509373</v>
      </c>
      <c r="E99">
        <f t="shared" si="5"/>
        <v>17363.962875780166</v>
      </c>
      <c r="F99">
        <f t="shared" si="6"/>
        <v>301507206.75147182</v>
      </c>
      <c r="G99" s="36">
        <f t="shared" si="7"/>
        <v>0.37934921231520319</v>
      </c>
    </row>
    <row r="100" spans="1:7" x14ac:dyDescent="0.35">
      <c r="A100" s="40">
        <v>40900</v>
      </c>
      <c r="B100" s="17">
        <v>46788.75</v>
      </c>
      <c r="C100" s="17">
        <f t="shared" si="8"/>
        <v>37091.048562109914</v>
      </c>
      <c r="D100" s="36">
        <f t="shared" si="9"/>
        <v>0.26145665366270343</v>
      </c>
      <c r="E100">
        <f t="shared" si="5"/>
        <v>9697.7014378900858</v>
      </c>
      <c r="F100">
        <f t="shared" si="6"/>
        <v>94045413.178455442</v>
      </c>
      <c r="G100" s="36">
        <f t="shared" si="7"/>
        <v>0.20726566616740319</v>
      </c>
    </row>
    <row r="101" spans="1:7" x14ac:dyDescent="0.35">
      <c r="A101" s="40">
        <v>40907</v>
      </c>
      <c r="B101" s="17">
        <v>23350.880000000001</v>
      </c>
      <c r="C101" s="17">
        <f t="shared" si="8"/>
        <v>41939.899281054953</v>
      </c>
      <c r="D101" s="36">
        <f t="shared" si="9"/>
        <v>-0.44322994570118013</v>
      </c>
      <c r="E101">
        <f t="shared" si="5"/>
        <v>18589.019281054952</v>
      </c>
      <c r="F101">
        <f t="shared" si="6"/>
        <v>345551637.83143276</v>
      </c>
      <c r="G101" s="36">
        <f t="shared" si="7"/>
        <v>0.79607360754947787</v>
      </c>
    </row>
    <row r="102" spans="1:7" x14ac:dyDescent="0.35">
      <c r="A102" s="40">
        <v>40914</v>
      </c>
      <c r="B102" s="17">
        <v>16567.689999999999</v>
      </c>
      <c r="C102" s="17">
        <f t="shared" si="8"/>
        <v>32645.389640527479</v>
      </c>
      <c r="D102" s="36">
        <f t="shared" si="9"/>
        <v>-0.49249525943987782</v>
      </c>
      <c r="E102">
        <f t="shared" si="5"/>
        <v>16077.69964052748</v>
      </c>
      <c r="F102">
        <f t="shared" si="6"/>
        <v>258492425.73101747</v>
      </c>
      <c r="G102" s="36">
        <f t="shared" si="7"/>
        <v>0.97042494400411172</v>
      </c>
    </row>
    <row r="103" spans="1:7" x14ac:dyDescent="0.35">
      <c r="A103" s="40">
        <v>40921</v>
      </c>
      <c r="B103" s="17">
        <v>16894.400000000001</v>
      </c>
      <c r="C103" s="17">
        <f t="shared" si="8"/>
        <v>24606.539820263737</v>
      </c>
      <c r="D103" s="36">
        <f t="shared" si="9"/>
        <v>-0.31341829759878348</v>
      </c>
      <c r="E103">
        <f t="shared" si="5"/>
        <v>7712.1398202637356</v>
      </c>
      <c r="F103">
        <f t="shared" si="6"/>
        <v>59477100.607297562</v>
      </c>
      <c r="G103" s="36">
        <f t="shared" si="7"/>
        <v>0.45649089759113876</v>
      </c>
    </row>
    <row r="104" spans="1:7" x14ac:dyDescent="0.35">
      <c r="A104" s="40">
        <v>40928</v>
      </c>
      <c r="B104" s="17">
        <v>18365.099999999999</v>
      </c>
      <c r="C104" s="17">
        <f t="shared" si="8"/>
        <v>20750.469910131869</v>
      </c>
      <c r="D104" s="36">
        <f t="shared" si="9"/>
        <v>-0.11495498272871219</v>
      </c>
      <c r="E104">
        <f t="shared" si="5"/>
        <v>2385.3699101318707</v>
      </c>
      <c r="F104">
        <f t="shared" si="6"/>
        <v>5689989.6081625288</v>
      </c>
      <c r="G104" s="36">
        <f t="shared" si="7"/>
        <v>0.12988602894249804</v>
      </c>
    </row>
    <row r="105" spans="1:7" x14ac:dyDescent="0.35">
      <c r="A105" s="40">
        <v>40935</v>
      </c>
      <c r="B105" s="17">
        <v>18378.16</v>
      </c>
      <c r="C105" s="17">
        <f t="shared" si="8"/>
        <v>19557.784955065934</v>
      </c>
      <c r="D105" s="36">
        <f t="shared" si="9"/>
        <v>-6.0314854559252229E-2</v>
      </c>
      <c r="E105">
        <f t="shared" si="5"/>
        <v>1179.624955065934</v>
      </c>
      <c r="F105">
        <f t="shared" si="6"/>
        <v>1391515.0346143069</v>
      </c>
      <c r="G105" s="36">
        <f t="shared" si="7"/>
        <v>6.4186238179770663E-2</v>
      </c>
    </row>
    <row r="106" spans="1:7" x14ac:dyDescent="0.35">
      <c r="A106" s="40">
        <v>40942</v>
      </c>
      <c r="B106" s="17">
        <v>23510.49</v>
      </c>
      <c r="C106" s="17">
        <f t="shared" si="8"/>
        <v>18967.972477532967</v>
      </c>
      <c r="D106" s="36">
        <f t="shared" si="9"/>
        <v>0.23948355723562553</v>
      </c>
      <c r="E106">
        <f t="shared" si="5"/>
        <v>4542.5175224670347</v>
      </c>
      <c r="F106">
        <f t="shared" si="6"/>
        <v>20634465.441920046</v>
      </c>
      <c r="G106" s="36">
        <f t="shared" si="7"/>
        <v>0.19321237126350979</v>
      </c>
    </row>
    <row r="107" spans="1:7" x14ac:dyDescent="0.35">
      <c r="A107" s="40">
        <v>40949</v>
      </c>
      <c r="B107" s="17">
        <v>36988.49</v>
      </c>
      <c r="C107" s="17">
        <f t="shared" si="8"/>
        <v>21239.231238766486</v>
      </c>
      <c r="D107" s="36">
        <f t="shared" si="9"/>
        <v>0.74151736398478918</v>
      </c>
      <c r="E107">
        <f t="shared" si="5"/>
        <v>15749.258761233512</v>
      </c>
      <c r="F107">
        <f t="shared" si="6"/>
        <v>248039151.52829054</v>
      </c>
      <c r="G107" s="36">
        <f t="shared" si="7"/>
        <v>0.42578809681696961</v>
      </c>
    </row>
    <row r="108" spans="1:7" x14ac:dyDescent="0.35">
      <c r="A108" s="40">
        <v>40956</v>
      </c>
      <c r="B108" s="17">
        <v>54060.1</v>
      </c>
      <c r="C108" s="17">
        <f t="shared" si="8"/>
        <v>29113.860619383242</v>
      </c>
      <c r="D108" s="36">
        <f t="shared" si="9"/>
        <v>0.85685095861207117</v>
      </c>
      <c r="E108">
        <f t="shared" si="5"/>
        <v>24946.239380616757</v>
      </c>
      <c r="F108">
        <f t="shared" si="6"/>
        <v>622314859.23503435</v>
      </c>
      <c r="G108" s="36">
        <f t="shared" si="7"/>
        <v>0.46145381493220983</v>
      </c>
    </row>
    <row r="109" spans="1:7" x14ac:dyDescent="0.35">
      <c r="A109" s="40">
        <v>40963</v>
      </c>
      <c r="B109" s="17">
        <v>20124.22</v>
      </c>
      <c r="C109" s="17">
        <f t="shared" si="8"/>
        <v>41586.980309691622</v>
      </c>
      <c r="D109" s="36">
        <f t="shared" si="9"/>
        <v>-0.51609326163770153</v>
      </c>
      <c r="E109">
        <f t="shared" si="5"/>
        <v>21462.760309691621</v>
      </c>
      <c r="F109">
        <f t="shared" si="6"/>
        <v>460650080.11127394</v>
      </c>
      <c r="G109" s="36">
        <f t="shared" si="7"/>
        <v>1.0665138976661763</v>
      </c>
    </row>
    <row r="110" spans="1:7" x14ac:dyDescent="0.35">
      <c r="A110" s="40">
        <v>40970</v>
      </c>
      <c r="B110" s="17">
        <v>20113.03</v>
      </c>
      <c r="C110" s="17">
        <f t="shared" si="8"/>
        <v>30855.600154845812</v>
      </c>
      <c r="D110" s="36">
        <f t="shared" si="9"/>
        <v>-0.34815625367632697</v>
      </c>
      <c r="E110">
        <f t="shared" si="5"/>
        <v>10742.570154845813</v>
      </c>
      <c r="F110">
        <f t="shared" si="6"/>
        <v>115402813.53178398</v>
      </c>
      <c r="G110" s="36">
        <f t="shared" si="7"/>
        <v>0.53410998516115238</v>
      </c>
    </row>
    <row r="111" spans="1:7" x14ac:dyDescent="0.35">
      <c r="A111" s="40">
        <v>40977</v>
      </c>
      <c r="B111" s="17">
        <v>21140.07</v>
      </c>
      <c r="C111" s="17">
        <f t="shared" si="8"/>
        <v>25484.315077422907</v>
      </c>
      <c r="D111" s="36">
        <f t="shared" si="9"/>
        <v>-0.17046740570522789</v>
      </c>
      <c r="E111">
        <f t="shared" si="5"/>
        <v>4344.2450774229073</v>
      </c>
      <c r="F111">
        <f t="shared" si="6"/>
        <v>18872465.292713162</v>
      </c>
      <c r="G111" s="36">
        <f t="shared" si="7"/>
        <v>0.20549814061272775</v>
      </c>
    </row>
    <row r="112" spans="1:7" x14ac:dyDescent="0.35">
      <c r="A112" s="40">
        <v>40984</v>
      </c>
      <c r="B112" s="17">
        <v>22366.880000000001</v>
      </c>
      <c r="C112" s="17">
        <f t="shared" si="8"/>
        <v>23312.192538711453</v>
      </c>
      <c r="D112" s="36">
        <f t="shared" si="9"/>
        <v>-4.0550134318841802E-2</v>
      </c>
      <c r="E112">
        <f t="shared" si="5"/>
        <v>945.31253871145236</v>
      </c>
      <c r="F112">
        <f t="shared" si="6"/>
        <v>893615.79584509111</v>
      </c>
      <c r="G112" s="36">
        <f t="shared" si="7"/>
        <v>4.2263942879447305E-2</v>
      </c>
    </row>
    <row r="113" spans="1:7" x14ac:dyDescent="0.35">
      <c r="A113" s="40">
        <v>40991</v>
      </c>
      <c r="B113" s="17">
        <v>22107.7</v>
      </c>
      <c r="C113" s="17">
        <f t="shared" si="8"/>
        <v>22839.536269355725</v>
      </c>
      <c r="D113" s="36">
        <f t="shared" si="9"/>
        <v>-3.204251875891384E-2</v>
      </c>
      <c r="E113">
        <f t="shared" si="5"/>
        <v>731.83626935572465</v>
      </c>
      <c r="F113">
        <f t="shared" si="6"/>
        <v>535584.32514450478</v>
      </c>
      <c r="G113" s="36">
        <f t="shared" si="7"/>
        <v>3.3103229614827624E-2</v>
      </c>
    </row>
    <row r="114" spans="1:7" x14ac:dyDescent="0.35">
      <c r="A114" s="40">
        <v>40998</v>
      </c>
      <c r="B114" s="17">
        <v>28952.86</v>
      </c>
      <c r="C114" s="17">
        <f t="shared" si="8"/>
        <v>22473.618134677861</v>
      </c>
      <c r="D114" s="36">
        <f t="shared" si="9"/>
        <v>0.28830434986008591</v>
      </c>
      <c r="E114">
        <f t="shared" si="5"/>
        <v>6479.2418653221393</v>
      </c>
      <c r="F114">
        <f t="shared" si="6"/>
        <v>41980575.149343118</v>
      </c>
      <c r="G114" s="36">
        <f t="shared" si="7"/>
        <v>0.22378590112763089</v>
      </c>
    </row>
    <row r="115" spans="1:7" x14ac:dyDescent="0.35">
      <c r="A115" s="40">
        <v>41005</v>
      </c>
      <c r="B115" s="17">
        <v>57592.12</v>
      </c>
      <c r="C115" s="17">
        <f t="shared" si="8"/>
        <v>25713.239067338931</v>
      </c>
      <c r="D115" s="36">
        <f t="shared" si="9"/>
        <v>1.2397847213715587</v>
      </c>
      <c r="E115">
        <f t="shared" si="5"/>
        <v>31878.880932661072</v>
      </c>
      <c r="F115">
        <f t="shared" si="6"/>
        <v>1016263049.5187817</v>
      </c>
      <c r="G115" s="36">
        <f t="shared" si="7"/>
        <v>0.55352851974646999</v>
      </c>
    </row>
    <row r="116" spans="1:7" x14ac:dyDescent="0.35">
      <c r="A116" s="40">
        <v>41012</v>
      </c>
      <c r="B116" s="17">
        <v>34684.21</v>
      </c>
      <c r="C116" s="17">
        <f t="shared" si="8"/>
        <v>41652.679533669463</v>
      </c>
      <c r="D116" s="36">
        <f t="shared" si="9"/>
        <v>-0.16729942975305068</v>
      </c>
      <c r="E116">
        <f t="shared" si="5"/>
        <v>6968.469533669464</v>
      </c>
      <c r="F116">
        <f t="shared" si="6"/>
        <v>48559567.641679518</v>
      </c>
      <c r="G116" s="36">
        <f t="shared" si="7"/>
        <v>0.20091187124254709</v>
      </c>
    </row>
    <row r="117" spans="1:7" x14ac:dyDescent="0.35">
      <c r="A117" s="40">
        <v>41019</v>
      </c>
      <c r="B117" s="17">
        <v>16976.189999999999</v>
      </c>
      <c r="C117" s="17">
        <f t="shared" si="8"/>
        <v>38168.444766834727</v>
      </c>
      <c r="D117" s="36">
        <f t="shared" si="9"/>
        <v>-0.5552297164921185</v>
      </c>
      <c r="E117">
        <f t="shared" si="5"/>
        <v>21192.254766834729</v>
      </c>
      <c r="F117">
        <f t="shared" si="6"/>
        <v>449111662.10242927</v>
      </c>
      <c r="G117" s="36">
        <f t="shared" si="7"/>
        <v>1.2483516482105073</v>
      </c>
    </row>
    <row r="118" spans="1:7" x14ac:dyDescent="0.35">
      <c r="A118" s="40">
        <v>41026</v>
      </c>
      <c r="B118" s="17">
        <v>16347.6</v>
      </c>
      <c r="C118" s="17">
        <f t="shared" si="8"/>
        <v>27572.317383417365</v>
      </c>
      <c r="D118" s="36">
        <f t="shared" si="9"/>
        <v>-0.40710097839538772</v>
      </c>
      <c r="E118">
        <f t="shared" si="5"/>
        <v>11224.717383417365</v>
      </c>
      <c r="F118">
        <f t="shared" si="6"/>
        <v>125994280.33759196</v>
      </c>
      <c r="G118" s="36">
        <f t="shared" si="7"/>
        <v>0.68662784649840736</v>
      </c>
    </row>
    <row r="119" spans="1:7" x14ac:dyDescent="0.35">
      <c r="A119" s="40">
        <v>41033</v>
      </c>
      <c r="B119" s="17">
        <v>17147.439999999999</v>
      </c>
      <c r="C119" s="17">
        <f t="shared" si="8"/>
        <v>21959.958691708682</v>
      </c>
      <c r="D119" s="36">
        <f t="shared" si="9"/>
        <v>-0.21914971513701997</v>
      </c>
      <c r="E119">
        <f t="shared" si="5"/>
        <v>4812.518691708683</v>
      </c>
      <c r="F119">
        <f t="shared" si="6"/>
        <v>23160336.158045456</v>
      </c>
      <c r="G119" s="36">
        <f t="shared" si="7"/>
        <v>0.28065522851858254</v>
      </c>
    </row>
    <row r="120" spans="1:7" x14ac:dyDescent="0.35">
      <c r="A120" s="40">
        <v>41040</v>
      </c>
      <c r="B120" s="17">
        <v>18164.2</v>
      </c>
      <c r="C120" s="17">
        <f t="shared" si="8"/>
        <v>19553.69934585434</v>
      </c>
      <c r="D120" s="36">
        <f t="shared" si="9"/>
        <v>-7.1060688889487911E-2</v>
      </c>
      <c r="E120">
        <f t="shared" si="5"/>
        <v>1389.4993458543395</v>
      </c>
      <c r="F120">
        <f t="shared" si="6"/>
        <v>1930708.4321296373</v>
      </c>
      <c r="G120" s="36">
        <f t="shared" si="7"/>
        <v>7.6496589216939886E-2</v>
      </c>
    </row>
    <row r="121" spans="1:7" x14ac:dyDescent="0.35">
      <c r="A121" s="40">
        <v>41047</v>
      </c>
      <c r="B121" s="17">
        <v>18517.79</v>
      </c>
      <c r="C121" s="17">
        <f t="shared" si="8"/>
        <v>18858.94967292717</v>
      </c>
      <c r="D121" s="36">
        <f t="shared" si="9"/>
        <v>-1.8090067519344388E-2</v>
      </c>
      <c r="E121">
        <f t="shared" si="5"/>
        <v>341.15967292716959</v>
      </c>
      <c r="F121">
        <f t="shared" si="6"/>
        <v>116389.92243177333</v>
      </c>
      <c r="G121" s="36">
        <f t="shared" si="7"/>
        <v>1.8423347112542565E-2</v>
      </c>
    </row>
    <row r="122" spans="1:7" x14ac:dyDescent="0.35">
      <c r="A122" s="40">
        <v>41054</v>
      </c>
      <c r="B122" s="17">
        <v>16963.55</v>
      </c>
      <c r="C122" s="17">
        <f t="shared" si="8"/>
        <v>18688.369836463586</v>
      </c>
      <c r="D122" s="36">
        <f t="shared" si="9"/>
        <v>-9.2293755504464836E-2</v>
      </c>
      <c r="E122">
        <f t="shared" si="5"/>
        <v>1724.8198364635864</v>
      </c>
      <c r="F122">
        <f t="shared" si="6"/>
        <v>2975003.4682582729</v>
      </c>
      <c r="G122" s="36">
        <f t="shared" si="7"/>
        <v>0.10167799997427346</v>
      </c>
    </row>
    <row r="123" spans="1:7" x14ac:dyDescent="0.35">
      <c r="A123" s="40">
        <v>41061</v>
      </c>
      <c r="B123" s="17">
        <v>16065.49</v>
      </c>
      <c r="C123" s="17">
        <f t="shared" si="8"/>
        <v>17825.959918231791</v>
      </c>
      <c r="D123" s="36">
        <f t="shared" si="9"/>
        <v>-9.875877239190034E-2</v>
      </c>
      <c r="E123">
        <f t="shared" si="5"/>
        <v>1760.4699182317909</v>
      </c>
      <c r="F123">
        <f t="shared" si="6"/>
        <v>3099254.3329990483</v>
      </c>
      <c r="G123" s="36">
        <f t="shared" si="7"/>
        <v>0.10958084180636823</v>
      </c>
    </row>
    <row r="124" spans="1:7" x14ac:dyDescent="0.35">
      <c r="A124" s="40">
        <v>41068</v>
      </c>
      <c r="B124" s="17">
        <v>17666</v>
      </c>
      <c r="C124" s="17">
        <f t="shared" si="8"/>
        <v>16945.724959115894</v>
      </c>
      <c r="D124" s="36">
        <f t="shared" si="9"/>
        <v>4.250482305253267E-2</v>
      </c>
      <c r="E124">
        <f t="shared" si="5"/>
        <v>720.27504088410569</v>
      </c>
      <c r="F124">
        <f t="shared" si="6"/>
        <v>518796.13452060014</v>
      </c>
      <c r="G124" s="36">
        <f t="shared" si="7"/>
        <v>4.0771823892454755E-2</v>
      </c>
    </row>
    <row r="125" spans="1:7" x14ac:dyDescent="0.35">
      <c r="A125" s="40">
        <v>41075</v>
      </c>
      <c r="B125" s="17">
        <v>17558.82</v>
      </c>
      <c r="C125" s="17">
        <f t="shared" si="8"/>
        <v>17305.862479557945</v>
      </c>
      <c r="D125" s="36">
        <f t="shared" si="9"/>
        <v>1.4616868748428713E-2</v>
      </c>
      <c r="E125">
        <f t="shared" si="5"/>
        <v>252.95752044205437</v>
      </c>
      <c r="F125">
        <f t="shared" si="6"/>
        <v>63987.507148192359</v>
      </c>
      <c r="G125" s="36">
        <f t="shared" si="7"/>
        <v>1.4406293842186113E-2</v>
      </c>
    </row>
    <row r="126" spans="1:7" x14ac:dyDescent="0.35">
      <c r="A126" s="40">
        <v>41082</v>
      </c>
      <c r="B126" s="17">
        <v>16633.41</v>
      </c>
      <c r="C126" s="17">
        <f t="shared" si="8"/>
        <v>17432.341239778973</v>
      </c>
      <c r="D126" s="36">
        <f t="shared" si="9"/>
        <v>-4.5830403890665394E-2</v>
      </c>
      <c r="E126">
        <f t="shared" si="5"/>
        <v>798.93123977897267</v>
      </c>
      <c r="F126">
        <f t="shared" si="6"/>
        <v>638291.1258947663</v>
      </c>
      <c r="G126" s="36">
        <f t="shared" si="7"/>
        <v>4.8031716874589916E-2</v>
      </c>
    </row>
    <row r="127" spans="1:7" x14ac:dyDescent="0.35">
      <c r="A127" s="40">
        <v>41089</v>
      </c>
      <c r="B127" s="17">
        <v>15722.82</v>
      </c>
      <c r="C127" s="17">
        <f t="shared" si="8"/>
        <v>17032.875619889484</v>
      </c>
      <c r="D127" s="36">
        <f t="shared" si="9"/>
        <v>-7.6913355626205493E-2</v>
      </c>
      <c r="E127">
        <f t="shared" si="5"/>
        <v>1310.0556198894847</v>
      </c>
      <c r="F127">
        <f t="shared" si="6"/>
        <v>1716245.727204022</v>
      </c>
      <c r="G127" s="36">
        <f t="shared" si="7"/>
        <v>8.3321924431462344E-2</v>
      </c>
    </row>
    <row r="128" spans="1:7" x14ac:dyDescent="0.35">
      <c r="A128" s="40">
        <v>41096</v>
      </c>
      <c r="B128" s="17">
        <v>17823.37</v>
      </c>
      <c r="C128" s="17">
        <f t="shared" si="8"/>
        <v>16377.847809944742</v>
      </c>
      <c r="D128" s="36">
        <f t="shared" si="9"/>
        <v>8.8260814658292608E-2</v>
      </c>
      <c r="E128">
        <f t="shared" si="5"/>
        <v>1445.5221900552569</v>
      </c>
      <c r="F128">
        <f t="shared" si="6"/>
        <v>2089534.4019421465</v>
      </c>
      <c r="G128" s="36">
        <f t="shared" si="7"/>
        <v>8.110263042596641E-2</v>
      </c>
    </row>
    <row r="129" spans="1:7" x14ac:dyDescent="0.35">
      <c r="A129" s="40">
        <v>41103</v>
      </c>
      <c r="B129" s="17">
        <v>16566.18</v>
      </c>
      <c r="C129" s="17">
        <f t="shared" si="8"/>
        <v>17100.608904972371</v>
      </c>
      <c r="D129" s="36">
        <f t="shared" si="9"/>
        <v>-3.1252039500007101E-2</v>
      </c>
      <c r="E129">
        <f t="shared" si="5"/>
        <v>534.42890497237022</v>
      </c>
      <c r="F129">
        <f t="shared" si="6"/>
        <v>285614.25446996669</v>
      </c>
      <c r="G129" s="36">
        <f t="shared" si="7"/>
        <v>3.2260237723625497E-2</v>
      </c>
    </row>
    <row r="130" spans="1:7" x14ac:dyDescent="0.35">
      <c r="A130" s="40">
        <v>41110</v>
      </c>
      <c r="B130" s="17">
        <v>16348.06</v>
      </c>
      <c r="C130" s="17">
        <f t="shared" si="8"/>
        <v>16833.394452486187</v>
      </c>
      <c r="D130" s="36">
        <f t="shared" si="9"/>
        <v>-2.8831644969532944E-2</v>
      </c>
      <c r="E130">
        <f t="shared" si="5"/>
        <v>485.33445248618773</v>
      </c>
      <c r="F130">
        <f t="shared" si="6"/>
        <v>235549.53077006762</v>
      </c>
      <c r="G130" s="36">
        <f t="shared" si="7"/>
        <v>2.9687586936076069E-2</v>
      </c>
    </row>
    <row r="131" spans="1:7" x14ac:dyDescent="0.35">
      <c r="A131" s="40">
        <v>41117</v>
      </c>
      <c r="B131" s="17">
        <v>15731.18</v>
      </c>
      <c r="C131" s="17">
        <f t="shared" si="8"/>
        <v>16590.727226243092</v>
      </c>
      <c r="D131" s="36">
        <f t="shared" si="9"/>
        <v>-5.1808893879194517E-2</v>
      </c>
      <c r="E131">
        <f t="shared" ref="E131:E144" si="10">AVERAGE(ABS(B131-C131))</f>
        <v>859.54722624309215</v>
      </c>
      <c r="F131">
        <f t="shared" ref="F131:F144" si="11">E131^2</f>
        <v>738821.43414219341</v>
      </c>
      <c r="G131" s="36">
        <f t="shared" ref="G131:G144" si="12">AVERAGE(ABS(B131-C131)/B131)</f>
        <v>5.4639717188608362E-2</v>
      </c>
    </row>
    <row r="132" spans="1:7" x14ac:dyDescent="0.35">
      <c r="A132" s="40">
        <v>41124</v>
      </c>
      <c r="B132" s="17">
        <v>16628.310000000001</v>
      </c>
      <c r="C132" s="17">
        <f t="shared" ref="C132:C144" si="13">0.5*B131+0.5*C131</f>
        <v>16160.953613121546</v>
      </c>
      <c r="D132" s="36">
        <f t="shared" ref="D132:D144" si="14">IF(C132=0,0,(B132/C132)-1)</f>
        <v>2.8918861972290655E-2</v>
      </c>
      <c r="E132">
        <f t="shared" si="10"/>
        <v>467.35638687845494</v>
      </c>
      <c r="F132">
        <f t="shared" si="11"/>
        <v>218421.99235608405</v>
      </c>
      <c r="G132" s="36">
        <f t="shared" si="12"/>
        <v>2.8106066514183035E-2</v>
      </c>
    </row>
    <row r="133" spans="1:7" x14ac:dyDescent="0.35">
      <c r="A133" s="40">
        <v>41131</v>
      </c>
      <c r="B133" s="17">
        <v>16119.92</v>
      </c>
      <c r="C133" s="17">
        <f t="shared" si="13"/>
        <v>16394.631806560774</v>
      </c>
      <c r="D133" s="36">
        <f t="shared" si="14"/>
        <v>-1.6756204701763422E-2</v>
      </c>
      <c r="E133">
        <f t="shared" si="10"/>
        <v>274.71180656077377</v>
      </c>
      <c r="F133">
        <f t="shared" si="11"/>
        <v>75466.576663883985</v>
      </c>
      <c r="G133" s="36">
        <f t="shared" si="12"/>
        <v>1.7041759919452067E-2</v>
      </c>
    </row>
    <row r="134" spans="1:7" x14ac:dyDescent="0.35">
      <c r="A134" s="40">
        <v>41138</v>
      </c>
      <c r="B134" s="17">
        <v>17330.7</v>
      </c>
      <c r="C134" s="17">
        <f t="shared" si="13"/>
        <v>16257.275903280388</v>
      </c>
      <c r="D134" s="36">
        <f t="shared" si="14"/>
        <v>6.6027303904156343E-2</v>
      </c>
      <c r="E134">
        <f t="shared" si="10"/>
        <v>1073.4240967196129</v>
      </c>
      <c r="F134">
        <f t="shared" si="11"/>
        <v>1152239.2914183168</v>
      </c>
      <c r="G134" s="36">
        <f t="shared" si="12"/>
        <v>6.1937723041747467E-2</v>
      </c>
    </row>
    <row r="135" spans="1:7" x14ac:dyDescent="0.35">
      <c r="A135" s="40">
        <v>41145</v>
      </c>
      <c r="B135" s="17">
        <v>16286.4</v>
      </c>
      <c r="C135" s="17">
        <f t="shared" si="13"/>
        <v>16793.987951640192</v>
      </c>
      <c r="D135" s="36">
        <f t="shared" si="14"/>
        <v>-3.0224384648949276E-2</v>
      </c>
      <c r="E135">
        <f t="shared" si="10"/>
        <v>507.58795164019284</v>
      </c>
      <c r="F135">
        <f t="shared" si="11"/>
        <v>257645.52865028675</v>
      </c>
      <c r="G135" s="36">
        <f t="shared" si="12"/>
        <v>3.1166368972897193E-2</v>
      </c>
    </row>
    <row r="136" spans="1:7" x14ac:dyDescent="0.35">
      <c r="A136" s="40">
        <v>41152</v>
      </c>
      <c r="B136" s="17">
        <v>16680.240000000002</v>
      </c>
      <c r="C136" s="17">
        <f t="shared" si="13"/>
        <v>16540.193975820097</v>
      </c>
      <c r="D136" s="36">
        <f t="shared" si="14"/>
        <v>8.4670121997745262E-3</v>
      </c>
      <c r="E136">
        <f t="shared" si="10"/>
        <v>140.04602417990463</v>
      </c>
      <c r="F136">
        <f t="shared" si="11"/>
        <v>19612.888888598434</v>
      </c>
      <c r="G136" s="36">
        <f t="shared" si="12"/>
        <v>8.3959238104430525E-3</v>
      </c>
    </row>
    <row r="137" spans="1:7" x14ac:dyDescent="0.35">
      <c r="A137" s="40">
        <v>41159</v>
      </c>
      <c r="B137" s="17">
        <v>18322.37</v>
      </c>
      <c r="C137" s="17">
        <f t="shared" si="13"/>
        <v>16610.216987910047</v>
      </c>
      <c r="D137" s="36">
        <f t="shared" si="14"/>
        <v>0.10307830495749482</v>
      </c>
      <c r="E137">
        <f t="shared" si="10"/>
        <v>1712.1530120899515</v>
      </c>
      <c r="F137">
        <f t="shared" si="11"/>
        <v>2931467.9368086937</v>
      </c>
      <c r="G137" s="36">
        <f t="shared" si="12"/>
        <v>9.3446045030743927E-2</v>
      </c>
    </row>
    <row r="138" spans="1:7" x14ac:dyDescent="0.35">
      <c r="A138" s="40">
        <v>41166</v>
      </c>
      <c r="B138" s="17">
        <v>19616.22</v>
      </c>
      <c r="C138" s="17">
        <f t="shared" si="13"/>
        <v>17466.293493955025</v>
      </c>
      <c r="D138" s="36">
        <f t="shared" si="14"/>
        <v>0.1230900251841669</v>
      </c>
      <c r="E138">
        <f t="shared" si="10"/>
        <v>2149.9265060449761</v>
      </c>
      <c r="F138">
        <f t="shared" si="11"/>
        <v>4622183.9813947584</v>
      </c>
      <c r="G138" s="36">
        <f t="shared" si="12"/>
        <v>0.10959942874034732</v>
      </c>
    </row>
    <row r="139" spans="1:7" x14ac:dyDescent="0.35">
      <c r="A139" s="40">
        <v>41173</v>
      </c>
      <c r="B139" s="17">
        <v>19251.5</v>
      </c>
      <c r="C139" s="17">
        <f t="shared" si="13"/>
        <v>18541.256746977513</v>
      </c>
      <c r="D139" s="36">
        <f t="shared" si="14"/>
        <v>3.8306100967954393E-2</v>
      </c>
      <c r="E139">
        <f t="shared" si="10"/>
        <v>710.2432530224869</v>
      </c>
      <c r="F139">
        <f t="shared" si="11"/>
        <v>504445.47846396436</v>
      </c>
      <c r="G139" s="36">
        <f t="shared" si="12"/>
        <v>3.6892878634001862E-2</v>
      </c>
    </row>
    <row r="140" spans="1:7" x14ac:dyDescent="0.35">
      <c r="A140" s="40">
        <v>41180</v>
      </c>
      <c r="B140" s="17">
        <v>18947.810000000001</v>
      </c>
      <c r="C140" s="17">
        <f t="shared" si="13"/>
        <v>18896.378373488755</v>
      </c>
      <c r="D140" s="36">
        <f t="shared" si="14"/>
        <v>2.721771627065106E-3</v>
      </c>
      <c r="E140">
        <f t="shared" si="10"/>
        <v>51.431626511246577</v>
      </c>
      <c r="F140">
        <f t="shared" si="11"/>
        <v>2645.2122055923619</v>
      </c>
      <c r="G140" s="36">
        <f t="shared" si="12"/>
        <v>2.7143836945402438E-3</v>
      </c>
    </row>
    <row r="141" spans="1:7" x14ac:dyDescent="0.35">
      <c r="A141" s="40">
        <v>41187</v>
      </c>
      <c r="B141" s="17">
        <v>21904.47</v>
      </c>
      <c r="C141" s="17">
        <f t="shared" si="13"/>
        <v>18922.094186744376</v>
      </c>
      <c r="D141" s="36">
        <f t="shared" si="14"/>
        <v>0.15761341127584538</v>
      </c>
      <c r="E141">
        <f t="shared" si="10"/>
        <v>2982.375813255625</v>
      </c>
      <c r="F141">
        <f t="shared" si="11"/>
        <v>8894565.4914921504</v>
      </c>
      <c r="G141" s="36">
        <f t="shared" si="12"/>
        <v>0.1361537536975615</v>
      </c>
    </row>
    <row r="142" spans="1:7" x14ac:dyDescent="0.35">
      <c r="A142" s="40">
        <v>41194</v>
      </c>
      <c r="B142" s="17">
        <v>22764.01</v>
      </c>
      <c r="C142" s="17">
        <f t="shared" si="13"/>
        <v>20413.282093372189</v>
      </c>
      <c r="D142" s="36">
        <f t="shared" si="14"/>
        <v>0.11515678350376812</v>
      </c>
      <c r="E142">
        <f t="shared" si="10"/>
        <v>2350.7279066278097</v>
      </c>
      <c r="F142">
        <f t="shared" si="11"/>
        <v>5525921.6909987647</v>
      </c>
      <c r="G142" s="36">
        <f t="shared" si="12"/>
        <v>0.1032651060436105</v>
      </c>
    </row>
    <row r="143" spans="1:7" x14ac:dyDescent="0.35">
      <c r="A143" s="40">
        <v>41201</v>
      </c>
      <c r="B143" s="17">
        <v>24185.27</v>
      </c>
      <c r="C143" s="17">
        <f t="shared" si="13"/>
        <v>21588.646046686095</v>
      </c>
      <c r="D143" s="36">
        <f t="shared" si="14"/>
        <v>0.12027729519019514</v>
      </c>
      <c r="E143">
        <f t="shared" si="10"/>
        <v>2596.6239533139051</v>
      </c>
      <c r="F143">
        <f t="shared" si="11"/>
        <v>6742455.9549235329</v>
      </c>
      <c r="G143" s="36">
        <f t="shared" si="12"/>
        <v>0.10736386045365237</v>
      </c>
    </row>
    <row r="144" spans="1:7" x14ac:dyDescent="0.35">
      <c r="A144" s="40">
        <v>41208</v>
      </c>
      <c r="B144" s="17">
        <v>27390.81</v>
      </c>
      <c r="C144" s="17">
        <f t="shared" si="13"/>
        <v>22886.958023343046</v>
      </c>
      <c r="D144" s="36">
        <f t="shared" si="14"/>
        <v>0.19678683257352736</v>
      </c>
      <c r="E144">
        <f t="shared" si="10"/>
        <v>4503.8519766569552</v>
      </c>
      <c r="F144">
        <f t="shared" si="11"/>
        <v>20284682.627636764</v>
      </c>
      <c r="G144" s="36">
        <f t="shared" si="12"/>
        <v>0.1644293095624757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12A4-629A-4770-A286-C006ED83F907}">
  <dimension ref="A1:R144"/>
  <sheetViews>
    <sheetView topLeftCell="D1" workbookViewId="0">
      <selection activeCell="P7" sqref="P7"/>
    </sheetView>
  </sheetViews>
  <sheetFormatPr defaultRowHeight="14.5" x14ac:dyDescent="0.35"/>
  <cols>
    <col min="1" max="1" width="10.453125" bestFit="1" customWidth="1"/>
    <col min="2" max="2" width="14.1796875" customWidth="1"/>
    <col min="3" max="3" width="9.08984375" customWidth="1"/>
    <col min="4" max="4" width="13.81640625" customWidth="1"/>
    <col min="5" max="5" width="11.36328125" customWidth="1"/>
    <col min="6" max="6" width="11.81640625" bestFit="1" customWidth="1"/>
    <col min="7" max="7" width="15.81640625" customWidth="1"/>
    <col min="10" max="10" width="10.81640625" bestFit="1" customWidth="1"/>
    <col min="11" max="11" width="8.7265625" style="14"/>
    <col min="12" max="12" width="11.08984375" bestFit="1" customWidth="1"/>
    <col min="13" max="13" width="11.81640625" bestFit="1" customWidth="1"/>
    <col min="14" max="14" width="10.453125" bestFit="1" customWidth="1"/>
    <col min="15" max="15" width="12.453125" bestFit="1" customWidth="1"/>
    <col min="16" max="16" width="11.81640625" bestFit="1" customWidth="1"/>
    <col min="18" max="18" width="13.90625" bestFit="1" customWidth="1"/>
  </cols>
  <sheetData>
    <row r="1" spans="1:18" x14ac:dyDescent="0.35">
      <c r="A1" t="s">
        <v>18</v>
      </c>
      <c r="B1" t="s">
        <v>19</v>
      </c>
      <c r="C1" t="s">
        <v>20</v>
      </c>
      <c r="D1" t="s">
        <v>21</v>
      </c>
      <c r="E1" t="s">
        <v>22</v>
      </c>
      <c r="F1" t="s">
        <v>23</v>
      </c>
      <c r="G1" t="s">
        <v>24</v>
      </c>
      <c r="H1" t="s">
        <v>25</v>
      </c>
      <c r="I1" t="s">
        <v>60</v>
      </c>
      <c r="J1" t="s">
        <v>61</v>
      </c>
      <c r="K1" s="14" t="s">
        <v>62</v>
      </c>
    </row>
    <row r="2" spans="1:18" x14ac:dyDescent="0.35">
      <c r="A2" s="13">
        <v>40214</v>
      </c>
      <c r="B2">
        <v>24924.5</v>
      </c>
      <c r="C2">
        <v>0</v>
      </c>
      <c r="D2">
        <v>42.31</v>
      </c>
      <c r="E2">
        <v>2.5720000000000001</v>
      </c>
      <c r="F2">
        <v>211.0963582</v>
      </c>
      <c r="G2">
        <v>8.1059999999999999</v>
      </c>
      <c r="H2">
        <f>$M$5 + SUMPRODUCT($N$5:$R$5,Table1[[#This Row],[Holiday]:[Unemployment]])</f>
        <v>30841.085641651393</v>
      </c>
      <c r="I2">
        <f>AVERAGE(ABS(Table1[[#This Row],[Weekly_Sales]]-Table1[[#This Row],[Forecast]]))</f>
        <v>5916.5856416513925</v>
      </c>
      <c r="J2">
        <f>Table1[[#This Row],[AE]]^2</f>
        <v>35005985.654995419</v>
      </c>
      <c r="K2" s="14">
        <f>AVERAGE(ABS(Table1[[#This Row],[Weekly_Sales]]-Table1[[#This Row],[Forecast]])/Table1[[#This Row],[Weekly_Sales]])</f>
        <v>0.23738031421498496</v>
      </c>
    </row>
    <row r="3" spans="1:18" ht="15" thickBot="1" x14ac:dyDescent="0.4">
      <c r="A3" s="13">
        <v>40221</v>
      </c>
      <c r="B3">
        <v>46039.49</v>
      </c>
      <c r="C3">
        <v>1</v>
      </c>
      <c r="D3">
        <v>38.51</v>
      </c>
      <c r="E3">
        <v>2.548</v>
      </c>
      <c r="F3">
        <v>211.2421698</v>
      </c>
      <c r="G3">
        <v>8.1059999999999999</v>
      </c>
      <c r="H3">
        <f>$M$5 + SUMPRODUCT($N$5:$R$5,Table1[[#This Row],[Holiday]:[Unemployment]])</f>
        <v>31856.682481086784</v>
      </c>
      <c r="I3">
        <f>AVERAGE(ABS(Table1[[#This Row],[Weekly_Sales]]-Table1[[#This Row],[Forecast]]))</f>
        <v>14182.807518913214</v>
      </c>
      <c r="J3">
        <f>Table1[[#This Row],[AE]]^2</f>
        <v>201152029.11854121</v>
      </c>
      <c r="K3" s="14">
        <f>AVERAGE(ABS(Table1[[#This Row],[Weekly_Sales]]-Table1[[#This Row],[Forecast]])/Table1[[#This Row],[Weekly_Sales]])</f>
        <v>0.30805744196804125</v>
      </c>
    </row>
    <row r="4" spans="1:18" ht="15" thickBot="1" x14ac:dyDescent="0.4">
      <c r="A4" s="13">
        <v>40228</v>
      </c>
      <c r="B4">
        <v>41595.550000000003</v>
      </c>
      <c r="C4">
        <v>0</v>
      </c>
      <c r="D4">
        <v>39.93</v>
      </c>
      <c r="E4">
        <v>2.5139999999999998</v>
      </c>
      <c r="F4">
        <v>211.2891429</v>
      </c>
      <c r="G4">
        <v>8.1059999999999999</v>
      </c>
      <c r="H4">
        <f>$M$5 + SUMPRODUCT($N$5:$R$5,Table1[[#This Row],[Holiday]:[Unemployment]])</f>
        <v>31556.835282558532</v>
      </c>
      <c r="I4">
        <f>AVERAGE(ABS(Table1[[#This Row],[Weekly_Sales]]-Table1[[#This Row],[Forecast]]))</f>
        <v>10038.714717441471</v>
      </c>
      <c r="J4">
        <f>Table1[[#This Row],[AE]]^2</f>
        <v>100775793.178176</v>
      </c>
      <c r="K4" s="14">
        <f>AVERAGE(ABS(Table1[[#This Row],[Weekly_Sales]]-Table1[[#This Row],[Forecast]])/Table1[[#This Row],[Weekly_Sales]])</f>
        <v>0.24134107416397838</v>
      </c>
      <c r="L4" s="46"/>
      <c r="M4" t="s">
        <v>15</v>
      </c>
      <c r="N4" s="48" t="s">
        <v>20</v>
      </c>
      <c r="O4" s="48" t="s">
        <v>21</v>
      </c>
      <c r="P4" s="48" t="s">
        <v>22</v>
      </c>
      <c r="Q4" s="48" t="s">
        <v>23</v>
      </c>
      <c r="R4" s="49" t="s">
        <v>24</v>
      </c>
    </row>
    <row r="5" spans="1:18" ht="15" thickBot="1" x14ac:dyDescent="0.4">
      <c r="A5" s="13">
        <v>40235</v>
      </c>
      <c r="B5">
        <v>19403.54</v>
      </c>
      <c r="C5">
        <v>0</v>
      </c>
      <c r="D5">
        <v>46.63</v>
      </c>
      <c r="E5">
        <v>2.5609999999999999</v>
      </c>
      <c r="F5">
        <v>211.31964289999999</v>
      </c>
      <c r="G5">
        <v>8.1059999999999999</v>
      </c>
      <c r="H5">
        <f>$M$5 + SUMPRODUCT($N$5:$R$5,Table1[[#This Row],[Holiday]:[Unemployment]])</f>
        <v>29402.310450827361</v>
      </c>
      <c r="I5">
        <f>AVERAGE(ABS(Table1[[#This Row],[Weekly_Sales]]-Table1[[#This Row],[Forecast]]))</f>
        <v>9998.77045082736</v>
      </c>
      <c r="J5">
        <f>Table1[[#This Row],[AE]]^2</f>
        <v>99975410.528338373</v>
      </c>
      <c r="K5" s="14">
        <f>AVERAGE(ABS(Table1[[#This Row],[Weekly_Sales]]-Table1[[#This Row],[Forecast]])/Table1[[#This Row],[Weekly_Sales]])</f>
        <v>0.51530650854572724</v>
      </c>
      <c r="L5" s="46" t="s">
        <v>53</v>
      </c>
      <c r="M5">
        <v>18733.156356748223</v>
      </c>
      <c r="N5">
        <v>-217.18520998562056</v>
      </c>
      <c r="O5">
        <v>-331.68582534341715</v>
      </c>
      <c r="P5">
        <v>1413.8444789197429</v>
      </c>
      <c r="Q5">
        <v>43.262542967113681</v>
      </c>
      <c r="R5" s="45">
        <v>1649.7141979487847</v>
      </c>
    </row>
    <row r="6" spans="1:18" x14ac:dyDescent="0.35">
      <c r="A6" s="13">
        <v>40242</v>
      </c>
      <c r="B6">
        <v>21827.9</v>
      </c>
      <c r="C6">
        <v>0</v>
      </c>
      <c r="D6">
        <v>46.5</v>
      </c>
      <c r="E6">
        <v>2.625</v>
      </c>
      <c r="F6">
        <v>211.35014290000001</v>
      </c>
      <c r="G6">
        <v>8.1059999999999999</v>
      </c>
      <c r="H6">
        <f>$M$5 + SUMPRODUCT($N$5:$R$5,Table1[[#This Row],[Holiday]:[Unemployment]])</f>
        <v>29537.235162333367</v>
      </c>
      <c r="I6">
        <f>AVERAGE(ABS(Table1[[#This Row],[Weekly_Sales]]-Table1[[#This Row],[Forecast]]))</f>
        <v>7709.3351623333656</v>
      </c>
      <c r="J6">
        <f>Table1[[#This Row],[AE]]^2</f>
        <v>59433848.645189621</v>
      </c>
      <c r="K6" s="14">
        <f>AVERAGE(ABS(Table1[[#This Row],[Weekly_Sales]]-Table1[[#This Row],[Forecast]])/Table1[[#This Row],[Weekly_Sales]])</f>
        <v>0.35318721280257676</v>
      </c>
    </row>
    <row r="7" spans="1:18" x14ac:dyDescent="0.35">
      <c r="A7" s="13">
        <v>40249</v>
      </c>
      <c r="B7">
        <v>21043.39</v>
      </c>
      <c r="C7">
        <v>0</v>
      </c>
      <c r="D7">
        <v>57.79</v>
      </c>
      <c r="E7">
        <v>2.6669999999999998</v>
      </c>
      <c r="F7">
        <v>211.3806429</v>
      </c>
      <c r="G7">
        <v>8.1059999999999999</v>
      </c>
      <c r="H7">
        <f>$M$5 + SUMPRODUCT($N$5:$R$5,Table1[[#This Row],[Holiday]:[Unemployment]])</f>
        <v>25853.203169881312</v>
      </c>
      <c r="I7">
        <f>AVERAGE(ABS(Table1[[#This Row],[Weekly_Sales]]-Table1[[#This Row],[Forecast]]))</f>
        <v>4809.8131698813122</v>
      </c>
      <c r="J7">
        <f>Table1[[#This Row],[AE]]^2</f>
        <v>23134302.729163717</v>
      </c>
      <c r="K7" s="14">
        <f>AVERAGE(ABS(Table1[[#This Row],[Weekly_Sales]]-Table1[[#This Row],[Forecast]])/Table1[[#This Row],[Weekly_Sales]])</f>
        <v>0.22856646053137408</v>
      </c>
    </row>
    <row r="8" spans="1:18" x14ac:dyDescent="0.35">
      <c r="A8" s="13">
        <v>40256</v>
      </c>
      <c r="B8">
        <v>22136.639999999999</v>
      </c>
      <c r="C8">
        <v>0</v>
      </c>
      <c r="D8">
        <v>54.58</v>
      </c>
      <c r="E8">
        <v>2.72</v>
      </c>
      <c r="F8">
        <v>211.21563499999999</v>
      </c>
      <c r="G8">
        <v>8.1059999999999999</v>
      </c>
      <c r="H8">
        <f>$M$5 + SUMPRODUCT($N$5:$R$5,Table1[[#This Row],[Holiday]:[Unemployment]])</f>
        <v>26985.709765252766</v>
      </c>
      <c r="I8">
        <f>AVERAGE(ABS(Table1[[#This Row],[Weekly_Sales]]-Table1[[#This Row],[Forecast]]))</f>
        <v>4849.069765252767</v>
      </c>
      <c r="J8">
        <f>Table1[[#This Row],[AE]]^2</f>
        <v>23513477.588288523</v>
      </c>
      <c r="K8" s="14">
        <f>AVERAGE(ABS(Table1[[#This Row],[Weekly_Sales]]-Table1[[#This Row],[Forecast]])/Table1[[#This Row],[Weekly_Sales]])</f>
        <v>0.21905175154191273</v>
      </c>
      <c r="M8" s="37" t="s">
        <v>28</v>
      </c>
      <c r="N8" s="37" t="s">
        <v>29</v>
      </c>
      <c r="O8" s="37" t="s">
        <v>30</v>
      </c>
    </row>
    <row r="9" spans="1:18" x14ac:dyDescent="0.35">
      <c r="A9" s="13">
        <v>40263</v>
      </c>
      <c r="B9">
        <v>26229.21</v>
      </c>
      <c r="C9">
        <v>0</v>
      </c>
      <c r="D9">
        <v>51.45</v>
      </c>
      <c r="E9">
        <v>2.7320000000000002</v>
      </c>
      <c r="F9">
        <v>211.01804240000001</v>
      </c>
      <c r="G9">
        <v>8.1059999999999999</v>
      </c>
      <c r="H9">
        <f>$M$5 + SUMPRODUCT($N$5:$R$5,Table1[[#This Row],[Holiday]:[Unemployment]])</f>
        <v>28032.304173977212</v>
      </c>
      <c r="I9">
        <f>AVERAGE(ABS(Table1[[#This Row],[Weekly_Sales]]-Table1[[#This Row],[Forecast]]))</f>
        <v>1803.0941739772134</v>
      </c>
      <c r="J9">
        <f>Table1[[#This Row],[AE]]^2</f>
        <v>3251148.6002305695</v>
      </c>
      <c r="K9" s="14">
        <f>AVERAGE(ABS(Table1[[#This Row],[Weekly_Sales]]-Table1[[#This Row],[Forecast]])/Table1[[#This Row],[Weekly_Sales]])</f>
        <v>6.8743746913353984E-2</v>
      </c>
      <c r="M9" cm="1">
        <f t="array" ref="M9">SUM(Table1[AE]/143)</f>
        <v>5593.4087349938163</v>
      </c>
      <c r="N9" cm="1">
        <f t="array" ref="N9">SUM(Table1[SE]/143)</f>
        <v>74392973.819952726</v>
      </c>
      <c r="O9" cm="1">
        <f t="array" ref="O9">SUM(Table1[APE]/143)*100</f>
        <v>21.952537695023498</v>
      </c>
    </row>
    <row r="10" spans="1:18" x14ac:dyDescent="0.35">
      <c r="A10" s="13">
        <v>40270</v>
      </c>
      <c r="B10">
        <v>57258.43</v>
      </c>
      <c r="C10">
        <v>0</v>
      </c>
      <c r="D10">
        <v>62.27</v>
      </c>
      <c r="E10">
        <v>2.7189999999999999</v>
      </c>
      <c r="F10">
        <v>210.8204499</v>
      </c>
      <c r="G10">
        <v>7.8079999999999998</v>
      </c>
      <c r="H10">
        <f>$M$5 + SUMPRODUCT($N$5:$R$5,Table1[[#This Row],[Holiday]:[Unemployment]])</f>
        <v>23924.920380525517</v>
      </c>
      <c r="I10">
        <f>AVERAGE(ABS(Table1[[#This Row],[Weekly_Sales]]-Table1[[#This Row],[Forecast]]))</f>
        <v>33333.509619474484</v>
      </c>
      <c r="J10">
        <f>Table1[[#This Row],[AE]]^2</f>
        <v>1111122863.5515978</v>
      </c>
      <c r="K10" s="14">
        <f>AVERAGE(ABS(Table1[[#This Row],[Weekly_Sales]]-Table1[[#This Row],[Forecast]])/Table1[[#This Row],[Weekly_Sales]])</f>
        <v>0.5821589872351457</v>
      </c>
    </row>
    <row r="11" spans="1:18" x14ac:dyDescent="0.35">
      <c r="A11" s="13">
        <v>40277</v>
      </c>
      <c r="B11">
        <v>42960.91</v>
      </c>
      <c r="C11">
        <v>0</v>
      </c>
      <c r="D11">
        <v>65.86</v>
      </c>
      <c r="E11">
        <v>2.77</v>
      </c>
      <c r="F11">
        <v>210.62285739999999</v>
      </c>
      <c r="G11">
        <v>7.8079999999999998</v>
      </c>
      <c r="H11">
        <f>$M$5 + SUMPRODUCT($N$5:$R$5,Table1[[#This Row],[Holiday]:[Unemployment]])</f>
        <v>22797.725981946329</v>
      </c>
      <c r="I11">
        <f>AVERAGE(ABS(Table1[[#This Row],[Weekly_Sales]]-Table1[[#This Row],[Forecast]]))</f>
        <v>20163.184018053675</v>
      </c>
      <c r="J11">
        <f>Table1[[#This Row],[AE]]^2</f>
        <v>406553989.74589515</v>
      </c>
      <c r="K11" s="14">
        <f>AVERAGE(ABS(Table1[[#This Row],[Weekly_Sales]]-Table1[[#This Row],[Forecast]])/Table1[[#This Row],[Weekly_Sales]])</f>
        <v>0.46933791714499701</v>
      </c>
    </row>
    <row r="12" spans="1:18" x14ac:dyDescent="0.35">
      <c r="A12" s="13">
        <v>40284</v>
      </c>
      <c r="B12">
        <v>17596.96</v>
      </c>
      <c r="C12">
        <v>0</v>
      </c>
      <c r="D12">
        <v>66.319999999999993</v>
      </c>
      <c r="E12">
        <v>2.8079999999999998</v>
      </c>
      <c r="F12">
        <v>210.48869999999999</v>
      </c>
      <c r="G12">
        <v>7.8079999999999998</v>
      </c>
      <c r="H12">
        <f>$M$5 + SUMPRODUCT($N$5:$R$5,Table1[[#This Row],[Holiday]:[Unemployment]])</f>
        <v>22693.072602205451</v>
      </c>
      <c r="I12">
        <f>AVERAGE(ABS(Table1[[#This Row],[Weekly_Sales]]-Table1[[#This Row],[Forecast]]))</f>
        <v>5096.1126022054523</v>
      </c>
      <c r="J12">
        <f>Table1[[#This Row],[AE]]^2</f>
        <v>25970363.654357225</v>
      </c>
      <c r="K12" s="14">
        <f>AVERAGE(ABS(Table1[[#This Row],[Weekly_Sales]]-Table1[[#This Row],[Forecast]])/Table1[[#This Row],[Weekly_Sales]])</f>
        <v>0.28960187454000308</v>
      </c>
    </row>
    <row r="13" spans="1:18" x14ac:dyDescent="0.35">
      <c r="A13" s="13">
        <v>40291</v>
      </c>
      <c r="B13">
        <v>16145.35</v>
      </c>
      <c r="C13">
        <v>0</v>
      </c>
      <c r="D13">
        <v>64.84</v>
      </c>
      <c r="E13">
        <v>2.7949999999999999</v>
      </c>
      <c r="F13">
        <v>210.43912280000001</v>
      </c>
      <c r="G13">
        <v>7.8079999999999998</v>
      </c>
      <c r="H13">
        <f>$M$5 + SUMPRODUCT($N$5:$R$5,Table1[[#This Row],[Holiday]:[Unemployment]])</f>
        <v>23163.442809742559</v>
      </c>
      <c r="I13">
        <f>AVERAGE(ABS(Table1[[#This Row],[Weekly_Sales]]-Table1[[#This Row],[Forecast]]))</f>
        <v>7018.0928097425585</v>
      </c>
      <c r="J13">
        <f>Table1[[#This Row],[AE]]^2</f>
        <v>49253626.686160199</v>
      </c>
      <c r="K13" s="14">
        <f>AVERAGE(ABS(Table1[[#This Row],[Weekly_Sales]]-Table1[[#This Row],[Forecast]])/Table1[[#This Row],[Weekly_Sales]])</f>
        <v>0.43468198643835892</v>
      </c>
    </row>
    <row r="14" spans="1:18" x14ac:dyDescent="0.35">
      <c r="A14" s="13">
        <v>40298</v>
      </c>
      <c r="B14">
        <v>16555.11</v>
      </c>
      <c r="C14">
        <v>0</v>
      </c>
      <c r="D14">
        <v>67.41</v>
      </c>
      <c r="E14">
        <v>2.78</v>
      </c>
      <c r="F14">
        <v>210.38954559999999</v>
      </c>
      <c r="G14">
        <v>7.8079999999999998</v>
      </c>
      <c r="H14">
        <f>$M$5 + SUMPRODUCT($N$5:$R$5,Table1[[#This Row],[Holiday]:[Unemployment]])</f>
        <v>22287.657735680994</v>
      </c>
      <c r="I14">
        <f>AVERAGE(ABS(Table1[[#This Row],[Weekly_Sales]]-Table1[[#This Row],[Forecast]]))</f>
        <v>5732.5477356809934</v>
      </c>
      <c r="J14">
        <f>Table1[[#This Row],[AE]]^2</f>
        <v>32862103.541861285</v>
      </c>
      <c r="K14" s="14">
        <f>AVERAGE(ABS(Table1[[#This Row],[Weekly_Sales]]-Table1[[#This Row],[Forecast]])/Table1[[#This Row],[Weekly_Sales]])</f>
        <v>0.34627059171947472</v>
      </c>
    </row>
    <row r="15" spans="1:18" x14ac:dyDescent="0.35">
      <c r="A15" s="13">
        <v>40305</v>
      </c>
      <c r="B15">
        <v>17413.939999999999</v>
      </c>
      <c r="C15">
        <v>0</v>
      </c>
      <c r="D15">
        <v>72.55</v>
      </c>
      <c r="E15">
        <v>2.835</v>
      </c>
      <c r="F15">
        <v>210.3399684</v>
      </c>
      <c r="G15">
        <v>7.8079999999999998</v>
      </c>
      <c r="H15">
        <f>$M$5 + SUMPRODUCT($N$5:$R$5,Table1[[#This Row],[Holiday]:[Unemployment]])</f>
        <v>20658.409204011223</v>
      </c>
      <c r="I15">
        <f>AVERAGE(ABS(Table1[[#This Row],[Weekly_Sales]]-Table1[[#This Row],[Forecast]]))</f>
        <v>3244.4692040112241</v>
      </c>
      <c r="J15">
        <f>Table1[[#This Row],[AE]]^2</f>
        <v>10526580.415777225</v>
      </c>
      <c r="K15" s="14">
        <f>AVERAGE(ABS(Table1[[#This Row],[Weekly_Sales]]-Table1[[#This Row],[Forecast]])/Table1[[#This Row],[Weekly_Sales]])</f>
        <v>0.18631448161709666</v>
      </c>
    </row>
    <row r="16" spans="1:18" x14ac:dyDescent="0.35">
      <c r="A16" s="13">
        <v>40312</v>
      </c>
      <c r="B16">
        <v>18926.740000000002</v>
      </c>
      <c r="C16">
        <v>0</v>
      </c>
      <c r="D16">
        <v>74.78</v>
      </c>
      <c r="E16">
        <v>2.8540000000000001</v>
      </c>
      <c r="F16">
        <v>210.33742609999999</v>
      </c>
      <c r="G16">
        <v>7.8079999999999998</v>
      </c>
      <c r="H16">
        <f>$M$5 + SUMPRODUCT($N$5:$R$5,Table1[[#This Row],[Holiday]:[Unemployment]])</f>
        <v>19945.502872231889</v>
      </c>
      <c r="I16">
        <f>AVERAGE(ABS(Table1[[#This Row],[Weekly_Sales]]-Table1[[#This Row],[Forecast]]))</f>
        <v>1018.7628722318877</v>
      </c>
      <c r="J16">
        <f>Table1[[#This Row],[AE]]^2</f>
        <v>1037877.7898381656</v>
      </c>
      <c r="K16" s="14">
        <f>AVERAGE(ABS(Table1[[#This Row],[Weekly_Sales]]-Table1[[#This Row],[Forecast]])/Table1[[#This Row],[Weekly_Sales]])</f>
        <v>5.3826642741004932E-2</v>
      </c>
    </row>
    <row r="17" spans="1:11" x14ac:dyDescent="0.35">
      <c r="A17" s="13">
        <v>40319</v>
      </c>
      <c r="B17">
        <v>14773.04</v>
      </c>
      <c r="C17">
        <v>0</v>
      </c>
      <c r="D17">
        <v>76.44</v>
      </c>
      <c r="E17">
        <v>2.8260000000000001</v>
      </c>
      <c r="F17">
        <v>210.61709339999999</v>
      </c>
      <c r="G17">
        <v>7.8079999999999998</v>
      </c>
      <c r="H17">
        <f>$M$5 + SUMPRODUCT($N$5:$R$5,Table1[[#This Row],[Holiday]:[Unemployment]])</f>
        <v>19367.415875334817</v>
      </c>
      <c r="I17">
        <f>AVERAGE(ABS(Table1[[#This Row],[Weekly_Sales]]-Table1[[#This Row],[Forecast]]))</f>
        <v>4594.3758753348156</v>
      </c>
      <c r="J17">
        <f>Table1[[#This Row],[AE]]^2</f>
        <v>21108289.683858555</v>
      </c>
      <c r="K17" s="14">
        <f>AVERAGE(ABS(Table1[[#This Row],[Weekly_Sales]]-Table1[[#This Row],[Forecast]])/Table1[[#This Row],[Weekly_Sales]])</f>
        <v>0.31099732183320533</v>
      </c>
    </row>
    <row r="18" spans="1:11" x14ac:dyDescent="0.35">
      <c r="A18" s="13">
        <v>40326</v>
      </c>
      <c r="B18">
        <v>15580.43</v>
      </c>
      <c r="C18">
        <v>0</v>
      </c>
      <c r="D18">
        <v>80.44</v>
      </c>
      <c r="E18">
        <v>2.7589999999999999</v>
      </c>
      <c r="F18">
        <v>210.89676059999999</v>
      </c>
      <c r="G18">
        <v>7.8079999999999998</v>
      </c>
      <c r="H18">
        <f>$M$5 + SUMPRODUCT($N$5:$R$5,Table1[[#This Row],[Holiday]:[Unemployment]])</f>
        <v>17958.044108130016</v>
      </c>
      <c r="I18">
        <f>AVERAGE(ABS(Table1[[#This Row],[Weekly_Sales]]-Table1[[#This Row],[Forecast]]))</f>
        <v>2377.6141081300157</v>
      </c>
      <c r="J18">
        <f>Table1[[#This Row],[AE]]^2</f>
        <v>5653048.8471788894</v>
      </c>
      <c r="K18" s="14">
        <f>AVERAGE(ABS(Table1[[#This Row],[Weekly_Sales]]-Table1[[#This Row],[Forecast]])/Table1[[#This Row],[Weekly_Sales]])</f>
        <v>0.15260259878129265</v>
      </c>
    </row>
    <row r="19" spans="1:11" x14ac:dyDescent="0.35">
      <c r="A19" s="13">
        <v>40333</v>
      </c>
      <c r="B19">
        <v>17558.09</v>
      </c>
      <c r="C19">
        <v>0</v>
      </c>
      <c r="D19">
        <v>80.69</v>
      </c>
      <c r="E19">
        <v>2.7050000000000001</v>
      </c>
      <c r="F19">
        <v>211.1764278</v>
      </c>
      <c r="G19">
        <v>7.8079999999999998</v>
      </c>
      <c r="H19">
        <f>$M$5 + SUMPRODUCT($N$5:$R$5,Table1[[#This Row],[Holiday]:[Unemployment]])</f>
        <v>17810.874164188986</v>
      </c>
      <c r="I19">
        <f>AVERAGE(ABS(Table1[[#This Row],[Weekly_Sales]]-Table1[[#This Row],[Forecast]]))</f>
        <v>252.78416418898632</v>
      </c>
      <c r="J19">
        <f>Table1[[#This Row],[AE]]^2</f>
        <v>63899.833664724392</v>
      </c>
      <c r="K19" s="14">
        <f>AVERAGE(ABS(Table1[[#This Row],[Weekly_Sales]]-Table1[[#This Row],[Forecast]])/Table1[[#This Row],[Weekly_Sales]])</f>
        <v>1.4397019504341664E-2</v>
      </c>
    </row>
    <row r="20" spans="1:11" x14ac:dyDescent="0.35">
      <c r="A20" s="13">
        <v>40340</v>
      </c>
      <c r="B20">
        <v>16637.62</v>
      </c>
      <c r="C20">
        <v>0</v>
      </c>
      <c r="D20">
        <v>80.430000000000007</v>
      </c>
      <c r="E20">
        <v>2.6680000000000001</v>
      </c>
      <c r="F20">
        <v>211.4560951</v>
      </c>
      <c r="G20">
        <v>7.8079999999999998</v>
      </c>
      <c r="H20">
        <f>$M$5 + SUMPRODUCT($N$5:$R$5,Table1[[#This Row],[Holiday]:[Unemployment]])</f>
        <v>17856.89935164099</v>
      </c>
      <c r="I20">
        <f>AVERAGE(ABS(Table1[[#This Row],[Weekly_Sales]]-Table1[[#This Row],[Forecast]]))</f>
        <v>1219.2793516409911</v>
      </c>
      <c r="J20">
        <f>Table1[[#This Row],[AE]]^2</f>
        <v>1486642.1373380756</v>
      </c>
      <c r="K20" s="14">
        <f>AVERAGE(ABS(Table1[[#This Row],[Weekly_Sales]]-Table1[[#This Row],[Forecast]])/Table1[[#This Row],[Weekly_Sales]])</f>
        <v>7.3284481292455961E-2</v>
      </c>
    </row>
    <row r="21" spans="1:11" x14ac:dyDescent="0.35">
      <c r="A21" s="13">
        <v>40347</v>
      </c>
      <c r="B21">
        <v>16216.27</v>
      </c>
      <c r="C21">
        <v>0</v>
      </c>
      <c r="D21">
        <v>84.11</v>
      </c>
      <c r="E21">
        <v>2.637</v>
      </c>
      <c r="F21">
        <v>211.45377189999999</v>
      </c>
      <c r="G21">
        <v>7.8079999999999998</v>
      </c>
      <c r="H21">
        <f>$M$5 + SUMPRODUCT($N$5:$R$5,Table1[[#This Row],[Holiday]:[Unemployment]])</f>
        <v>16592.365827990885</v>
      </c>
      <c r="I21">
        <f>AVERAGE(ABS(Table1[[#This Row],[Weekly_Sales]]-Table1[[#This Row],[Forecast]]))</f>
        <v>376.09582799088457</v>
      </c>
      <c r="J21">
        <f>Table1[[#This Row],[AE]]^2</f>
        <v>141448.07183214903</v>
      </c>
      <c r="K21" s="14">
        <f>AVERAGE(ABS(Table1[[#This Row],[Weekly_Sales]]-Table1[[#This Row],[Forecast]])/Table1[[#This Row],[Weekly_Sales]])</f>
        <v>2.3192499137649075E-2</v>
      </c>
    </row>
    <row r="22" spans="1:11" x14ac:dyDescent="0.35">
      <c r="A22" s="13">
        <v>40354</v>
      </c>
      <c r="B22">
        <v>16328.72</v>
      </c>
      <c r="C22">
        <v>0</v>
      </c>
      <c r="D22">
        <v>84.34</v>
      </c>
      <c r="E22">
        <v>2.653</v>
      </c>
      <c r="F22">
        <v>211.33865259999999</v>
      </c>
      <c r="G22">
        <v>7.8079999999999998</v>
      </c>
      <c r="H22">
        <f>$M$5 + SUMPRODUCT($N$5:$R$5,Table1[[#This Row],[Holiday]:[Unemployment]])</f>
        <v>16533.719246162018</v>
      </c>
      <c r="I22">
        <f>AVERAGE(ABS(Table1[[#This Row],[Weekly_Sales]]-Table1[[#This Row],[Forecast]]))</f>
        <v>204.99924616201861</v>
      </c>
      <c r="J22">
        <f>Table1[[#This Row],[AE]]^2</f>
        <v>42024.6909269959</v>
      </c>
      <c r="K22" s="14">
        <f>AVERAGE(ABS(Table1[[#This Row],[Weekly_Sales]]-Table1[[#This Row],[Forecast]])/Table1[[#This Row],[Weekly_Sales]])</f>
        <v>1.2554520266255935E-2</v>
      </c>
    </row>
    <row r="23" spans="1:11" x14ac:dyDescent="0.35">
      <c r="A23" s="13">
        <v>40361</v>
      </c>
      <c r="B23">
        <v>16333.14</v>
      </c>
      <c r="C23">
        <v>0</v>
      </c>
      <c r="D23">
        <v>80.91</v>
      </c>
      <c r="E23">
        <v>2.669</v>
      </c>
      <c r="F23">
        <v>211.22353330000001</v>
      </c>
      <c r="G23">
        <v>7.7869999999999999</v>
      </c>
      <c r="H23">
        <f>$M$5 + SUMPRODUCT($N$5:$R$5,Table1[[#This Row],[Holiday]:[Unemployment]])</f>
        <v>17654.398786933136</v>
      </c>
      <c r="I23">
        <f>AVERAGE(ABS(Table1[[#This Row],[Weekly_Sales]]-Table1[[#This Row],[Forecast]]))</f>
        <v>1321.2587869331364</v>
      </c>
      <c r="J23">
        <f>Table1[[#This Row],[AE]]^2</f>
        <v>1745724.7820480233</v>
      </c>
      <c r="K23" s="14">
        <f>AVERAGE(ABS(Table1[[#This Row],[Weekly_Sales]]-Table1[[#This Row],[Forecast]])/Table1[[#This Row],[Weekly_Sales]])</f>
        <v>8.0894352643345768E-2</v>
      </c>
    </row>
    <row r="24" spans="1:11" x14ac:dyDescent="0.35">
      <c r="A24" s="13">
        <v>40368</v>
      </c>
      <c r="B24">
        <v>17688.759999999998</v>
      </c>
      <c r="C24">
        <v>0</v>
      </c>
      <c r="D24">
        <v>80.48</v>
      </c>
      <c r="E24">
        <v>2.6419999999999999</v>
      </c>
      <c r="F24">
        <v>211.10841400000001</v>
      </c>
      <c r="G24">
        <v>7.7869999999999999</v>
      </c>
      <c r="H24">
        <f>$M$5 + SUMPRODUCT($N$5:$R$5,Table1[[#This Row],[Holiday]:[Unemployment]])</f>
        <v>17753.869537237377</v>
      </c>
      <c r="I24">
        <f>AVERAGE(ABS(Table1[[#This Row],[Weekly_Sales]]-Table1[[#This Row],[Forecast]]))</f>
        <v>65.10953723737839</v>
      </c>
      <c r="J24">
        <f>Table1[[#This Row],[AE]]^2</f>
        <v>4239.2518392655629</v>
      </c>
      <c r="K24" s="14">
        <f>AVERAGE(ABS(Table1[[#This Row],[Weekly_Sales]]-Table1[[#This Row],[Forecast]])/Table1[[#This Row],[Weekly_Sales]])</f>
        <v>3.6808423675474366E-3</v>
      </c>
    </row>
    <row r="25" spans="1:11" x14ac:dyDescent="0.35">
      <c r="A25" s="13">
        <v>40375</v>
      </c>
      <c r="B25">
        <v>17150.84</v>
      </c>
      <c r="C25">
        <v>0</v>
      </c>
      <c r="D25">
        <v>83.15</v>
      </c>
      <c r="E25">
        <v>2.6230000000000002</v>
      </c>
      <c r="F25">
        <v>211.10038539999999</v>
      </c>
      <c r="G25">
        <v>7.7869999999999999</v>
      </c>
      <c r="H25">
        <f>$M$5 + SUMPRODUCT($N$5:$R$5,Table1[[#This Row],[Holiday]:[Unemployment]])</f>
        <v>16841.058000818513</v>
      </c>
      <c r="I25">
        <f>AVERAGE(ABS(Table1[[#This Row],[Weekly_Sales]]-Table1[[#This Row],[Forecast]]))</f>
        <v>309.78199918148675</v>
      </c>
      <c r="J25">
        <f>Table1[[#This Row],[AE]]^2</f>
        <v>95964.887016878653</v>
      </c>
      <c r="K25" s="14">
        <f>AVERAGE(ABS(Table1[[#This Row],[Weekly_Sales]]-Table1[[#This Row],[Forecast]])/Table1[[#This Row],[Weekly_Sales]])</f>
        <v>1.8062205651821529E-2</v>
      </c>
    </row>
    <row r="26" spans="1:11" x14ac:dyDescent="0.35">
      <c r="A26" s="13">
        <v>40382</v>
      </c>
      <c r="B26">
        <v>15360.45</v>
      </c>
      <c r="C26">
        <v>0</v>
      </c>
      <c r="D26">
        <v>83.36</v>
      </c>
      <c r="E26">
        <v>2.6080000000000001</v>
      </c>
      <c r="F26">
        <v>211.2351443</v>
      </c>
      <c r="G26">
        <v>7.7869999999999999</v>
      </c>
      <c r="H26">
        <f>$M$5 + SUMPRODUCT($N$5:$R$5,Table1[[#This Row],[Holiday]:[Unemployment]])</f>
        <v>16756.026323014055</v>
      </c>
      <c r="I26">
        <f>AVERAGE(ABS(Table1[[#This Row],[Weekly_Sales]]-Table1[[#This Row],[Forecast]]))</f>
        <v>1395.5763230140547</v>
      </c>
      <c r="J26">
        <f>Table1[[#This Row],[AE]]^2</f>
        <v>1947633.2733574291</v>
      </c>
      <c r="K26" s="14">
        <f>AVERAGE(ABS(Table1[[#This Row],[Weekly_Sales]]-Table1[[#This Row],[Forecast]])/Table1[[#This Row],[Weekly_Sales]])</f>
        <v>9.0855171756950778E-2</v>
      </c>
    </row>
    <row r="27" spans="1:11" x14ac:dyDescent="0.35">
      <c r="A27" s="13">
        <v>40389</v>
      </c>
      <c r="B27">
        <v>15381.82</v>
      </c>
      <c r="C27">
        <v>0</v>
      </c>
      <c r="D27">
        <v>81.84</v>
      </c>
      <c r="E27">
        <v>2.64</v>
      </c>
      <c r="F27">
        <v>211.36990320000001</v>
      </c>
      <c r="G27">
        <v>7.7869999999999999</v>
      </c>
      <c r="H27">
        <f>$M$5 + SUMPRODUCT($N$5:$R$5,Table1[[#This Row],[Holiday]:[Unemployment]])</f>
        <v>17311.261813562931</v>
      </c>
      <c r="I27">
        <f>AVERAGE(ABS(Table1[[#This Row],[Weekly_Sales]]-Table1[[#This Row],[Forecast]]))</f>
        <v>1929.4418135629312</v>
      </c>
      <c r="J27">
        <f>Table1[[#This Row],[AE]]^2</f>
        <v>3722745.711925013</v>
      </c>
      <c r="K27" s="14">
        <f>AVERAGE(ABS(Table1[[#This Row],[Weekly_Sales]]-Table1[[#This Row],[Forecast]])/Table1[[#This Row],[Weekly_Sales]])</f>
        <v>0.12543650969540218</v>
      </c>
    </row>
    <row r="28" spans="1:11" x14ac:dyDescent="0.35">
      <c r="A28" s="13">
        <v>40396</v>
      </c>
      <c r="B28">
        <v>17508.41</v>
      </c>
      <c r="C28">
        <v>0</v>
      </c>
      <c r="D28">
        <v>87.16</v>
      </c>
      <c r="E28">
        <v>2.6269999999999998</v>
      </c>
      <c r="F28">
        <v>211.50466209999999</v>
      </c>
      <c r="G28">
        <v>7.7869999999999999</v>
      </c>
      <c r="H28">
        <f>$M$5 + SUMPRODUCT($N$5:$R$5,Table1[[#This Row],[Holiday]:[Unemployment]])</f>
        <v>15534.143257211446</v>
      </c>
      <c r="I28">
        <f>AVERAGE(ABS(Table1[[#This Row],[Weekly_Sales]]-Table1[[#This Row],[Forecast]]))</f>
        <v>1974.2667427885535</v>
      </c>
      <c r="J28">
        <f>Table1[[#This Row],[AE]]^2</f>
        <v>3897729.1716809245</v>
      </c>
      <c r="K28" s="14">
        <f>AVERAGE(ABS(Table1[[#This Row],[Weekly_Sales]]-Table1[[#This Row],[Forecast]])/Table1[[#This Row],[Weekly_Sales]])</f>
        <v>0.1127610527048746</v>
      </c>
    </row>
    <row r="29" spans="1:11" x14ac:dyDescent="0.35">
      <c r="A29" s="13">
        <v>40403</v>
      </c>
      <c r="B29">
        <v>15536.4</v>
      </c>
      <c r="C29">
        <v>0</v>
      </c>
      <c r="D29">
        <v>87</v>
      </c>
      <c r="E29">
        <v>2.6920000000000002</v>
      </c>
      <c r="F29">
        <v>211.63942109999999</v>
      </c>
      <c r="G29">
        <v>7.7869999999999999</v>
      </c>
      <c r="H29">
        <f>$M$5 + SUMPRODUCT($N$5:$R$5,Table1[[#This Row],[Holiday]:[Unemployment]])</f>
        <v>15684.942897423882</v>
      </c>
      <c r="I29">
        <f>AVERAGE(ABS(Table1[[#This Row],[Weekly_Sales]]-Table1[[#This Row],[Forecast]]))</f>
        <v>148.5428974238821</v>
      </c>
      <c r="J29">
        <f>Table1[[#This Row],[AE]]^2</f>
        <v>22064.992375081958</v>
      </c>
      <c r="K29" s="14">
        <f>AVERAGE(ABS(Table1[[#This Row],[Weekly_Sales]]-Table1[[#This Row],[Forecast]])/Table1[[#This Row],[Weekly_Sales]])</f>
        <v>9.5609599021576498E-3</v>
      </c>
    </row>
    <row r="30" spans="1:11" x14ac:dyDescent="0.35">
      <c r="A30" s="13">
        <v>40410</v>
      </c>
      <c r="B30">
        <v>15740.13</v>
      </c>
      <c r="C30">
        <v>0</v>
      </c>
      <c r="D30">
        <v>86.65</v>
      </c>
      <c r="E30">
        <v>2.6640000000000001</v>
      </c>
      <c r="F30">
        <v>211.60336330000001</v>
      </c>
      <c r="G30">
        <v>7.7869999999999999</v>
      </c>
      <c r="H30">
        <f>$M$5 + SUMPRODUCT($N$5:$R$5,Table1[[#This Row],[Holiday]:[Unemployment]])</f>
        <v>15759.885338762522</v>
      </c>
      <c r="I30">
        <f>AVERAGE(ABS(Table1[[#This Row],[Weekly_Sales]]-Table1[[#This Row],[Forecast]]))</f>
        <v>19.755338762523024</v>
      </c>
      <c r="J30">
        <f>Table1[[#This Row],[AE]]^2</f>
        <v>390.27340962204477</v>
      </c>
      <c r="K30" s="14">
        <f>AVERAGE(ABS(Table1[[#This Row],[Weekly_Sales]]-Table1[[#This Row],[Forecast]])/Table1[[#This Row],[Weekly_Sales]])</f>
        <v>1.2550937484330196E-3</v>
      </c>
    </row>
    <row r="31" spans="1:11" x14ac:dyDescent="0.35">
      <c r="A31" s="13">
        <v>40417</v>
      </c>
      <c r="B31">
        <v>15793.87</v>
      </c>
      <c r="C31">
        <v>0</v>
      </c>
      <c r="D31">
        <v>85.22</v>
      </c>
      <c r="E31">
        <v>2.6190000000000002</v>
      </c>
      <c r="F31">
        <v>211.5673056</v>
      </c>
      <c r="G31">
        <v>7.7869999999999999</v>
      </c>
      <c r="H31">
        <f>$M$5 + SUMPRODUCT($N$5:$R$5,Table1[[#This Row],[Holiday]:[Unemployment]])</f>
        <v>16169.013119656676</v>
      </c>
      <c r="I31">
        <f>AVERAGE(ABS(Table1[[#This Row],[Weekly_Sales]]-Table1[[#This Row],[Forecast]]))</f>
        <v>375.14311965667548</v>
      </c>
      <c r="J31">
        <f>Table1[[#This Row],[AE]]^2</f>
        <v>140732.36022574274</v>
      </c>
      <c r="K31" s="14">
        <f>AVERAGE(ABS(Table1[[#This Row],[Weekly_Sales]]-Table1[[#This Row],[Forecast]])/Table1[[#This Row],[Weekly_Sales]])</f>
        <v>2.3752450770879806E-2</v>
      </c>
    </row>
    <row r="32" spans="1:11" x14ac:dyDescent="0.35">
      <c r="A32" s="13">
        <v>40424</v>
      </c>
      <c r="B32">
        <v>16241.78</v>
      </c>
      <c r="C32">
        <v>0</v>
      </c>
      <c r="D32">
        <v>81.209999999999994</v>
      </c>
      <c r="E32">
        <v>2.577</v>
      </c>
      <c r="F32">
        <v>211.53124790000001</v>
      </c>
      <c r="G32">
        <v>7.7869999999999999</v>
      </c>
      <c r="H32">
        <f>$M$5 + SUMPRODUCT($N$5:$R$5,Table1[[#This Row],[Holiday]:[Unemployment]])</f>
        <v>17438.131863373608</v>
      </c>
      <c r="I32">
        <f>AVERAGE(ABS(Table1[[#This Row],[Weekly_Sales]]-Table1[[#This Row],[Forecast]]))</f>
        <v>1196.3518633736076</v>
      </c>
      <c r="J32">
        <f>Table1[[#This Row],[AE]]^2</f>
        <v>1431257.7809975029</v>
      </c>
      <c r="K32" s="14">
        <f>AVERAGE(ABS(Table1[[#This Row],[Weekly_Sales]]-Table1[[#This Row],[Forecast]])/Table1[[#This Row],[Weekly_Sales]])</f>
        <v>7.3658913208626609E-2</v>
      </c>
    </row>
    <row r="33" spans="1:11" x14ac:dyDescent="0.35">
      <c r="A33" s="13">
        <v>40431</v>
      </c>
      <c r="B33">
        <v>18194.740000000002</v>
      </c>
      <c r="C33">
        <v>1</v>
      </c>
      <c r="D33">
        <v>78.69</v>
      </c>
      <c r="E33">
        <v>2.5649999999999999</v>
      </c>
      <c r="F33">
        <v>211.4951902</v>
      </c>
      <c r="G33">
        <v>7.7869999999999999</v>
      </c>
      <c r="H33">
        <f>$M$5 + SUMPRODUCT($N$5:$R$5,Table1[[#This Row],[Holiday]:[Unemployment]])</f>
        <v>18038.268851710811</v>
      </c>
      <c r="I33">
        <f>AVERAGE(ABS(Table1[[#This Row],[Weekly_Sales]]-Table1[[#This Row],[Forecast]]))</f>
        <v>156.47114828919075</v>
      </c>
      <c r="J33">
        <f>Table1[[#This Row],[AE]]^2</f>
        <v>24483.220246937923</v>
      </c>
      <c r="K33" s="14">
        <f>AVERAGE(ABS(Table1[[#This Row],[Weekly_Sales]]-Table1[[#This Row],[Forecast]])/Table1[[#This Row],[Weekly_Sales]])</f>
        <v>8.599801277137829E-3</v>
      </c>
    </row>
    <row r="34" spans="1:11" x14ac:dyDescent="0.35">
      <c r="A34" s="13">
        <v>40438</v>
      </c>
      <c r="B34">
        <v>19354.23</v>
      </c>
      <c r="C34">
        <v>0</v>
      </c>
      <c r="D34">
        <v>82.11</v>
      </c>
      <c r="E34">
        <v>2.5819999999999999</v>
      </c>
      <c r="F34">
        <v>211.52245959999999</v>
      </c>
      <c r="G34">
        <v>7.7869999999999999</v>
      </c>
      <c r="H34">
        <f>$M$5 + SUMPRODUCT($N$5:$R$5,Table1[[#This Row],[Holiday]:[Unemployment]])</f>
        <v>17146.303638752768</v>
      </c>
      <c r="I34">
        <f>AVERAGE(ABS(Table1[[#This Row],[Weekly_Sales]]-Table1[[#This Row],[Forecast]]))</f>
        <v>2207.9263612472314</v>
      </c>
      <c r="J34">
        <f>Table1[[#This Row],[AE]]^2</f>
        <v>4874938.8166904394</v>
      </c>
      <c r="K34" s="14">
        <f>AVERAGE(ABS(Table1[[#This Row],[Weekly_Sales]]-Table1[[#This Row],[Forecast]])/Table1[[#This Row],[Weekly_Sales]])</f>
        <v>0.11407978314028672</v>
      </c>
    </row>
    <row r="35" spans="1:11" x14ac:dyDescent="0.35">
      <c r="A35" s="13">
        <v>40445</v>
      </c>
      <c r="B35">
        <v>18122.52</v>
      </c>
      <c r="C35">
        <v>0</v>
      </c>
      <c r="D35">
        <v>80.94</v>
      </c>
      <c r="E35">
        <v>2.6240000000000001</v>
      </c>
      <c r="F35">
        <v>211.5972246</v>
      </c>
      <c r="G35">
        <v>7.7869999999999999</v>
      </c>
      <c r="H35">
        <f>$M$5 + SUMPRODUCT($N$5:$R$5,Table1[[#This Row],[Holiday]:[Unemployment]])</f>
        <v>17596.992046544136</v>
      </c>
      <c r="I35">
        <f>AVERAGE(ABS(Table1[[#This Row],[Weekly_Sales]]-Table1[[#This Row],[Forecast]]))</f>
        <v>525.52795345586492</v>
      </c>
      <c r="J35">
        <f>Table1[[#This Row],[AE]]^2</f>
        <v>276179.62986350973</v>
      </c>
      <c r="K35" s="14">
        <f>AVERAGE(ABS(Table1[[#This Row],[Weekly_Sales]]-Table1[[#This Row],[Forecast]])/Table1[[#This Row],[Weekly_Sales]])</f>
        <v>2.8998613518200829E-2</v>
      </c>
    </row>
    <row r="36" spans="1:11" x14ac:dyDescent="0.35">
      <c r="A36" s="13">
        <v>40452</v>
      </c>
      <c r="B36">
        <v>20094.189999999999</v>
      </c>
      <c r="C36">
        <v>0</v>
      </c>
      <c r="D36">
        <v>71.89</v>
      </c>
      <c r="E36">
        <v>2.6030000000000002</v>
      </c>
      <c r="F36">
        <v>211.6719895</v>
      </c>
      <c r="G36">
        <v>7.8380000000000001</v>
      </c>
      <c r="H36">
        <f>$M$5 + SUMPRODUCT($N$5:$R$5,Table1[[#This Row],[Holiday]:[Unemployment]])</f>
        <v>20656.42797563882</v>
      </c>
      <c r="I36">
        <f>AVERAGE(ABS(Table1[[#This Row],[Weekly_Sales]]-Table1[[#This Row],[Forecast]]))</f>
        <v>562.23797563882181</v>
      </c>
      <c r="J36">
        <f>Table1[[#This Row],[AE]]^2</f>
        <v>316111.54125044041</v>
      </c>
      <c r="K36" s="14">
        <f>AVERAGE(ABS(Table1[[#This Row],[Weekly_Sales]]-Table1[[#This Row],[Forecast]])/Table1[[#This Row],[Weekly_Sales]])</f>
        <v>2.7980126376769696E-2</v>
      </c>
    </row>
    <row r="37" spans="1:11" x14ac:dyDescent="0.35">
      <c r="A37" s="13">
        <v>40459</v>
      </c>
      <c r="B37">
        <v>23388.03</v>
      </c>
      <c r="C37">
        <v>0</v>
      </c>
      <c r="D37">
        <v>63.93</v>
      </c>
      <c r="E37">
        <v>2.633</v>
      </c>
      <c r="F37">
        <v>211.74675439999999</v>
      </c>
      <c r="G37">
        <v>7.8380000000000001</v>
      </c>
      <c r="H37">
        <f>$M$5 + SUMPRODUCT($N$5:$R$5,Table1[[#This Row],[Holiday]:[Unemployment]])</f>
        <v>23342.296999438688</v>
      </c>
      <c r="I37">
        <f>AVERAGE(ABS(Table1[[#This Row],[Weekly_Sales]]-Table1[[#This Row],[Forecast]]))</f>
        <v>45.733000561311201</v>
      </c>
      <c r="J37">
        <f>Table1[[#This Row],[AE]]^2</f>
        <v>2091.5073403408906</v>
      </c>
      <c r="K37" s="14">
        <f>AVERAGE(ABS(Table1[[#This Row],[Weekly_Sales]]-Table1[[#This Row],[Forecast]])/Table1[[#This Row],[Weekly_Sales]])</f>
        <v>1.955401996718458E-3</v>
      </c>
    </row>
    <row r="38" spans="1:11" x14ac:dyDescent="0.35">
      <c r="A38" s="13">
        <v>40466</v>
      </c>
      <c r="B38">
        <v>26978.34</v>
      </c>
      <c r="C38">
        <v>0</v>
      </c>
      <c r="D38">
        <v>67.180000000000007</v>
      </c>
      <c r="E38">
        <v>2.72</v>
      </c>
      <c r="F38">
        <v>211.81374360000001</v>
      </c>
      <c r="G38">
        <v>7.8380000000000001</v>
      </c>
      <c r="H38">
        <f>$M$5 + SUMPRODUCT($N$5:$R$5,Table1[[#This Row],[Holiday]:[Unemployment]])</f>
        <v>22390.220659881932</v>
      </c>
      <c r="I38">
        <f>AVERAGE(ABS(Table1[[#This Row],[Weekly_Sales]]-Table1[[#This Row],[Forecast]]))</f>
        <v>4588.1193401180681</v>
      </c>
      <c r="J38">
        <f>Table1[[#This Row],[AE]]^2</f>
        <v>21050839.079165455</v>
      </c>
      <c r="K38" s="14">
        <f>AVERAGE(ABS(Table1[[#This Row],[Weekly_Sales]]-Table1[[#This Row],[Forecast]])/Table1[[#This Row],[Weekly_Sales]])</f>
        <v>0.17006677727829317</v>
      </c>
    </row>
    <row r="39" spans="1:11" x14ac:dyDescent="0.35">
      <c r="A39" s="13">
        <v>40473</v>
      </c>
      <c r="B39">
        <v>25543.040000000001</v>
      </c>
      <c r="C39">
        <v>0</v>
      </c>
      <c r="D39">
        <v>69.86</v>
      </c>
      <c r="E39">
        <v>2.7250000000000001</v>
      </c>
      <c r="F39">
        <v>211.8612937</v>
      </c>
      <c r="G39">
        <v>7.8380000000000001</v>
      </c>
      <c r="H39">
        <f>$M$5 + SUMPRODUCT($N$5:$R$5,Table1[[#This Row],[Holiday]:[Unemployment]])</f>
        <v>21510.42900860052</v>
      </c>
      <c r="I39">
        <f>AVERAGE(ABS(Table1[[#This Row],[Weekly_Sales]]-Table1[[#This Row],[Forecast]]))</f>
        <v>4032.6109913994806</v>
      </c>
      <c r="J39">
        <f>Table1[[#This Row],[AE]]^2</f>
        <v>16261951.407955902</v>
      </c>
      <c r="K39" s="14">
        <f>AVERAGE(ABS(Table1[[#This Row],[Weekly_Sales]]-Table1[[#This Row],[Forecast]])/Table1[[#This Row],[Weekly_Sales]])</f>
        <v>0.15787513903589709</v>
      </c>
    </row>
    <row r="40" spans="1:11" x14ac:dyDescent="0.35">
      <c r="A40" s="13">
        <v>40480</v>
      </c>
      <c r="B40">
        <v>38640.93</v>
      </c>
      <c r="C40">
        <v>0</v>
      </c>
      <c r="D40">
        <v>69.64</v>
      </c>
      <c r="E40">
        <v>2.7160000000000002</v>
      </c>
      <c r="F40">
        <v>211.9088438</v>
      </c>
      <c r="G40">
        <v>7.8380000000000001</v>
      </c>
      <c r="H40">
        <f>$M$5 + SUMPRODUCT($N$5:$R$5,Table1[[#This Row],[Holiday]:[Unemployment]])</f>
        <v>21572.732428110132</v>
      </c>
      <c r="I40">
        <f>AVERAGE(ABS(Table1[[#This Row],[Weekly_Sales]]-Table1[[#This Row],[Forecast]]))</f>
        <v>17068.197571889868</v>
      </c>
      <c r="J40">
        <f>Table1[[#This Row],[AE]]^2</f>
        <v>291323368.35306722</v>
      </c>
      <c r="K40" s="14">
        <f>AVERAGE(ABS(Table1[[#This Row],[Weekly_Sales]]-Table1[[#This Row],[Forecast]])/Table1[[#This Row],[Weekly_Sales]])</f>
        <v>0.44171290835623955</v>
      </c>
    </row>
    <row r="41" spans="1:11" x14ac:dyDescent="0.35">
      <c r="A41" s="13">
        <v>40487</v>
      </c>
      <c r="B41">
        <v>34238.879999999997</v>
      </c>
      <c r="C41">
        <v>0</v>
      </c>
      <c r="D41">
        <v>58.74</v>
      </c>
      <c r="E41">
        <v>2.6890000000000001</v>
      </c>
      <c r="F41">
        <v>211.95639389999999</v>
      </c>
      <c r="G41">
        <v>7.8380000000000001</v>
      </c>
      <c r="H41">
        <f>$M$5 + SUMPRODUCT($N$5:$R$5,Table1[[#This Row],[Holiday]:[Unemployment]])</f>
        <v>25151.991261666884</v>
      </c>
      <c r="I41">
        <f>AVERAGE(ABS(Table1[[#This Row],[Weekly_Sales]]-Table1[[#This Row],[Forecast]]))</f>
        <v>9086.888738333113</v>
      </c>
      <c r="J41">
        <f>Table1[[#This Row],[AE]]^2</f>
        <v>82571546.942845151</v>
      </c>
      <c r="K41" s="14">
        <f>AVERAGE(ABS(Table1[[#This Row],[Weekly_Sales]]-Table1[[#This Row],[Forecast]])/Table1[[#This Row],[Weekly_Sales]])</f>
        <v>0.26539678687892576</v>
      </c>
    </row>
    <row r="42" spans="1:11" x14ac:dyDescent="0.35">
      <c r="A42" s="13">
        <v>40494</v>
      </c>
      <c r="B42">
        <v>19549.39</v>
      </c>
      <c r="C42">
        <v>0</v>
      </c>
      <c r="D42">
        <v>59.61</v>
      </c>
      <c r="E42">
        <v>2.7280000000000002</v>
      </c>
      <c r="F42">
        <v>212.00394399999999</v>
      </c>
      <c r="G42">
        <v>7.8380000000000001</v>
      </c>
      <c r="H42">
        <f>$M$5 + SUMPRODUCT($N$5:$R$5,Table1[[#This Row],[Holiday]:[Unemployment]])</f>
        <v>24920.621666540319</v>
      </c>
      <c r="I42">
        <f>AVERAGE(ABS(Table1[[#This Row],[Weekly_Sales]]-Table1[[#This Row],[Forecast]]))</f>
        <v>5371.2316665403196</v>
      </c>
      <c r="J42">
        <f>Table1[[#This Row],[AE]]^2</f>
        <v>28850129.615645498</v>
      </c>
      <c r="K42" s="14">
        <f>AVERAGE(ABS(Table1[[#This Row],[Weekly_Sales]]-Table1[[#This Row],[Forecast]])/Table1[[#This Row],[Weekly_Sales]])</f>
        <v>0.27475188057224903</v>
      </c>
    </row>
    <row r="43" spans="1:11" x14ac:dyDescent="0.35">
      <c r="A43" s="13">
        <v>40501</v>
      </c>
      <c r="B43">
        <v>19552.84</v>
      </c>
      <c r="C43">
        <v>0</v>
      </c>
      <c r="D43">
        <v>51.41</v>
      </c>
      <c r="E43">
        <v>2.7709999999999999</v>
      </c>
      <c r="F43">
        <v>211.8896737</v>
      </c>
      <c r="G43">
        <v>7.8380000000000001</v>
      </c>
      <c r="H43">
        <f>$M$5 + SUMPRODUCT($N$5:$R$5,Table1[[#This Row],[Holiday]:[Unemployment]])</f>
        <v>27696.297123186276</v>
      </c>
      <c r="I43">
        <f>AVERAGE(ABS(Table1[[#This Row],[Weekly_Sales]]-Table1[[#This Row],[Forecast]]))</f>
        <v>8143.4571231862756</v>
      </c>
      <c r="J43">
        <f>Table1[[#This Row],[AE]]^2</f>
        <v>66315893.917173289</v>
      </c>
      <c r="K43" s="14">
        <f>AVERAGE(ABS(Table1[[#This Row],[Weekly_Sales]]-Table1[[#This Row],[Forecast]])/Table1[[#This Row],[Weekly_Sales]])</f>
        <v>0.41648461927711145</v>
      </c>
    </row>
    <row r="44" spans="1:11" x14ac:dyDescent="0.35">
      <c r="A44" s="13">
        <v>40508</v>
      </c>
      <c r="B44">
        <v>18820.29</v>
      </c>
      <c r="C44">
        <v>1</v>
      </c>
      <c r="D44">
        <v>64.52</v>
      </c>
      <c r="E44">
        <v>2.7349999999999999</v>
      </c>
      <c r="F44">
        <v>211.74843329999999</v>
      </c>
      <c r="G44">
        <v>7.8380000000000001</v>
      </c>
      <c r="H44">
        <f>$M$5 + SUMPRODUCT($N$5:$R$5,Table1[[#This Row],[Holiday]:[Unemployment]])</f>
        <v>23073.701922833658</v>
      </c>
      <c r="I44">
        <f>AVERAGE(ABS(Table1[[#This Row],[Weekly_Sales]]-Table1[[#This Row],[Forecast]]))</f>
        <v>4253.4119228336567</v>
      </c>
      <c r="J44">
        <f>Table1[[#This Row],[AE]]^2</f>
        <v>18091512.985303506</v>
      </c>
      <c r="K44" s="14">
        <f>AVERAGE(ABS(Table1[[#This Row],[Weekly_Sales]]-Table1[[#This Row],[Forecast]])/Table1[[#This Row],[Weekly_Sales]])</f>
        <v>0.22600140182928405</v>
      </c>
    </row>
    <row r="45" spans="1:11" x14ac:dyDescent="0.35">
      <c r="A45" s="13">
        <v>40515</v>
      </c>
      <c r="B45">
        <v>22517.56</v>
      </c>
      <c r="C45">
        <v>0</v>
      </c>
      <c r="D45">
        <v>49.27</v>
      </c>
      <c r="E45">
        <v>2.7080000000000002</v>
      </c>
      <c r="F45">
        <v>211.607193</v>
      </c>
      <c r="G45">
        <v>7.8380000000000001</v>
      </c>
      <c r="H45">
        <f>$M$5 + SUMPRODUCT($N$5:$R$5,Table1[[#This Row],[Holiday]:[Unemployment]])</f>
        <v>28304.811753828115</v>
      </c>
      <c r="I45">
        <f>AVERAGE(ABS(Table1[[#This Row],[Weekly_Sales]]-Table1[[#This Row],[Forecast]]))</f>
        <v>5787.2517538281136</v>
      </c>
      <c r="J45">
        <f>Table1[[#This Row],[AE]]^2</f>
        <v>33492282.862186577</v>
      </c>
      <c r="K45" s="14">
        <f>AVERAGE(ABS(Table1[[#This Row],[Weekly_Sales]]-Table1[[#This Row],[Forecast]])/Table1[[#This Row],[Weekly_Sales]])</f>
        <v>0.25701060655897501</v>
      </c>
    </row>
    <row r="46" spans="1:11" x14ac:dyDescent="0.35">
      <c r="A46" s="13">
        <v>40522</v>
      </c>
      <c r="B46">
        <v>31497.65</v>
      </c>
      <c r="C46">
        <v>0</v>
      </c>
      <c r="D46">
        <v>46.33</v>
      </c>
      <c r="E46">
        <v>2.843</v>
      </c>
      <c r="F46">
        <v>211.46595260000001</v>
      </c>
      <c r="G46">
        <v>7.8380000000000001</v>
      </c>
      <c r="H46">
        <f>$M$5 + SUMPRODUCT($N$5:$R$5,Table1[[#This Row],[Holiday]:[Unemployment]])</f>
        <v>29464.726666118237</v>
      </c>
      <c r="I46">
        <f>AVERAGE(ABS(Table1[[#This Row],[Weekly_Sales]]-Table1[[#This Row],[Forecast]]))</f>
        <v>2032.9233338817648</v>
      </c>
      <c r="J46">
        <f>Table1[[#This Row],[AE]]^2</f>
        <v>4132777.2814409495</v>
      </c>
      <c r="K46" s="14">
        <f>AVERAGE(ABS(Table1[[#This Row],[Weekly_Sales]]-Table1[[#This Row],[Forecast]])/Table1[[#This Row],[Weekly_Sales]])</f>
        <v>6.4542063737509453E-2</v>
      </c>
    </row>
    <row r="47" spans="1:11" x14ac:dyDescent="0.35">
      <c r="A47" s="13">
        <v>40529</v>
      </c>
      <c r="B47">
        <v>44912.86</v>
      </c>
      <c r="C47">
        <v>0</v>
      </c>
      <c r="D47">
        <v>49.84</v>
      </c>
      <c r="E47">
        <v>2.8690000000000002</v>
      </c>
      <c r="F47">
        <v>211.40531240000001</v>
      </c>
      <c r="G47">
        <v>7.8380000000000001</v>
      </c>
      <c r="H47">
        <f>$M$5 + SUMPRODUCT($N$5:$R$5,Table1[[#This Row],[Holiday]:[Unemployment]])</f>
        <v>28334.645926356723</v>
      </c>
      <c r="I47">
        <f>AVERAGE(ABS(Table1[[#This Row],[Weekly_Sales]]-Table1[[#This Row],[Forecast]]))</f>
        <v>16578.214073643278</v>
      </c>
      <c r="J47">
        <f>Table1[[#This Row],[AE]]^2</f>
        <v>274837181.87154406</v>
      </c>
      <c r="K47" s="14">
        <f>AVERAGE(ABS(Table1[[#This Row],[Weekly_Sales]]-Table1[[#This Row],[Forecast]])/Table1[[#This Row],[Weekly_Sales]])</f>
        <v>0.36911953666818986</v>
      </c>
    </row>
    <row r="48" spans="1:11" x14ac:dyDescent="0.35">
      <c r="A48" s="13">
        <v>40536</v>
      </c>
      <c r="B48">
        <v>55931.23</v>
      </c>
      <c r="C48">
        <v>0</v>
      </c>
      <c r="D48">
        <v>52.33</v>
      </c>
      <c r="E48">
        <v>2.8860000000000001</v>
      </c>
      <c r="F48">
        <v>211.40512219999999</v>
      </c>
      <c r="G48">
        <v>7.8380000000000001</v>
      </c>
      <c r="H48">
        <f>$M$5 + SUMPRODUCT($N$5:$R$5,Table1[[#This Row],[Holiday]:[Unemployment]])</f>
        <v>27532.775348857576</v>
      </c>
      <c r="I48">
        <f>AVERAGE(ABS(Table1[[#This Row],[Weekly_Sales]]-Table1[[#This Row],[Forecast]]))</f>
        <v>28398.454651142427</v>
      </c>
      <c r="J48">
        <f>Table1[[#This Row],[AE]]^2</f>
        <v>806472226.57299292</v>
      </c>
      <c r="K48" s="14">
        <f>AVERAGE(ABS(Table1[[#This Row],[Weekly_Sales]]-Table1[[#This Row],[Forecast]])/Table1[[#This Row],[Weekly_Sales]])</f>
        <v>0.50773878298657882</v>
      </c>
    </row>
    <row r="49" spans="1:11" x14ac:dyDescent="0.35">
      <c r="A49" s="13">
        <v>40543</v>
      </c>
      <c r="B49">
        <v>19124.580000000002</v>
      </c>
      <c r="C49">
        <v>1</v>
      </c>
      <c r="D49">
        <v>48.43</v>
      </c>
      <c r="E49">
        <v>2.9430000000000001</v>
      </c>
      <c r="F49">
        <v>211.4049321</v>
      </c>
      <c r="G49">
        <v>7.8380000000000001</v>
      </c>
      <c r="H49">
        <f>$M$5 + SUMPRODUCT($N$5:$R$5,Table1[[#This Row],[Holiday]:[Unemployment]])</f>
        <v>28689.745768800287</v>
      </c>
      <c r="I49">
        <f>AVERAGE(ABS(Table1[[#This Row],[Weekly_Sales]]-Table1[[#This Row],[Forecast]]))</f>
        <v>9565.1657688002852</v>
      </c>
      <c r="J49">
        <f>Table1[[#This Row],[AE]]^2</f>
        <v>91492396.184628755</v>
      </c>
      <c r="K49" s="14">
        <f>AVERAGE(ABS(Table1[[#This Row],[Weekly_Sales]]-Table1[[#This Row],[Forecast]])/Table1[[#This Row],[Weekly_Sales]])</f>
        <v>0.50015037029834297</v>
      </c>
    </row>
    <row r="50" spans="1:11" x14ac:dyDescent="0.35">
      <c r="A50" s="13">
        <v>40550</v>
      </c>
      <c r="B50">
        <v>15984.24</v>
      </c>
      <c r="C50">
        <v>0</v>
      </c>
      <c r="D50">
        <v>48.27</v>
      </c>
      <c r="E50">
        <v>2.976</v>
      </c>
      <c r="F50">
        <v>211.4047419</v>
      </c>
      <c r="G50">
        <v>7.742</v>
      </c>
      <c r="H50">
        <f>$M$5 + SUMPRODUCT($N$5:$R$5,Table1[[#This Row],[Holiday]:[Unemployment]])</f>
        <v>28848.27678710645</v>
      </c>
      <c r="I50">
        <f>AVERAGE(ABS(Table1[[#This Row],[Weekly_Sales]]-Table1[[#This Row],[Forecast]]))</f>
        <v>12864.03678710645</v>
      </c>
      <c r="J50">
        <f>Table1[[#This Row],[AE]]^2</f>
        <v>165483442.46002802</v>
      </c>
      <c r="K50" s="14">
        <f>AVERAGE(ABS(Table1[[#This Row],[Weekly_Sales]]-Table1[[#This Row],[Forecast]])/Table1[[#This Row],[Weekly_Sales]])</f>
        <v>0.80479502229110988</v>
      </c>
    </row>
    <row r="51" spans="1:11" x14ac:dyDescent="0.35">
      <c r="A51" s="13">
        <v>40557</v>
      </c>
      <c r="B51">
        <v>17359.7</v>
      </c>
      <c r="C51">
        <v>0</v>
      </c>
      <c r="D51">
        <v>35.4</v>
      </c>
      <c r="E51">
        <v>2.9830000000000001</v>
      </c>
      <c r="F51">
        <v>211.45741090000001</v>
      </c>
      <c r="G51">
        <v>7.742</v>
      </c>
      <c r="H51">
        <f>$M$5 + SUMPRODUCT($N$5:$R$5,Table1[[#This Row],[Holiday]:[Unemployment]])</f>
        <v>33129.248865504203</v>
      </c>
      <c r="I51">
        <f>AVERAGE(ABS(Table1[[#This Row],[Weekly_Sales]]-Table1[[#This Row],[Forecast]]))</f>
        <v>15769.548865504203</v>
      </c>
      <c r="J51">
        <f>Table1[[#This Row],[AE]]^2</f>
        <v>248678671.42152488</v>
      </c>
      <c r="K51" s="14">
        <f>AVERAGE(ABS(Table1[[#This Row],[Weekly_Sales]]-Table1[[#This Row],[Forecast]])/Table1[[#This Row],[Weekly_Sales]])</f>
        <v>0.90839984939280072</v>
      </c>
    </row>
    <row r="52" spans="1:11" x14ac:dyDescent="0.35">
      <c r="A52" s="13">
        <v>40564</v>
      </c>
      <c r="B52">
        <v>17341.47</v>
      </c>
      <c r="C52">
        <v>0</v>
      </c>
      <c r="D52">
        <v>44.04</v>
      </c>
      <c r="E52">
        <v>3.016</v>
      </c>
      <c r="F52">
        <v>211.82723429999999</v>
      </c>
      <c r="G52">
        <v>7.742</v>
      </c>
      <c r="H52">
        <f>$M$5 + SUMPRODUCT($N$5:$R$5,Table1[[#This Row],[Holiday]:[Unemployment]])</f>
        <v>30326.139703074172</v>
      </c>
      <c r="I52">
        <f>AVERAGE(ABS(Table1[[#This Row],[Weekly_Sales]]-Table1[[#This Row],[Forecast]]))</f>
        <v>12984.669703074171</v>
      </c>
      <c r="J52">
        <f>Table1[[#This Row],[AE]]^2</f>
        <v>168601647.29793227</v>
      </c>
      <c r="K52" s="14">
        <f>AVERAGE(ABS(Table1[[#This Row],[Weekly_Sales]]-Table1[[#This Row],[Forecast]])/Table1[[#This Row],[Weekly_Sales]])</f>
        <v>0.74876407265786404</v>
      </c>
    </row>
    <row r="53" spans="1:11" x14ac:dyDescent="0.35">
      <c r="A53" s="13">
        <v>40571</v>
      </c>
      <c r="B53">
        <v>18461.18</v>
      </c>
      <c r="C53">
        <v>0</v>
      </c>
      <c r="D53">
        <v>43.83</v>
      </c>
      <c r="E53">
        <v>3.01</v>
      </c>
      <c r="F53">
        <v>212.19705769999999</v>
      </c>
      <c r="G53">
        <v>7.742</v>
      </c>
      <c r="H53">
        <f>$M$5 + SUMPRODUCT($N$5:$R$5,Table1[[#This Row],[Holiday]:[Unemployment]])</f>
        <v>30403.310160255518</v>
      </c>
      <c r="I53">
        <f>AVERAGE(ABS(Table1[[#This Row],[Weekly_Sales]]-Table1[[#This Row],[Forecast]]))</f>
        <v>11942.130160255518</v>
      </c>
      <c r="J53">
        <f>Table1[[#This Row],[AE]]^2</f>
        <v>142614472.76448447</v>
      </c>
      <c r="K53" s="14">
        <f>AVERAGE(ABS(Table1[[#This Row],[Weekly_Sales]]-Table1[[#This Row],[Forecast]])/Table1[[#This Row],[Weekly_Sales]])</f>
        <v>0.64687794389391784</v>
      </c>
    </row>
    <row r="54" spans="1:11" x14ac:dyDescent="0.35">
      <c r="A54" s="13">
        <v>40578</v>
      </c>
      <c r="B54">
        <v>21665.759999999998</v>
      </c>
      <c r="C54">
        <v>0</v>
      </c>
      <c r="D54">
        <v>42.27</v>
      </c>
      <c r="E54">
        <v>2.9889999999999999</v>
      </c>
      <c r="F54">
        <v>212.56688120000001</v>
      </c>
      <c r="G54">
        <v>7.742</v>
      </c>
      <c r="H54">
        <f>$M$5 + SUMPRODUCT($N$5:$R$5,Table1[[#This Row],[Holiday]:[Unemployment]])</f>
        <v>30907.04881879293</v>
      </c>
      <c r="I54">
        <f>AVERAGE(ABS(Table1[[#This Row],[Weekly_Sales]]-Table1[[#This Row],[Forecast]]))</f>
        <v>9241.2888187929311</v>
      </c>
      <c r="J54">
        <f>Table1[[#This Row],[AE]]^2</f>
        <v>85401419.032347247</v>
      </c>
      <c r="K54" s="14">
        <f>AVERAGE(ABS(Table1[[#This Row],[Weekly_Sales]]-Table1[[#This Row],[Forecast]])/Table1[[#This Row],[Weekly_Sales]])</f>
        <v>0.42653887141706232</v>
      </c>
    </row>
    <row r="55" spans="1:11" x14ac:dyDescent="0.35">
      <c r="A55" s="13">
        <v>40585</v>
      </c>
      <c r="B55">
        <v>37887.17</v>
      </c>
      <c r="C55">
        <v>1</v>
      </c>
      <c r="D55">
        <v>36.39</v>
      </c>
      <c r="E55">
        <v>3.0219999999999998</v>
      </c>
      <c r="F55">
        <v>212.93670460000001</v>
      </c>
      <c r="G55">
        <v>7.742</v>
      </c>
      <c r="H55">
        <f>$M$5 + SUMPRODUCT($N$5:$R$5,Table1[[#This Row],[Holiday]:[Unemployment]])</f>
        <v>32702.8326303637</v>
      </c>
      <c r="I55">
        <f>AVERAGE(ABS(Table1[[#This Row],[Weekly_Sales]]-Table1[[#This Row],[Forecast]]))</f>
        <v>5184.3373696362978</v>
      </c>
      <c r="J55">
        <f>Table1[[#This Row],[AE]]^2</f>
        <v>26877353.962207407</v>
      </c>
      <c r="K55" s="14">
        <f>AVERAGE(ABS(Table1[[#This Row],[Weekly_Sales]]-Table1[[#This Row],[Forecast]])/Table1[[#This Row],[Weekly_Sales]])</f>
        <v>0.13683622634354317</v>
      </c>
    </row>
    <row r="56" spans="1:11" x14ac:dyDescent="0.35">
      <c r="A56" s="13">
        <v>40592</v>
      </c>
      <c r="B56">
        <v>46845.87</v>
      </c>
      <c r="C56">
        <v>0</v>
      </c>
      <c r="D56">
        <v>57.36</v>
      </c>
      <c r="E56">
        <v>3.0449999999999999</v>
      </c>
      <c r="F56">
        <v>213.24788530000001</v>
      </c>
      <c r="G56">
        <v>7.742</v>
      </c>
      <c r="H56">
        <f>$M$5 + SUMPRODUCT($N$5:$R$5,Table1[[#This Row],[Holiday]:[Unemployment]])</f>
        <v>26010.546974317302</v>
      </c>
      <c r="I56">
        <f>AVERAGE(ABS(Table1[[#This Row],[Weekly_Sales]]-Table1[[#This Row],[Forecast]]))</f>
        <v>20835.323025682701</v>
      </c>
      <c r="J56">
        <f>Table1[[#This Row],[AE]]^2</f>
        <v>434110685.58454376</v>
      </c>
      <c r="K56" s="14">
        <f>AVERAGE(ABS(Table1[[#This Row],[Weekly_Sales]]-Table1[[#This Row],[Forecast]])/Table1[[#This Row],[Weekly_Sales]])</f>
        <v>0.44476328491033895</v>
      </c>
    </row>
    <row r="57" spans="1:11" x14ac:dyDescent="0.35">
      <c r="A57" s="13">
        <v>40599</v>
      </c>
      <c r="B57">
        <v>19363.830000000002</v>
      </c>
      <c r="C57">
        <v>0</v>
      </c>
      <c r="D57">
        <v>62.9</v>
      </c>
      <c r="E57">
        <v>3.0649999999999999</v>
      </c>
      <c r="F57">
        <v>213.53560899999999</v>
      </c>
      <c r="G57">
        <v>7.742</v>
      </c>
      <c r="H57">
        <f>$M$5 + SUMPRODUCT($N$5:$R$5,Table1[[#This Row],[Holiday]:[Unemployment]])</f>
        <v>24213.732050427076</v>
      </c>
      <c r="I57">
        <f>AVERAGE(ABS(Table1[[#This Row],[Weekly_Sales]]-Table1[[#This Row],[Forecast]]))</f>
        <v>4849.9020504270738</v>
      </c>
      <c r="J57">
        <f>Table1[[#This Row],[AE]]^2</f>
        <v>23521549.898736734</v>
      </c>
      <c r="K57" s="14">
        <f>AVERAGE(ABS(Table1[[#This Row],[Weekly_Sales]]-Table1[[#This Row],[Forecast]])/Table1[[#This Row],[Weekly_Sales]])</f>
        <v>0.25046192052022115</v>
      </c>
    </row>
    <row r="58" spans="1:11" x14ac:dyDescent="0.35">
      <c r="A58" s="13">
        <v>40606</v>
      </c>
      <c r="B58">
        <v>20327.61</v>
      </c>
      <c r="C58">
        <v>0</v>
      </c>
      <c r="D58">
        <v>59.58</v>
      </c>
      <c r="E58">
        <v>3.2879999999999998</v>
      </c>
      <c r="F58">
        <v>213.82333270000001</v>
      </c>
      <c r="G58">
        <v>7.742</v>
      </c>
      <c r="H58">
        <f>$M$5 + SUMPRODUCT($N$5:$R$5,Table1[[#This Row],[Holiday]:[Unemployment]])</f>
        <v>25642.663968300229</v>
      </c>
      <c r="I58">
        <f>AVERAGE(ABS(Table1[[#This Row],[Weekly_Sales]]-Table1[[#This Row],[Forecast]]))</f>
        <v>5315.053968300228</v>
      </c>
      <c r="J58">
        <f>Table1[[#This Row],[AE]]^2</f>
        <v>28249798.685944002</v>
      </c>
      <c r="K58" s="14">
        <f>AVERAGE(ABS(Table1[[#This Row],[Weekly_Sales]]-Table1[[#This Row],[Forecast]])/Table1[[#This Row],[Weekly_Sales]])</f>
        <v>0.2614696940909545</v>
      </c>
    </row>
    <row r="59" spans="1:11" x14ac:dyDescent="0.35">
      <c r="A59" s="13">
        <v>40613</v>
      </c>
      <c r="B59">
        <v>21280.400000000001</v>
      </c>
      <c r="C59">
        <v>0</v>
      </c>
      <c r="D59">
        <v>53.56</v>
      </c>
      <c r="E59">
        <v>3.4590000000000001</v>
      </c>
      <c r="F59">
        <v>214.1110564</v>
      </c>
      <c r="G59">
        <v>7.742</v>
      </c>
      <c r="H59">
        <f>$M$5 + SUMPRODUCT($N$5:$R$5,Table1[[#This Row],[Holiday]:[Unemployment]])</f>
        <v>27893.627701696783</v>
      </c>
      <c r="I59">
        <f>AVERAGE(ABS(Table1[[#This Row],[Weekly_Sales]]-Table1[[#This Row],[Forecast]]))</f>
        <v>6613.2277016967819</v>
      </c>
      <c r="J59">
        <f>Table1[[#This Row],[AE]]^2</f>
        <v>43734780.6344897</v>
      </c>
      <c r="K59" s="14">
        <f>AVERAGE(ABS(Table1[[#This Row],[Weekly_Sales]]-Table1[[#This Row],[Forecast]])/Table1[[#This Row],[Weekly_Sales]])</f>
        <v>0.3107661369944541</v>
      </c>
    </row>
    <row r="60" spans="1:11" x14ac:dyDescent="0.35">
      <c r="A60" s="13">
        <v>40620</v>
      </c>
      <c r="B60">
        <v>20334.23</v>
      </c>
      <c r="C60">
        <v>0</v>
      </c>
      <c r="D60">
        <v>62.76</v>
      </c>
      <c r="E60">
        <v>3.488</v>
      </c>
      <c r="F60">
        <v>214.36271139999999</v>
      </c>
      <c r="G60">
        <v>7.742</v>
      </c>
      <c r="H60">
        <f>$M$5 + SUMPRODUCT($N$5:$R$5,Table1[[#This Row],[Holiday]:[Unemployment]])</f>
        <v>24894.006833676409</v>
      </c>
      <c r="I60">
        <f>AVERAGE(ABS(Table1[[#This Row],[Weekly_Sales]]-Table1[[#This Row],[Forecast]]))</f>
        <v>4559.7768336764093</v>
      </c>
      <c r="J60">
        <f>Table1[[#This Row],[AE]]^2</f>
        <v>20791564.77293206</v>
      </c>
      <c r="K60" s="14">
        <f>AVERAGE(ABS(Table1[[#This Row],[Weekly_Sales]]-Table1[[#This Row],[Forecast]])/Table1[[#This Row],[Weekly_Sales]])</f>
        <v>0.22424143100950514</v>
      </c>
    </row>
    <row r="61" spans="1:11" x14ac:dyDescent="0.35">
      <c r="A61" s="13">
        <v>40627</v>
      </c>
      <c r="B61">
        <v>20881.099999999999</v>
      </c>
      <c r="C61">
        <v>0</v>
      </c>
      <c r="D61">
        <v>69.97</v>
      </c>
      <c r="E61">
        <v>3.4729999999999999</v>
      </c>
      <c r="F61">
        <v>214.59993890000001</v>
      </c>
      <c r="G61">
        <v>7.742</v>
      </c>
      <c r="H61">
        <f>$M$5 + SUMPRODUCT($N$5:$R$5,Table1[[#This Row],[Holiday]:[Unemployment]])</f>
        <v>22491.607430678305</v>
      </c>
      <c r="I61">
        <f>AVERAGE(ABS(Table1[[#This Row],[Weekly_Sales]]-Table1[[#This Row],[Forecast]]))</f>
        <v>1610.5074306783063</v>
      </c>
      <c r="J61">
        <f>Table1[[#This Row],[AE]]^2</f>
        <v>2593734.1842700397</v>
      </c>
      <c r="K61" s="14">
        <f>AVERAGE(ABS(Table1[[#This Row],[Weekly_Sales]]-Table1[[#This Row],[Forecast]])/Table1[[#This Row],[Weekly_Sales]])</f>
        <v>7.7127518697688649E-2</v>
      </c>
    </row>
    <row r="62" spans="1:11" x14ac:dyDescent="0.35">
      <c r="A62" s="13">
        <v>40634</v>
      </c>
      <c r="B62">
        <v>20398.09</v>
      </c>
      <c r="C62">
        <v>0</v>
      </c>
      <c r="D62">
        <v>59.17</v>
      </c>
      <c r="E62">
        <v>3.524</v>
      </c>
      <c r="F62">
        <v>214.8371664</v>
      </c>
      <c r="G62">
        <v>7.6820000000000004</v>
      </c>
      <c r="H62">
        <f>$M$5 + SUMPRODUCT($N$5:$R$5,Table1[[#This Row],[Holiday]:[Unemployment]])</f>
        <v>26057.200625846919</v>
      </c>
      <c r="I62">
        <f>AVERAGE(ABS(Table1[[#This Row],[Weekly_Sales]]-Table1[[#This Row],[Forecast]]))</f>
        <v>5659.110625846919</v>
      </c>
      <c r="J62">
        <f>Table1[[#This Row],[AE]]^2</f>
        <v>32025533.075573508</v>
      </c>
      <c r="K62" s="14">
        <f>AVERAGE(ABS(Table1[[#This Row],[Weekly_Sales]]-Table1[[#This Row],[Forecast]])/Table1[[#This Row],[Weekly_Sales]])</f>
        <v>0.27743335899816696</v>
      </c>
    </row>
    <row r="63" spans="1:11" x14ac:dyDescent="0.35">
      <c r="A63" s="13">
        <v>40641</v>
      </c>
      <c r="B63">
        <v>23873.79</v>
      </c>
      <c r="C63">
        <v>0</v>
      </c>
      <c r="D63">
        <v>67.84</v>
      </c>
      <c r="E63">
        <v>3.6219999999999999</v>
      </c>
      <c r="F63">
        <v>215.07439389999999</v>
      </c>
      <c r="G63">
        <v>7.6820000000000004</v>
      </c>
      <c r="H63">
        <f>$M$5 + SUMPRODUCT($N$5:$R$5,Table1[[#This Row],[Holiday]:[Unemployment]])</f>
        <v>23330.304343965356</v>
      </c>
      <c r="I63">
        <f>AVERAGE(ABS(Table1[[#This Row],[Weekly_Sales]]-Table1[[#This Row],[Forecast]]))</f>
        <v>543.48565603464522</v>
      </c>
      <c r="J63">
        <f>Table1[[#This Row],[AE]]^2</f>
        <v>295376.65831540868</v>
      </c>
      <c r="K63" s="14">
        <f>AVERAGE(ABS(Table1[[#This Row],[Weekly_Sales]]-Table1[[#This Row],[Forecast]])/Table1[[#This Row],[Weekly_Sales]])</f>
        <v>2.2764950853410588E-2</v>
      </c>
    </row>
    <row r="64" spans="1:11" x14ac:dyDescent="0.35">
      <c r="A64" s="13">
        <v>40648</v>
      </c>
      <c r="B64">
        <v>28762.37</v>
      </c>
      <c r="C64">
        <v>0</v>
      </c>
      <c r="D64">
        <v>71.27</v>
      </c>
      <c r="E64">
        <v>3.7429999999999999</v>
      </c>
      <c r="F64">
        <v>215.29185609999999</v>
      </c>
      <c r="G64">
        <v>7.6820000000000004</v>
      </c>
      <c r="H64">
        <f>$M$5 + SUMPRODUCT($N$5:$R$5,Table1[[#This Row],[Holiday]:[Unemployment]])</f>
        <v>22373.105112757949</v>
      </c>
      <c r="I64">
        <f>AVERAGE(ABS(Table1[[#This Row],[Weekly_Sales]]-Table1[[#This Row],[Forecast]]))</f>
        <v>6389.2648872420505</v>
      </c>
      <c r="J64">
        <f>Table1[[#This Row],[AE]]^2</f>
        <v>40822705.799344175</v>
      </c>
      <c r="K64" s="14">
        <f>AVERAGE(ABS(Table1[[#This Row],[Weekly_Sales]]-Table1[[#This Row],[Forecast]])/Table1[[#This Row],[Weekly_Sales]])</f>
        <v>0.22213972239568752</v>
      </c>
    </row>
    <row r="65" spans="1:11" x14ac:dyDescent="0.35">
      <c r="A65" s="13">
        <v>40655</v>
      </c>
      <c r="B65">
        <v>50510.31</v>
      </c>
      <c r="C65">
        <v>0</v>
      </c>
      <c r="D65">
        <v>72.989999999999995</v>
      </c>
      <c r="E65">
        <v>3.8069999999999999</v>
      </c>
      <c r="F65">
        <v>215.4599053</v>
      </c>
      <c r="G65">
        <v>7.6820000000000004</v>
      </c>
      <c r="H65">
        <f>$M$5 + SUMPRODUCT($N$5:$R$5,Table1[[#This Row],[Holiday]:[Unemployment]])</f>
        <v>21900.361775553727</v>
      </c>
      <c r="I65">
        <f>AVERAGE(ABS(Table1[[#This Row],[Weekly_Sales]]-Table1[[#This Row],[Forecast]]))</f>
        <v>28609.948224446271</v>
      </c>
      <c r="J65">
        <f>Table1[[#This Row],[AE]]^2</f>
        <v>818529137.40549636</v>
      </c>
      <c r="K65" s="14">
        <f>AVERAGE(ABS(Table1[[#This Row],[Weekly_Sales]]-Table1[[#This Row],[Forecast]])/Table1[[#This Row],[Weekly_Sales]])</f>
        <v>0.5664179892074761</v>
      </c>
    </row>
    <row r="66" spans="1:11" x14ac:dyDescent="0.35">
      <c r="A66" s="13">
        <v>40662</v>
      </c>
      <c r="B66">
        <v>41512.39</v>
      </c>
      <c r="C66">
        <v>0</v>
      </c>
      <c r="D66">
        <v>72.03</v>
      </c>
      <c r="E66">
        <v>3.81</v>
      </c>
      <c r="F66">
        <v>215.62795439999999</v>
      </c>
      <c r="G66">
        <v>7.6820000000000004</v>
      </c>
      <c r="H66">
        <f>$M$5 + SUMPRODUCT($N$5:$R$5,Table1[[#This Row],[Holiday]:[Unemployment]])</f>
        <v>22230.291932729502</v>
      </c>
      <c r="I66">
        <f>AVERAGE(ABS(Table1[[#This Row],[Weekly_Sales]]-Table1[[#This Row],[Forecast]]))</f>
        <v>19282.098067270497</v>
      </c>
      <c r="J66">
        <f>Table1[[#This Row],[AE]]^2</f>
        <v>371799305.87583667</v>
      </c>
      <c r="K66" s="14">
        <f>AVERAGE(ABS(Table1[[#This Row],[Weekly_Sales]]-Table1[[#This Row],[Forecast]])/Table1[[#This Row],[Weekly_Sales]])</f>
        <v>0.46449019358486704</v>
      </c>
    </row>
    <row r="67" spans="1:11" x14ac:dyDescent="0.35">
      <c r="A67" s="13">
        <v>40669</v>
      </c>
      <c r="B67">
        <v>20138.189999999999</v>
      </c>
      <c r="C67">
        <v>0</v>
      </c>
      <c r="D67">
        <v>64.61</v>
      </c>
      <c r="E67">
        <v>3.9060000000000001</v>
      </c>
      <c r="F67">
        <v>215.79600350000001</v>
      </c>
      <c r="G67">
        <v>7.6820000000000004</v>
      </c>
      <c r="H67">
        <f>$M$5 + SUMPRODUCT($N$5:$R$5,Table1[[#This Row],[Holiday]:[Unemployment]])</f>
        <v>24834.400058163286</v>
      </c>
      <c r="I67">
        <f>AVERAGE(ABS(Table1[[#This Row],[Weekly_Sales]]-Table1[[#This Row],[Forecast]]))</f>
        <v>4696.2100581632876</v>
      </c>
      <c r="J67">
        <f>Table1[[#This Row],[AE]]^2</f>
        <v>22054388.910394028</v>
      </c>
      <c r="K67" s="14">
        <f>AVERAGE(ABS(Table1[[#This Row],[Weekly_Sales]]-Table1[[#This Row],[Forecast]])/Table1[[#This Row],[Weekly_Sales]])</f>
        <v>0.23319921294631185</v>
      </c>
    </row>
    <row r="68" spans="1:11" x14ac:dyDescent="0.35">
      <c r="A68" s="13">
        <v>40676</v>
      </c>
      <c r="B68">
        <v>17235.150000000001</v>
      </c>
      <c r="C68">
        <v>0</v>
      </c>
      <c r="D68">
        <v>75.64</v>
      </c>
      <c r="E68">
        <v>3.899</v>
      </c>
      <c r="F68">
        <v>215.9640526</v>
      </c>
      <c r="G68">
        <v>7.6820000000000004</v>
      </c>
      <c r="H68">
        <f>$M$5 + SUMPRODUCT($N$5:$R$5,Table1[[#This Row],[Holiday]:[Unemployment]])</f>
        <v>21173.278724682292</v>
      </c>
      <c r="I68">
        <f>AVERAGE(ABS(Table1[[#This Row],[Weekly_Sales]]-Table1[[#This Row],[Forecast]]))</f>
        <v>3938.1287246822903</v>
      </c>
      <c r="J68">
        <f>Table1[[#This Row],[AE]]^2</f>
        <v>15508857.852167763</v>
      </c>
      <c r="K68" s="14">
        <f>AVERAGE(ABS(Table1[[#This Row],[Weekly_Sales]]-Table1[[#This Row],[Forecast]])/Table1[[#This Row],[Weekly_Sales]])</f>
        <v>0.2284940209213317</v>
      </c>
    </row>
    <row r="69" spans="1:11" x14ac:dyDescent="0.35">
      <c r="A69" s="13">
        <v>40683</v>
      </c>
      <c r="B69">
        <v>15136.78</v>
      </c>
      <c r="C69">
        <v>0</v>
      </c>
      <c r="D69">
        <v>67.63</v>
      </c>
      <c r="E69">
        <v>3.907</v>
      </c>
      <c r="F69">
        <v>215.7339202</v>
      </c>
      <c r="G69">
        <v>7.6820000000000004</v>
      </c>
      <c r="H69">
        <f>$M$5 + SUMPRODUCT($N$5:$R$5,Table1[[#This Row],[Holiday]:[Unemployment]])</f>
        <v>23831.4368286713</v>
      </c>
      <c r="I69">
        <f>AVERAGE(ABS(Table1[[#This Row],[Weekly_Sales]]-Table1[[#This Row],[Forecast]]))</f>
        <v>8694.6568286712991</v>
      </c>
      <c r="J69">
        <f>Table1[[#This Row],[AE]]^2</f>
        <v>75597057.368360445</v>
      </c>
      <c r="K69" s="14">
        <f>AVERAGE(ABS(Table1[[#This Row],[Weekly_Sales]]-Table1[[#This Row],[Forecast]])/Table1[[#This Row],[Weekly_Sales]])</f>
        <v>0.57440597198818366</v>
      </c>
    </row>
    <row r="70" spans="1:11" x14ac:dyDescent="0.35">
      <c r="A70" s="13">
        <v>40690</v>
      </c>
      <c r="B70">
        <v>15741.6</v>
      </c>
      <c r="C70">
        <v>0</v>
      </c>
      <c r="D70">
        <v>77.72</v>
      </c>
      <c r="E70">
        <v>3.786</v>
      </c>
      <c r="F70">
        <v>215.5037878</v>
      </c>
      <c r="G70">
        <v>7.6820000000000004</v>
      </c>
      <c r="H70">
        <f>$M$5 + SUMPRODUCT($N$5:$R$5,Table1[[#This Row],[Holiday]:[Unemployment]])</f>
        <v>20303.695556163802</v>
      </c>
      <c r="I70">
        <f>AVERAGE(ABS(Table1[[#This Row],[Weekly_Sales]]-Table1[[#This Row],[Forecast]]))</f>
        <v>4562.095556163802</v>
      </c>
      <c r="J70">
        <f>Table1[[#This Row],[AE]]^2</f>
        <v>20812715.863569509</v>
      </c>
      <c r="K70" s="14">
        <f>AVERAGE(ABS(Table1[[#This Row],[Weekly_Sales]]-Table1[[#This Row],[Forecast]])/Table1[[#This Row],[Weekly_Sales]])</f>
        <v>0.28981142680310779</v>
      </c>
    </row>
    <row r="71" spans="1:11" x14ac:dyDescent="0.35">
      <c r="A71" s="13">
        <v>40697</v>
      </c>
      <c r="B71">
        <v>16434.150000000001</v>
      </c>
      <c r="C71">
        <v>0</v>
      </c>
      <c r="D71">
        <v>83</v>
      </c>
      <c r="E71">
        <v>3.6989999999999998</v>
      </c>
      <c r="F71">
        <v>215.2736553</v>
      </c>
      <c r="G71">
        <v>7.6820000000000004</v>
      </c>
      <c r="H71">
        <f>$M$5 + SUMPRODUCT($N$5:$R$5,Table1[[#This Row],[Holiday]:[Unemployment]])</f>
        <v>18419.433811515166</v>
      </c>
      <c r="I71">
        <f>AVERAGE(ABS(Table1[[#This Row],[Weekly_Sales]]-Table1[[#This Row],[Forecast]]))</f>
        <v>1985.2838115151644</v>
      </c>
      <c r="J71">
        <f>Table1[[#This Row],[AE]]^2</f>
        <v>3941351.8122641789</v>
      </c>
      <c r="K71" s="14">
        <f>AVERAGE(ABS(Table1[[#This Row],[Weekly_Sales]]-Table1[[#This Row],[Forecast]])/Table1[[#This Row],[Weekly_Sales]])</f>
        <v>0.12080234216647434</v>
      </c>
    </row>
    <row r="72" spans="1:11" x14ac:dyDescent="0.35">
      <c r="A72" s="13">
        <v>40704</v>
      </c>
      <c r="B72">
        <v>15883.52</v>
      </c>
      <c r="C72">
        <v>0</v>
      </c>
      <c r="D72">
        <v>83.13</v>
      </c>
      <c r="E72">
        <v>3.6480000000000001</v>
      </c>
      <c r="F72">
        <v>215.0435229</v>
      </c>
      <c r="G72">
        <v>7.6820000000000004</v>
      </c>
      <c r="H72">
        <f>$M$5 + SUMPRODUCT($N$5:$R$5,Table1[[#This Row],[Holiday]:[Unemployment]])</f>
        <v>18294.252472952488</v>
      </c>
      <c r="I72">
        <f>AVERAGE(ABS(Table1[[#This Row],[Weekly_Sales]]-Table1[[#This Row],[Forecast]]))</f>
        <v>2410.732472952488</v>
      </c>
      <c r="J72">
        <f>Table1[[#This Row],[AE]]^2</f>
        <v>5811631.0561476182</v>
      </c>
      <c r="K72" s="14">
        <f>AVERAGE(ABS(Table1[[#This Row],[Weekly_Sales]]-Table1[[#This Row],[Forecast]])/Table1[[#This Row],[Weekly_Sales]])</f>
        <v>0.15177570670433807</v>
      </c>
    </row>
    <row r="73" spans="1:11" x14ac:dyDescent="0.35">
      <c r="A73" s="13">
        <v>40711</v>
      </c>
      <c r="B73">
        <v>14978.09</v>
      </c>
      <c r="C73">
        <v>0</v>
      </c>
      <c r="D73">
        <v>86.41</v>
      </c>
      <c r="E73">
        <v>3.637</v>
      </c>
      <c r="F73">
        <v>214.9980596</v>
      </c>
      <c r="G73">
        <v>7.6820000000000004</v>
      </c>
      <c r="H73">
        <f>$M$5 + SUMPRODUCT($N$5:$R$5,Table1[[#This Row],[Holiday]:[Unemployment]])</f>
        <v>17188.803818588283</v>
      </c>
      <c r="I73">
        <f>AVERAGE(ABS(Table1[[#This Row],[Weekly_Sales]]-Table1[[#This Row],[Forecast]]))</f>
        <v>2210.7138185882832</v>
      </c>
      <c r="J73">
        <f>Table1[[#This Row],[AE]]^2</f>
        <v>4887255.5876971884</v>
      </c>
      <c r="K73" s="14">
        <f>AVERAGE(ABS(Table1[[#This Row],[Weekly_Sales]]-Table1[[#This Row],[Forecast]])/Table1[[#This Row],[Weekly_Sales]])</f>
        <v>0.14759651054228431</v>
      </c>
    </row>
    <row r="74" spans="1:11" x14ac:dyDescent="0.35">
      <c r="A74" s="13">
        <v>40718</v>
      </c>
      <c r="B74">
        <v>15682.81</v>
      </c>
      <c r="C74">
        <v>0</v>
      </c>
      <c r="D74">
        <v>83.58</v>
      </c>
      <c r="E74">
        <v>3.5939999999999999</v>
      </c>
      <c r="F74">
        <v>215.0910982</v>
      </c>
      <c r="G74">
        <v>7.6820000000000004</v>
      </c>
      <c r="H74">
        <f>$M$5 + SUMPRODUCT($N$5:$R$5,Table1[[#This Row],[Holiday]:[Unemployment]])</f>
        <v>18070.704478146705</v>
      </c>
      <c r="I74">
        <f>AVERAGE(ABS(Table1[[#This Row],[Weekly_Sales]]-Table1[[#This Row],[Forecast]]))</f>
        <v>2387.8944781467053</v>
      </c>
      <c r="J74">
        <f>Table1[[#This Row],[AE]]^2</f>
        <v>5702040.0387635259</v>
      </c>
      <c r="K74" s="14">
        <f>AVERAGE(ABS(Table1[[#This Row],[Weekly_Sales]]-Table1[[#This Row],[Forecast]])/Table1[[#This Row],[Weekly_Sales]])</f>
        <v>0.15226190192616665</v>
      </c>
    </row>
    <row r="75" spans="1:11" x14ac:dyDescent="0.35">
      <c r="A75" s="13">
        <v>40725</v>
      </c>
      <c r="B75">
        <v>15363.5</v>
      </c>
      <c r="C75">
        <v>0</v>
      </c>
      <c r="D75">
        <v>85.55</v>
      </c>
      <c r="E75">
        <v>3.524</v>
      </c>
      <c r="F75">
        <v>215.1841368</v>
      </c>
      <c r="G75">
        <v>7.9619999999999997</v>
      </c>
      <c r="H75">
        <f>$M$5 + SUMPRODUCT($N$5:$R$5,Table1[[#This Row],[Holiday]:[Unemployment]])</f>
        <v>17784.259350551551</v>
      </c>
      <c r="I75">
        <f>AVERAGE(ABS(Table1[[#This Row],[Weekly_Sales]]-Table1[[#This Row],[Forecast]]))</f>
        <v>2420.7593505515506</v>
      </c>
      <c r="J75">
        <f>Table1[[#This Row],[AE]]^2</f>
        <v>5860075.833282765</v>
      </c>
      <c r="K75" s="14">
        <f>AVERAGE(ABS(Table1[[#This Row],[Weekly_Sales]]-Table1[[#This Row],[Forecast]])/Table1[[#This Row],[Weekly_Sales]])</f>
        <v>0.15756561659462692</v>
      </c>
    </row>
    <row r="76" spans="1:11" x14ac:dyDescent="0.35">
      <c r="A76" s="13">
        <v>40732</v>
      </c>
      <c r="B76">
        <v>16148.87</v>
      </c>
      <c r="C76">
        <v>0</v>
      </c>
      <c r="D76">
        <v>85.83</v>
      </c>
      <c r="E76">
        <v>3.48</v>
      </c>
      <c r="F76">
        <v>215.2771754</v>
      </c>
      <c r="G76">
        <v>7.9619999999999997</v>
      </c>
      <c r="H76">
        <f>$M$5 + SUMPRODUCT($N$5:$R$5,Table1[[#This Row],[Holiday]:[Unemployment]])</f>
        <v>17633.203248813021</v>
      </c>
      <c r="I76">
        <f>AVERAGE(ABS(Table1[[#This Row],[Weekly_Sales]]-Table1[[#This Row],[Forecast]]))</f>
        <v>1484.33324881302</v>
      </c>
      <c r="J76">
        <f>Table1[[#This Row],[AE]]^2</f>
        <v>2203245.1935318145</v>
      </c>
      <c r="K76" s="14">
        <f>AVERAGE(ABS(Table1[[#This Row],[Weekly_Sales]]-Table1[[#This Row],[Forecast]])/Table1[[#This Row],[Weekly_Sales]])</f>
        <v>9.1915610740133519E-2</v>
      </c>
    </row>
    <row r="77" spans="1:11" x14ac:dyDescent="0.35">
      <c r="A77" s="13">
        <v>40739</v>
      </c>
      <c r="B77">
        <v>15654.85</v>
      </c>
      <c r="C77">
        <v>0</v>
      </c>
      <c r="D77">
        <v>88.54</v>
      </c>
      <c r="E77">
        <v>3.5750000000000002</v>
      </c>
      <c r="F77">
        <v>215.36110869999999</v>
      </c>
      <c r="G77">
        <v>7.9619999999999997</v>
      </c>
      <c r="H77">
        <f>$M$5 + SUMPRODUCT($N$5:$R$5,Table1[[#This Row],[Holiday]:[Unemployment]])</f>
        <v>16872.281055627362</v>
      </c>
      <c r="I77">
        <f>AVERAGE(ABS(Table1[[#This Row],[Weekly_Sales]]-Table1[[#This Row],[Forecast]]))</f>
        <v>1217.4310556273613</v>
      </c>
      <c r="J77">
        <f>Table1[[#This Row],[AE]]^2</f>
        <v>1482138.3752059513</v>
      </c>
      <c r="K77" s="14">
        <f>AVERAGE(ABS(Table1[[#This Row],[Weekly_Sales]]-Table1[[#This Row],[Forecast]])/Table1[[#This Row],[Weekly_Sales]])</f>
        <v>7.7767021442387577E-2</v>
      </c>
    </row>
    <row r="78" spans="1:11" x14ac:dyDescent="0.35">
      <c r="A78" s="13">
        <v>40746</v>
      </c>
      <c r="B78">
        <v>15766.6</v>
      </c>
      <c r="C78">
        <v>0</v>
      </c>
      <c r="D78">
        <v>85.77</v>
      </c>
      <c r="E78">
        <v>3.6509999999999998</v>
      </c>
      <c r="F78">
        <v>215.42227840000001</v>
      </c>
      <c r="G78">
        <v>7.9619999999999997</v>
      </c>
      <c r="H78">
        <f>$M$5 + SUMPRODUCT($N$5:$R$5,Table1[[#This Row],[Holiday]:[Unemployment]])</f>
        <v>17901.149329001062</v>
      </c>
      <c r="I78">
        <f>AVERAGE(ABS(Table1[[#This Row],[Weekly_Sales]]-Table1[[#This Row],[Forecast]]))</f>
        <v>2134.5493290010618</v>
      </c>
      <c r="J78">
        <f>Table1[[#This Row],[AE]]^2</f>
        <v>4556300.8379388833</v>
      </c>
      <c r="K78" s="14">
        <f>AVERAGE(ABS(Table1[[#This Row],[Weekly_Sales]]-Table1[[#This Row],[Forecast]])/Table1[[#This Row],[Weekly_Sales]])</f>
        <v>0.13538425082142388</v>
      </c>
    </row>
    <row r="79" spans="1:11" x14ac:dyDescent="0.35">
      <c r="A79" s="13">
        <v>40753</v>
      </c>
      <c r="B79">
        <v>15922.41</v>
      </c>
      <c r="C79">
        <v>0</v>
      </c>
      <c r="D79">
        <v>86.83</v>
      </c>
      <c r="E79">
        <v>3.6819999999999999</v>
      </c>
      <c r="F79">
        <v>215.4834482</v>
      </c>
      <c r="G79">
        <v>7.9619999999999997</v>
      </c>
      <c r="H79">
        <f>$M$5 + SUMPRODUCT($N$5:$R$5,Table1[[#This Row],[Holiday]:[Unemployment]])</f>
        <v>17596.037894084344</v>
      </c>
      <c r="I79">
        <f>AVERAGE(ABS(Table1[[#This Row],[Weekly_Sales]]-Table1[[#This Row],[Forecast]]))</f>
        <v>1673.627894084344</v>
      </c>
      <c r="J79">
        <f>Table1[[#This Row],[AE]]^2</f>
        <v>2801030.3278571963</v>
      </c>
      <c r="K79" s="14">
        <f>AVERAGE(ABS(Table1[[#This Row],[Weekly_Sales]]-Table1[[#This Row],[Forecast]])/Table1[[#This Row],[Weekly_Sales]])</f>
        <v>0.10511146830689223</v>
      </c>
    </row>
    <row r="80" spans="1:11" x14ac:dyDescent="0.35">
      <c r="A80" s="13">
        <v>40760</v>
      </c>
      <c r="B80">
        <v>15295.55</v>
      </c>
      <c r="C80">
        <v>0</v>
      </c>
      <c r="D80">
        <v>91.65</v>
      </c>
      <c r="E80">
        <v>3.6840000000000002</v>
      </c>
      <c r="F80">
        <v>215.54461800000001</v>
      </c>
      <c r="G80">
        <v>7.9619999999999997</v>
      </c>
      <c r="H80">
        <f>$M$5 + SUMPRODUCT($N$5:$R$5,Table1[[#This Row],[Holiday]:[Unemployment]])</f>
        <v>16002.786265987701</v>
      </c>
      <c r="I80">
        <f>AVERAGE(ABS(Table1[[#This Row],[Weekly_Sales]]-Table1[[#This Row],[Forecast]]))</f>
        <v>707.2362659877017</v>
      </c>
      <c r="J80">
        <f>Table1[[#This Row],[AE]]^2</f>
        <v>500183.13592822716</v>
      </c>
      <c r="K80" s="14">
        <f>AVERAGE(ABS(Table1[[#This Row],[Weekly_Sales]]-Table1[[#This Row],[Forecast]])/Table1[[#This Row],[Weekly_Sales]])</f>
        <v>4.623804086729158E-2</v>
      </c>
    </row>
    <row r="81" spans="1:11" x14ac:dyDescent="0.35">
      <c r="A81" s="13">
        <v>40767</v>
      </c>
      <c r="B81">
        <v>14539.79</v>
      </c>
      <c r="C81">
        <v>0</v>
      </c>
      <c r="D81">
        <v>90.76</v>
      </c>
      <c r="E81">
        <v>3.6379999999999999</v>
      </c>
      <c r="F81">
        <v>215.6057878</v>
      </c>
      <c r="G81">
        <v>7.9619999999999997</v>
      </c>
      <c r="H81">
        <f>$M$5 + SUMPRODUCT($N$5:$R$5,Table1[[#This Row],[Holiday]:[Unemployment]])</f>
        <v>16235.596165613822</v>
      </c>
      <c r="I81">
        <f>AVERAGE(ABS(Table1[[#This Row],[Weekly_Sales]]-Table1[[#This Row],[Forecast]]))</f>
        <v>1695.8061656138216</v>
      </c>
      <c r="J81">
        <f>Table1[[#This Row],[AE]]^2</f>
        <v>2875758.5513338521</v>
      </c>
      <c r="K81" s="14">
        <f>AVERAGE(ABS(Table1[[#This Row],[Weekly_Sales]]-Table1[[#This Row],[Forecast]])/Table1[[#This Row],[Weekly_Sales]])</f>
        <v>0.11663209479736787</v>
      </c>
    </row>
    <row r="82" spans="1:11" x14ac:dyDescent="0.35">
      <c r="A82" s="13">
        <v>40774</v>
      </c>
      <c r="B82">
        <v>14689.24</v>
      </c>
      <c r="C82">
        <v>0</v>
      </c>
      <c r="D82">
        <v>89.94</v>
      </c>
      <c r="E82">
        <v>3.5539999999999998</v>
      </c>
      <c r="F82">
        <v>215.66931070000001</v>
      </c>
      <c r="G82">
        <v>7.9619999999999997</v>
      </c>
      <c r="H82">
        <f>$M$5 + SUMPRODUCT($N$5:$R$5,Table1[[#This Row],[Holiday]:[Unemployment]])</f>
        <v>16391.563768356817</v>
      </c>
      <c r="I82">
        <f>AVERAGE(ABS(Table1[[#This Row],[Weekly_Sales]]-Table1[[#This Row],[Forecast]]))</f>
        <v>1702.3237683568168</v>
      </c>
      <c r="J82">
        <f>Table1[[#This Row],[AE]]^2</f>
        <v>2897906.2123125531</v>
      </c>
      <c r="K82" s="14">
        <f>AVERAGE(ABS(Table1[[#This Row],[Weekly_Sales]]-Table1[[#This Row],[Forecast]])/Table1[[#This Row],[Weekly_Sales]])</f>
        <v>0.11588916569930213</v>
      </c>
    </row>
    <row r="83" spans="1:11" x14ac:dyDescent="0.35">
      <c r="A83" s="13">
        <v>40781</v>
      </c>
      <c r="B83">
        <v>14537.37</v>
      </c>
      <c r="C83">
        <v>0</v>
      </c>
      <c r="D83">
        <v>87.96</v>
      </c>
      <c r="E83">
        <v>3.5230000000000001</v>
      </c>
      <c r="F83">
        <v>215.73322580000001</v>
      </c>
      <c r="G83">
        <v>7.9619999999999997</v>
      </c>
      <c r="H83">
        <f>$M$5 + SUMPRODUCT($N$5:$R$5,Table1[[#This Row],[Holiday]:[Unemployment]])</f>
        <v>17007.237653450269</v>
      </c>
      <c r="I83">
        <f>AVERAGE(ABS(Table1[[#This Row],[Weekly_Sales]]-Table1[[#This Row],[Forecast]]))</f>
        <v>2469.8676534502683</v>
      </c>
      <c r="J83">
        <f>Table1[[#This Row],[AE]]^2</f>
        <v>6100246.225559935</v>
      </c>
      <c r="K83" s="14">
        <f>AVERAGE(ABS(Table1[[#This Row],[Weekly_Sales]]-Table1[[#This Row],[Forecast]])/Table1[[#This Row],[Weekly_Sales]])</f>
        <v>0.16989783251373999</v>
      </c>
    </row>
    <row r="84" spans="1:11" x14ac:dyDescent="0.35">
      <c r="A84" s="13">
        <v>40788</v>
      </c>
      <c r="B84">
        <v>15277.27</v>
      </c>
      <c r="C84">
        <v>0</v>
      </c>
      <c r="D84">
        <v>87.83</v>
      </c>
      <c r="E84">
        <v>3.5329999999999999</v>
      </c>
      <c r="F84">
        <v>215.79714089999999</v>
      </c>
      <c r="G84">
        <v>7.9619999999999997</v>
      </c>
      <c r="H84">
        <f>$M$5 + SUMPRODUCT($N$5:$R$5,Table1[[#This Row],[Holiday]:[Unemployment]])</f>
        <v>17067.260385294103</v>
      </c>
      <c r="I84">
        <f>AVERAGE(ABS(Table1[[#This Row],[Weekly_Sales]]-Table1[[#This Row],[Forecast]]))</f>
        <v>1789.9903852941025</v>
      </c>
      <c r="J84">
        <f>Table1[[#This Row],[AE]]^2</f>
        <v>3204065.5794453295</v>
      </c>
      <c r="K84" s="14">
        <f>AVERAGE(ABS(Table1[[#This Row],[Weekly_Sales]]-Table1[[#This Row],[Forecast]])/Table1[[#This Row],[Weekly_Sales]])</f>
        <v>0.11716690123916788</v>
      </c>
    </row>
    <row r="85" spans="1:11" x14ac:dyDescent="0.35">
      <c r="A85" s="13">
        <v>40795</v>
      </c>
      <c r="B85">
        <v>17746.68</v>
      </c>
      <c r="C85">
        <v>1</v>
      </c>
      <c r="D85">
        <v>76</v>
      </c>
      <c r="E85">
        <v>3.5459999999999998</v>
      </c>
      <c r="F85">
        <v>215.86105599999999</v>
      </c>
      <c r="G85">
        <v>7.9619999999999997</v>
      </c>
      <c r="H85">
        <f>$M$5 + SUMPRODUCT($N$5:$R$5,Table1[[#This Row],[Holiday]:[Unemployment]])</f>
        <v>20795.063597107062</v>
      </c>
      <c r="I85">
        <f>AVERAGE(ABS(Table1[[#This Row],[Weekly_Sales]]-Table1[[#This Row],[Forecast]]))</f>
        <v>3048.3835971070621</v>
      </c>
      <c r="J85">
        <f>Table1[[#This Row],[AE]]^2</f>
        <v>9292642.5551113915</v>
      </c>
      <c r="K85" s="14">
        <f>AVERAGE(ABS(Table1[[#This Row],[Weekly_Sales]]-Table1[[#This Row],[Forecast]])/Table1[[#This Row],[Weekly_Sales]])</f>
        <v>0.17177204959502634</v>
      </c>
    </row>
    <row r="86" spans="1:11" x14ac:dyDescent="0.35">
      <c r="A86" s="13">
        <v>40802</v>
      </c>
      <c r="B86">
        <v>18535.48</v>
      </c>
      <c r="C86">
        <v>0</v>
      </c>
      <c r="D86">
        <v>79.94</v>
      </c>
      <c r="E86">
        <v>3.5259999999999998</v>
      </c>
      <c r="F86">
        <v>216.0410526</v>
      </c>
      <c r="G86">
        <v>7.9619999999999997</v>
      </c>
      <c r="H86">
        <f>$M$5 + SUMPRODUCT($N$5:$R$5,Table1[[#This Row],[Holiday]:[Unemployment]])</f>
        <v>19684.916876302661</v>
      </c>
      <c r="I86">
        <f>AVERAGE(ABS(Table1[[#This Row],[Weekly_Sales]]-Table1[[#This Row],[Forecast]]))</f>
        <v>1149.4368763026614</v>
      </c>
      <c r="J86">
        <f>Table1[[#This Row],[AE]]^2</f>
        <v>1321205.1326044197</v>
      </c>
      <c r="K86" s="14">
        <f>AVERAGE(ABS(Table1[[#This Row],[Weekly_Sales]]-Table1[[#This Row],[Forecast]])/Table1[[#This Row],[Weekly_Sales]])</f>
        <v>6.201279256337907E-2</v>
      </c>
    </row>
    <row r="87" spans="1:11" x14ac:dyDescent="0.35">
      <c r="A87" s="13">
        <v>40809</v>
      </c>
      <c r="B87">
        <v>17859.3</v>
      </c>
      <c r="C87">
        <v>0</v>
      </c>
      <c r="D87">
        <v>75.8</v>
      </c>
      <c r="E87">
        <v>3.4670000000000001</v>
      </c>
      <c r="F87">
        <v>216.37582459999999</v>
      </c>
      <c r="G87">
        <v>7.9619999999999997</v>
      </c>
      <c r="H87">
        <f>$M$5 + SUMPRODUCT($N$5:$R$5,Table1[[#This Row],[Holiday]:[Unemployment]])</f>
        <v>20989.162457002327</v>
      </c>
      <c r="I87">
        <f>AVERAGE(ABS(Table1[[#This Row],[Weekly_Sales]]-Table1[[#This Row],[Forecast]]))</f>
        <v>3129.8624570023276</v>
      </c>
      <c r="J87">
        <f>Table1[[#This Row],[AE]]^2</f>
        <v>9796038.9997526463</v>
      </c>
      <c r="K87" s="14">
        <f>AVERAGE(ABS(Table1[[#This Row],[Weekly_Sales]]-Table1[[#This Row],[Forecast]])/Table1[[#This Row],[Weekly_Sales]])</f>
        <v>0.17525112725595784</v>
      </c>
    </row>
    <row r="88" spans="1:11" x14ac:dyDescent="0.35">
      <c r="A88" s="13">
        <v>40816</v>
      </c>
      <c r="B88">
        <v>18337.68</v>
      </c>
      <c r="C88">
        <v>0</v>
      </c>
      <c r="D88">
        <v>79.69</v>
      </c>
      <c r="E88">
        <v>3.355</v>
      </c>
      <c r="F88">
        <v>216.71059650000001</v>
      </c>
      <c r="G88">
        <v>7.9619999999999997</v>
      </c>
      <c r="H88">
        <f>$M$5 + SUMPRODUCT($N$5:$R$5,Table1[[#This Row],[Holiday]:[Unemployment]])</f>
        <v>19555.037098485358</v>
      </c>
      <c r="I88">
        <f>AVERAGE(ABS(Table1[[#This Row],[Weekly_Sales]]-Table1[[#This Row],[Forecast]]))</f>
        <v>1217.3570984853577</v>
      </c>
      <c r="J88">
        <f>Table1[[#This Row],[AE]]^2</f>
        <v>1481958.305232689</v>
      </c>
      <c r="K88" s="14">
        <f>AVERAGE(ABS(Table1[[#This Row],[Weekly_Sales]]-Table1[[#This Row],[Forecast]])/Table1[[#This Row],[Weekly_Sales]])</f>
        <v>6.6385556868990933E-2</v>
      </c>
    </row>
    <row r="89" spans="1:11" x14ac:dyDescent="0.35">
      <c r="A89" s="13">
        <v>40823</v>
      </c>
      <c r="B89">
        <v>20797.580000000002</v>
      </c>
      <c r="C89">
        <v>0</v>
      </c>
      <c r="D89">
        <v>69.31</v>
      </c>
      <c r="E89">
        <v>3.2850000000000001</v>
      </c>
      <c r="F89">
        <v>217.0453684</v>
      </c>
      <c r="G89">
        <v>7.8659999999999997</v>
      </c>
      <c r="H89">
        <f>$M$5 + SUMPRODUCT($N$5:$R$5,Table1[[#This Row],[Holiday]:[Unemployment]])</f>
        <v>22755.077372730491</v>
      </c>
      <c r="I89">
        <f>AVERAGE(ABS(Table1[[#This Row],[Weekly_Sales]]-Table1[[#This Row],[Forecast]]))</f>
        <v>1957.4973727304896</v>
      </c>
      <c r="J89">
        <f>Table1[[#This Row],[AE]]^2</f>
        <v>3831795.9642467694</v>
      </c>
      <c r="K89" s="14">
        <f>AVERAGE(ABS(Table1[[#This Row],[Weekly_Sales]]-Table1[[#This Row],[Forecast]])/Table1[[#This Row],[Weekly_Sales]])</f>
        <v>9.412140127507572E-2</v>
      </c>
    </row>
    <row r="90" spans="1:11" x14ac:dyDescent="0.35">
      <c r="A90" s="13">
        <v>40830</v>
      </c>
      <c r="B90">
        <v>23077.55</v>
      </c>
      <c r="C90">
        <v>0</v>
      </c>
      <c r="D90">
        <v>71.739999999999995</v>
      </c>
      <c r="E90">
        <v>3.274</v>
      </c>
      <c r="F90">
        <v>217.35527329999999</v>
      </c>
      <c r="G90">
        <v>7.8659999999999997</v>
      </c>
      <c r="H90">
        <f>$M$5 + SUMPRODUCT($N$5:$R$5,Table1[[#This Row],[Holiday]:[Unemployment]])</f>
        <v>21946.935801929842</v>
      </c>
      <c r="I90">
        <f>AVERAGE(ABS(Table1[[#This Row],[Weekly_Sales]]-Table1[[#This Row],[Forecast]]))</f>
        <v>1130.6141980701577</v>
      </c>
      <c r="J90">
        <f>Table1[[#This Row],[AE]]^2</f>
        <v>1278288.4648778259</v>
      </c>
      <c r="K90" s="14">
        <f>AVERAGE(ABS(Table1[[#This Row],[Weekly_Sales]]-Table1[[#This Row],[Forecast]])/Table1[[#This Row],[Weekly_Sales]])</f>
        <v>4.8991950968372194E-2</v>
      </c>
    </row>
    <row r="91" spans="1:11" x14ac:dyDescent="0.35">
      <c r="A91" s="13">
        <v>40837</v>
      </c>
      <c r="B91">
        <v>23351.8</v>
      </c>
      <c r="C91">
        <v>0</v>
      </c>
      <c r="D91">
        <v>63.71</v>
      </c>
      <c r="E91">
        <v>3.3530000000000002</v>
      </c>
      <c r="F91">
        <v>217.51597620000001</v>
      </c>
      <c r="G91">
        <v>7.8659999999999997</v>
      </c>
      <c r="H91">
        <f>$M$5 + SUMPRODUCT($N$5:$R$5,Table1[[#This Row],[Holiday]:[Unemployment]])</f>
        <v>24729.019109388333</v>
      </c>
      <c r="I91">
        <f>AVERAGE(ABS(Table1[[#This Row],[Weekly_Sales]]-Table1[[#This Row],[Forecast]]))</f>
        <v>1377.2191093883339</v>
      </c>
      <c r="J91">
        <f>Table1[[#This Row],[AE]]^2</f>
        <v>1896732.4752643956</v>
      </c>
      <c r="K91" s="14">
        <f>AVERAGE(ABS(Table1[[#This Row],[Weekly_Sales]]-Table1[[#This Row],[Forecast]])/Table1[[#This Row],[Weekly_Sales]])</f>
        <v>5.8977000033759025E-2</v>
      </c>
    </row>
    <row r="92" spans="1:11" x14ac:dyDescent="0.35">
      <c r="A92" s="13">
        <v>40844</v>
      </c>
      <c r="B92">
        <v>31579.9</v>
      </c>
      <c r="C92">
        <v>0</v>
      </c>
      <c r="D92">
        <v>66.569999999999993</v>
      </c>
      <c r="E92">
        <v>3.3719999999999999</v>
      </c>
      <c r="F92">
        <v>217.6766791</v>
      </c>
      <c r="G92">
        <v>7.8659999999999997</v>
      </c>
      <c r="H92">
        <f>$M$5 + SUMPRODUCT($N$5:$R$5,Table1[[#This Row],[Holiday]:[Unemployment]])</f>
        <v>23814.213110121826</v>
      </c>
      <c r="I92">
        <f>AVERAGE(ABS(Table1[[#This Row],[Weekly_Sales]]-Table1[[#This Row],[Forecast]]))</f>
        <v>7765.6868898781759</v>
      </c>
      <c r="J92">
        <f>Table1[[#This Row],[AE]]^2</f>
        <v>60305892.871625774</v>
      </c>
      <c r="K92" s="14">
        <f>AVERAGE(ABS(Table1[[#This Row],[Weekly_Sales]]-Table1[[#This Row],[Forecast]])/Table1[[#This Row],[Weekly_Sales]])</f>
        <v>0.24590600001514176</v>
      </c>
    </row>
    <row r="93" spans="1:11" x14ac:dyDescent="0.35">
      <c r="A93" s="13">
        <v>40851</v>
      </c>
      <c r="B93">
        <v>39886.06</v>
      </c>
      <c r="C93">
        <v>0</v>
      </c>
      <c r="D93">
        <v>54.98</v>
      </c>
      <c r="E93">
        <v>3.3319999999999999</v>
      </c>
      <c r="F93">
        <v>217.83738199999999</v>
      </c>
      <c r="G93">
        <v>7.8659999999999997</v>
      </c>
      <c r="H93">
        <f>$M$5 + SUMPRODUCT($N$5:$R$5,Table1[[#This Row],[Holiday]:[Unemployment]])</f>
        <v>27608.850462811428</v>
      </c>
      <c r="I93">
        <f>AVERAGE(ABS(Table1[[#This Row],[Weekly_Sales]]-Table1[[#This Row],[Forecast]]))</f>
        <v>12277.20953718857</v>
      </c>
      <c r="J93">
        <f>Table1[[#This Row],[AE]]^2</f>
        <v>150729874.02003399</v>
      </c>
      <c r="K93" s="14">
        <f>AVERAGE(ABS(Table1[[#This Row],[Weekly_Sales]]-Table1[[#This Row],[Forecast]])/Table1[[#This Row],[Weekly_Sales]])</f>
        <v>0.3078070267453985</v>
      </c>
    </row>
    <row r="94" spans="1:11" x14ac:dyDescent="0.35">
      <c r="A94" s="13">
        <v>40858</v>
      </c>
      <c r="B94">
        <v>18689.54</v>
      </c>
      <c r="C94">
        <v>0</v>
      </c>
      <c r="D94">
        <v>59.11</v>
      </c>
      <c r="E94">
        <v>3.2970000000000002</v>
      </c>
      <c r="F94">
        <v>217.99808490000001</v>
      </c>
      <c r="G94">
        <v>7.8659999999999997</v>
      </c>
      <c r="H94">
        <f>$M$5 + SUMPRODUCT($N$5:$R$5,Table1[[#This Row],[Holiday]:[Unemployment]])</f>
        <v>26196.455863497111</v>
      </c>
      <c r="I94">
        <f>AVERAGE(ABS(Table1[[#This Row],[Weekly_Sales]]-Table1[[#This Row],[Forecast]]))</f>
        <v>7506.91586349711</v>
      </c>
      <c r="J94">
        <f>Table1[[#This Row],[AE]]^2</f>
        <v>56353785.781624563</v>
      </c>
      <c r="K94" s="14">
        <f>AVERAGE(ABS(Table1[[#This Row],[Weekly_Sales]]-Table1[[#This Row],[Forecast]])/Table1[[#This Row],[Weekly_Sales]])</f>
        <v>0.40166402509088556</v>
      </c>
    </row>
    <row r="95" spans="1:11" x14ac:dyDescent="0.35">
      <c r="A95" s="13">
        <v>40865</v>
      </c>
      <c r="B95">
        <v>19050.66</v>
      </c>
      <c r="C95">
        <v>0</v>
      </c>
      <c r="D95">
        <v>62.25</v>
      </c>
      <c r="E95">
        <v>3.3079999999999998</v>
      </c>
      <c r="F95">
        <v>218.2205088</v>
      </c>
      <c r="G95">
        <v>7.8659999999999997</v>
      </c>
      <c r="H95">
        <f>$M$5 + SUMPRODUCT($N$5:$R$5,Table1[[#This Row],[Holiday]:[Unemployment]])</f>
        <v>25180.137284717563</v>
      </c>
      <c r="I95">
        <f>AVERAGE(ABS(Table1[[#This Row],[Weekly_Sales]]-Table1[[#This Row],[Forecast]]))</f>
        <v>6129.4772847175627</v>
      </c>
      <c r="J95">
        <f>Table1[[#This Row],[AE]]^2</f>
        <v>37570491.783868589</v>
      </c>
      <c r="K95" s="14">
        <f>AVERAGE(ABS(Table1[[#This Row],[Weekly_Sales]]-Table1[[#This Row],[Forecast]])/Table1[[#This Row],[Weekly_Sales]])</f>
        <v>0.32174619066833182</v>
      </c>
    </row>
    <row r="96" spans="1:11" x14ac:dyDescent="0.35">
      <c r="A96" s="13">
        <v>40872</v>
      </c>
      <c r="B96">
        <v>20911.25</v>
      </c>
      <c r="C96">
        <v>1</v>
      </c>
      <c r="D96">
        <v>60.14</v>
      </c>
      <c r="E96">
        <v>3.2360000000000002</v>
      </c>
      <c r="F96">
        <v>218.4676211</v>
      </c>
      <c r="G96">
        <v>7.8659999999999997</v>
      </c>
      <c r="H96">
        <f>$M$5 + SUMPRODUCT($N$5:$R$5,Table1[[#This Row],[Holiday]:[Unemployment]])</f>
        <v>25571.703070220785</v>
      </c>
      <c r="I96">
        <f>AVERAGE(ABS(Table1[[#This Row],[Weekly_Sales]]-Table1[[#This Row],[Forecast]]))</f>
        <v>4660.4530702207849</v>
      </c>
      <c r="J96">
        <f>Table1[[#This Row],[AE]]^2</f>
        <v>21719822.819730341</v>
      </c>
      <c r="K96" s="14">
        <f>AVERAGE(ABS(Table1[[#This Row],[Weekly_Sales]]-Table1[[#This Row],[Forecast]])/Table1[[#This Row],[Weekly_Sales]])</f>
        <v>0.22286822022694888</v>
      </c>
    </row>
    <row r="97" spans="1:11" x14ac:dyDescent="0.35">
      <c r="A97" s="13">
        <v>40879</v>
      </c>
      <c r="B97">
        <v>25293.49</v>
      </c>
      <c r="C97">
        <v>0</v>
      </c>
      <c r="D97">
        <v>48.91</v>
      </c>
      <c r="E97">
        <v>3.1720000000000002</v>
      </c>
      <c r="F97">
        <v>218.71473330000001</v>
      </c>
      <c r="G97">
        <v>7.8659999999999997</v>
      </c>
      <c r="H97">
        <f>$M$5 + SUMPRODUCT($N$5:$R$5,Table1[[#This Row],[Holiday]:[Unemployment]])</f>
        <v>29433.924754332314</v>
      </c>
      <c r="I97">
        <f>AVERAGE(ABS(Table1[[#This Row],[Weekly_Sales]]-Table1[[#This Row],[Forecast]]))</f>
        <v>4140.4347543323129</v>
      </c>
      <c r="J97">
        <f>Table1[[#This Row],[AE]]^2</f>
        <v>17143199.954882879</v>
      </c>
      <c r="K97" s="14">
        <f>AVERAGE(ABS(Table1[[#This Row],[Weekly_Sales]]-Table1[[#This Row],[Forecast]])/Table1[[#This Row],[Weekly_Sales]])</f>
        <v>0.16369566850333081</v>
      </c>
    </row>
    <row r="98" spans="1:11" x14ac:dyDescent="0.35">
      <c r="A98" s="13">
        <v>40886</v>
      </c>
      <c r="B98">
        <v>33305.919999999998</v>
      </c>
      <c r="C98">
        <v>0</v>
      </c>
      <c r="D98">
        <v>43.93</v>
      </c>
      <c r="E98">
        <v>3.1579999999999999</v>
      </c>
      <c r="F98">
        <v>218.9618456</v>
      </c>
      <c r="G98">
        <v>7.8659999999999997</v>
      </c>
      <c r="H98">
        <f>$M$5 + SUMPRODUCT($N$5:$R$5,Table1[[#This Row],[Holiday]:[Unemployment]])</f>
        <v>31076.617048334105</v>
      </c>
      <c r="I98">
        <f>AVERAGE(ABS(Table1[[#This Row],[Weekly_Sales]]-Table1[[#This Row],[Forecast]]))</f>
        <v>2229.3029516658935</v>
      </c>
      <c r="J98">
        <f>Table1[[#This Row],[AE]]^2</f>
        <v>4969791.6503062649</v>
      </c>
      <c r="K98" s="14">
        <f>AVERAGE(ABS(Table1[[#This Row],[Weekly_Sales]]-Table1[[#This Row],[Forecast]])/Table1[[#This Row],[Weekly_Sales]])</f>
        <v>6.6934135182751098E-2</v>
      </c>
    </row>
    <row r="99" spans="1:11" x14ac:dyDescent="0.35">
      <c r="A99" s="13">
        <v>40893</v>
      </c>
      <c r="B99">
        <v>45773.03</v>
      </c>
      <c r="C99">
        <v>0</v>
      </c>
      <c r="D99">
        <v>51.63</v>
      </c>
      <c r="E99">
        <v>3.1589999999999998</v>
      </c>
      <c r="F99">
        <v>219.17945330000001</v>
      </c>
      <c r="G99">
        <v>7.8659999999999997</v>
      </c>
      <c r="H99">
        <f>$M$5 + SUMPRODUCT($N$5:$R$5,Table1[[#This Row],[Holiday]:[Unemployment]])</f>
        <v>28533.464300139938</v>
      </c>
      <c r="I99">
        <f>AVERAGE(ABS(Table1[[#This Row],[Weekly_Sales]]-Table1[[#This Row],[Forecast]]))</f>
        <v>17239.565699860061</v>
      </c>
      <c r="J99">
        <f>Table1[[#This Row],[AE]]^2</f>
        <v>297202625.51979148</v>
      </c>
      <c r="K99" s="14">
        <f>AVERAGE(ABS(Table1[[#This Row],[Weekly_Sales]]-Table1[[#This Row],[Forecast]])/Table1[[#This Row],[Weekly_Sales]])</f>
        <v>0.37663151641610926</v>
      </c>
    </row>
    <row r="100" spans="1:11" x14ac:dyDescent="0.35">
      <c r="A100" s="13">
        <v>40900</v>
      </c>
      <c r="B100">
        <v>46788.75</v>
      </c>
      <c r="C100">
        <v>0</v>
      </c>
      <c r="D100">
        <v>47.96</v>
      </c>
      <c r="E100">
        <v>3.1120000000000001</v>
      </c>
      <c r="F100">
        <v>219.35772159999999</v>
      </c>
      <c r="G100">
        <v>7.8659999999999997</v>
      </c>
      <c r="H100">
        <f>$M$5 + SUMPRODUCT($N$5:$R$5,Table1[[#This Row],[Holiday]:[Unemployment]])</f>
        <v>29692.012928629476</v>
      </c>
      <c r="I100">
        <f>AVERAGE(ABS(Table1[[#This Row],[Weekly_Sales]]-Table1[[#This Row],[Forecast]]))</f>
        <v>17096.737071370524</v>
      </c>
      <c r="J100">
        <f>Table1[[#This Row],[AE]]^2</f>
        <v>292298418.48757517</v>
      </c>
      <c r="K100" s="14">
        <f>AVERAGE(ABS(Table1[[#This Row],[Weekly_Sales]]-Table1[[#This Row],[Forecast]])/Table1[[#This Row],[Weekly_Sales]])</f>
        <v>0.36540273188256844</v>
      </c>
    </row>
    <row r="101" spans="1:11" x14ac:dyDescent="0.35">
      <c r="A101" s="13">
        <v>40907</v>
      </c>
      <c r="B101">
        <v>23350.880000000001</v>
      </c>
      <c r="C101">
        <v>1</v>
      </c>
      <c r="D101">
        <v>44.55</v>
      </c>
      <c r="E101">
        <v>3.129</v>
      </c>
      <c r="F101">
        <v>219.53598980000001</v>
      </c>
      <c r="G101">
        <v>7.8659999999999997</v>
      </c>
      <c r="H101">
        <f>$M$5 + SUMPRODUCT($N$5:$R$5,Table1[[#This Row],[Holiday]:[Unemployment]])</f>
        <v>30637.624074868716</v>
      </c>
      <c r="I101">
        <f>AVERAGE(ABS(Table1[[#This Row],[Weekly_Sales]]-Table1[[#This Row],[Forecast]]))</f>
        <v>7286.744074868715</v>
      </c>
      <c r="J101">
        <f>Table1[[#This Row],[AE]]^2</f>
        <v>53096639.212634325</v>
      </c>
      <c r="K101" s="14">
        <f>AVERAGE(ABS(Table1[[#This Row],[Weekly_Sales]]-Table1[[#This Row],[Forecast]])/Table1[[#This Row],[Weekly_Sales]])</f>
        <v>0.31205436689618182</v>
      </c>
    </row>
    <row r="102" spans="1:11" x14ac:dyDescent="0.35">
      <c r="A102" s="13">
        <v>40914</v>
      </c>
      <c r="B102">
        <v>16567.689999999999</v>
      </c>
      <c r="C102">
        <v>0</v>
      </c>
      <c r="D102">
        <v>49.01</v>
      </c>
      <c r="E102">
        <v>3.157</v>
      </c>
      <c r="F102">
        <v>219.7142581</v>
      </c>
      <c r="G102">
        <v>7.3479999999999999</v>
      </c>
      <c r="H102">
        <f>$M$5 + SUMPRODUCT($N$5:$R$5,Table1[[#This Row],[Holiday]:[Unemployment]])</f>
        <v>28568.238534683402</v>
      </c>
      <c r="I102">
        <f>AVERAGE(ABS(Table1[[#This Row],[Weekly_Sales]]-Table1[[#This Row],[Forecast]]))</f>
        <v>12000.548534683403</v>
      </c>
      <c r="J102">
        <f>Table1[[#This Row],[AE]]^2</f>
        <v>144013165.13329196</v>
      </c>
      <c r="K102" s="14">
        <f>AVERAGE(ABS(Table1[[#This Row],[Weekly_Sales]]-Table1[[#This Row],[Forecast]])/Table1[[#This Row],[Weekly_Sales]])</f>
        <v>0.72433444461378771</v>
      </c>
    </row>
    <row r="103" spans="1:11" x14ac:dyDescent="0.35">
      <c r="A103" s="13">
        <v>40921</v>
      </c>
      <c r="B103">
        <v>16894.400000000001</v>
      </c>
      <c r="C103">
        <v>0</v>
      </c>
      <c r="D103">
        <v>48.53</v>
      </c>
      <c r="E103">
        <v>3.2610000000000001</v>
      </c>
      <c r="F103">
        <v>219.89252629999999</v>
      </c>
      <c r="G103">
        <v>7.3479999999999999</v>
      </c>
      <c r="H103">
        <f>$M$5 + SUMPRODUCT($N$5:$R$5,Table1[[#This Row],[Holiday]:[Unemployment]])</f>
        <v>28882.199892318065</v>
      </c>
      <c r="I103">
        <f>AVERAGE(ABS(Table1[[#This Row],[Weekly_Sales]]-Table1[[#This Row],[Forecast]]))</f>
        <v>11987.799892318064</v>
      </c>
      <c r="J103">
        <f>Table1[[#This Row],[AE]]^2</f>
        <v>143707346.258261</v>
      </c>
      <c r="K103" s="14">
        <f>AVERAGE(ABS(Table1[[#This Row],[Weekly_Sales]]-Table1[[#This Row],[Forecast]])/Table1[[#This Row],[Weekly_Sales]])</f>
        <v>0.70957239631582436</v>
      </c>
    </row>
    <row r="104" spans="1:11" x14ac:dyDescent="0.35">
      <c r="A104" s="13">
        <v>40928</v>
      </c>
      <c r="B104">
        <v>18365.099999999999</v>
      </c>
      <c r="C104">
        <v>0</v>
      </c>
      <c r="D104">
        <v>54.11</v>
      </c>
      <c r="E104">
        <v>3.2679999999999998</v>
      </c>
      <c r="F104">
        <v>219.98568929999999</v>
      </c>
      <c r="G104">
        <v>7.3479999999999999</v>
      </c>
      <c r="H104">
        <f>$M$5 + SUMPRODUCT($N$5:$R$5,Table1[[#This Row],[Holiday]:[Unemployment]])</f>
        <v>27045.320366544678</v>
      </c>
      <c r="I104">
        <f>AVERAGE(ABS(Table1[[#This Row],[Weekly_Sales]]-Table1[[#This Row],[Forecast]]))</f>
        <v>8680.2203665446796</v>
      </c>
      <c r="J104">
        <f>Table1[[#This Row],[AE]]^2</f>
        <v>75346225.611777052</v>
      </c>
      <c r="K104" s="14">
        <f>AVERAGE(ABS(Table1[[#This Row],[Weekly_Sales]]-Table1[[#This Row],[Forecast]])/Table1[[#This Row],[Weekly_Sales]])</f>
        <v>0.47264759606779599</v>
      </c>
    </row>
    <row r="105" spans="1:11" x14ac:dyDescent="0.35">
      <c r="A105" s="13">
        <v>40935</v>
      </c>
      <c r="B105">
        <v>18378.16</v>
      </c>
      <c r="C105">
        <v>0</v>
      </c>
      <c r="D105">
        <v>54.26</v>
      </c>
      <c r="E105">
        <v>3.29</v>
      </c>
      <c r="F105">
        <v>220.07885229999999</v>
      </c>
      <c r="G105">
        <v>7.3479999999999999</v>
      </c>
      <c r="H105">
        <f>$M$5 + SUMPRODUCT($N$5:$R$5,Table1[[#This Row],[Holiday]:[Unemployment]])</f>
        <v>27030.702539569851</v>
      </c>
      <c r="I105">
        <f>AVERAGE(ABS(Table1[[#This Row],[Weekly_Sales]]-Table1[[#This Row],[Forecast]]))</f>
        <v>8652.5425395698512</v>
      </c>
      <c r="J105">
        <f>Table1[[#This Row],[AE]]^2</f>
        <v>74866492.399065897</v>
      </c>
      <c r="K105" s="14">
        <f>AVERAGE(ABS(Table1[[#This Row],[Weekly_Sales]]-Table1[[#This Row],[Forecast]])/Table1[[#This Row],[Weekly_Sales]])</f>
        <v>0.47080570305024289</v>
      </c>
    </row>
    <row r="106" spans="1:11" x14ac:dyDescent="0.35">
      <c r="A106" s="13">
        <v>40942</v>
      </c>
      <c r="B106">
        <v>23510.49</v>
      </c>
      <c r="C106">
        <v>0</v>
      </c>
      <c r="D106">
        <v>56.55</v>
      </c>
      <c r="E106">
        <v>3.36</v>
      </c>
      <c r="F106">
        <v>220.1720153</v>
      </c>
      <c r="G106">
        <v>7.3479999999999999</v>
      </c>
      <c r="H106">
        <f>$M$5 + SUMPRODUCT($N$5:$R$5,Table1[[#This Row],[Holiday]:[Unemployment]])</f>
        <v>26374.141581348253</v>
      </c>
      <c r="I106">
        <f>AVERAGE(ABS(Table1[[#This Row],[Weekly_Sales]]-Table1[[#This Row],[Forecast]]))</f>
        <v>2863.6515813482511</v>
      </c>
      <c r="J106">
        <f>Table1[[#This Row],[AE]]^2</f>
        <v>8200500.3793583391</v>
      </c>
      <c r="K106" s="14">
        <f>AVERAGE(ABS(Table1[[#This Row],[Weekly_Sales]]-Table1[[#This Row],[Forecast]])/Table1[[#This Row],[Weekly_Sales]])</f>
        <v>0.12180314325002375</v>
      </c>
    </row>
    <row r="107" spans="1:11" x14ac:dyDescent="0.35">
      <c r="A107" s="13">
        <v>40949</v>
      </c>
      <c r="B107">
        <v>36988.49</v>
      </c>
      <c r="C107">
        <v>1</v>
      </c>
      <c r="D107">
        <v>48.02</v>
      </c>
      <c r="E107">
        <v>3.4089999999999998</v>
      </c>
      <c r="F107">
        <v>220.2651783</v>
      </c>
      <c r="G107">
        <v>7.3479999999999999</v>
      </c>
      <c r="H107">
        <f>$M$5 + SUMPRODUCT($N$5:$R$5,Table1[[#This Row],[Holiday]:[Unemployment]])</f>
        <v>29059.545309299487</v>
      </c>
      <c r="I107">
        <f>AVERAGE(ABS(Table1[[#This Row],[Weekly_Sales]]-Table1[[#This Row],[Forecast]]))</f>
        <v>7928.9446907005113</v>
      </c>
      <c r="J107">
        <f>Table1[[#This Row],[AE]]^2</f>
        <v>62868163.908187829</v>
      </c>
      <c r="K107" s="14">
        <f>AVERAGE(ABS(Table1[[#This Row],[Weekly_Sales]]-Table1[[#This Row],[Forecast]])/Table1[[#This Row],[Weekly_Sales]])</f>
        <v>0.21436248656542919</v>
      </c>
    </row>
    <row r="108" spans="1:11" x14ac:dyDescent="0.35">
      <c r="A108" s="13">
        <v>40956</v>
      </c>
      <c r="B108">
        <v>54060.1</v>
      </c>
      <c r="C108">
        <v>0</v>
      </c>
      <c r="D108">
        <v>45.32</v>
      </c>
      <c r="E108">
        <v>3.51</v>
      </c>
      <c r="F108">
        <v>220.42575859999999</v>
      </c>
      <c r="G108">
        <v>7.3479999999999999</v>
      </c>
      <c r="H108">
        <f>$M$5 + SUMPRODUCT($N$5:$R$5,Table1[[#This Row],[Holiday]:[Unemployment]])</f>
        <v>30322.027652211651</v>
      </c>
      <c r="I108">
        <f>AVERAGE(ABS(Table1[[#This Row],[Weekly_Sales]]-Table1[[#This Row],[Forecast]]))</f>
        <v>23738.072347788348</v>
      </c>
      <c r="J108">
        <f>Table1[[#This Row],[AE]]^2</f>
        <v>563496078.78883374</v>
      </c>
      <c r="K108" s="14">
        <f>AVERAGE(ABS(Table1[[#This Row],[Weekly_Sales]]-Table1[[#This Row],[Forecast]])/Table1[[#This Row],[Weekly_Sales]])</f>
        <v>0.43910522451472245</v>
      </c>
    </row>
    <row r="109" spans="1:11" x14ac:dyDescent="0.35">
      <c r="A109" s="13">
        <v>40963</v>
      </c>
      <c r="B109">
        <v>20124.22</v>
      </c>
      <c r="C109">
        <v>0</v>
      </c>
      <c r="D109">
        <v>57.25</v>
      </c>
      <c r="E109">
        <v>3.5550000000000002</v>
      </c>
      <c r="F109">
        <v>220.63690199999999</v>
      </c>
      <c r="G109">
        <v>7.3479999999999999</v>
      </c>
      <c r="H109">
        <f>$M$5 + SUMPRODUCT($N$5:$R$5,Table1[[#This Row],[Holiday]:[Unemployment]])</f>
        <v>26437.773357830796</v>
      </c>
      <c r="I109">
        <f>AVERAGE(ABS(Table1[[#This Row],[Weekly_Sales]]-Table1[[#This Row],[Forecast]]))</f>
        <v>6313.553357830795</v>
      </c>
      <c r="J109">
        <f>Table1[[#This Row],[AE]]^2</f>
        <v>39860956.002176508</v>
      </c>
      <c r="K109" s="14">
        <f>AVERAGE(ABS(Table1[[#This Row],[Weekly_Sales]]-Table1[[#This Row],[Forecast]])/Table1[[#This Row],[Weekly_Sales]])</f>
        <v>0.31372909647334379</v>
      </c>
    </row>
    <row r="110" spans="1:11" x14ac:dyDescent="0.35">
      <c r="A110" s="13">
        <v>40970</v>
      </c>
      <c r="B110">
        <v>20113.03</v>
      </c>
      <c r="C110">
        <v>0</v>
      </c>
      <c r="D110">
        <v>60.96</v>
      </c>
      <c r="E110">
        <v>3.63</v>
      </c>
      <c r="F110">
        <v>220.84804539999999</v>
      </c>
      <c r="G110">
        <v>7.3479999999999999</v>
      </c>
      <c r="H110">
        <f>$M$5 + SUMPRODUCT($N$5:$R$5,Table1[[#This Row],[Holiday]:[Unemployment]])</f>
        <v>25322.391882140422</v>
      </c>
      <c r="I110">
        <f>AVERAGE(ABS(Table1[[#This Row],[Weekly_Sales]]-Table1[[#This Row],[Forecast]]))</f>
        <v>5209.3618821404234</v>
      </c>
      <c r="J110">
        <f>Table1[[#This Row],[AE]]^2</f>
        <v>27137451.219097614</v>
      </c>
      <c r="K110" s="14">
        <f>AVERAGE(ABS(Table1[[#This Row],[Weekly_Sales]]-Table1[[#This Row],[Forecast]])/Table1[[#This Row],[Weekly_Sales]])</f>
        <v>0.259004331129642</v>
      </c>
    </row>
    <row r="111" spans="1:11" x14ac:dyDescent="0.35">
      <c r="A111" s="13">
        <v>40977</v>
      </c>
      <c r="B111">
        <v>21140.07</v>
      </c>
      <c r="C111">
        <v>0</v>
      </c>
      <c r="D111">
        <v>58.76</v>
      </c>
      <c r="E111">
        <v>3.669</v>
      </c>
      <c r="F111">
        <v>221.05918869999999</v>
      </c>
      <c r="G111">
        <v>7.3479999999999999</v>
      </c>
      <c r="H111">
        <f>$M$5 + SUMPRODUCT($N$5:$R$5,Table1[[#This Row],[Holiday]:[Unemployment]])</f>
        <v>26116.375228662277</v>
      </c>
      <c r="I111">
        <f>AVERAGE(ABS(Table1[[#This Row],[Weekly_Sales]]-Table1[[#This Row],[Forecast]]))</f>
        <v>4976.3052286622769</v>
      </c>
      <c r="J111">
        <f>Table1[[#This Row],[AE]]^2</f>
        <v>24763613.728811517</v>
      </c>
      <c r="K111" s="14">
        <f>AVERAGE(ABS(Table1[[#This Row],[Weekly_Sales]]-Table1[[#This Row],[Forecast]])/Table1[[#This Row],[Weekly_Sales]])</f>
        <v>0.23539681886873018</v>
      </c>
    </row>
    <row r="112" spans="1:11" x14ac:dyDescent="0.35">
      <c r="A112" s="13">
        <v>40984</v>
      </c>
      <c r="B112">
        <v>22366.880000000001</v>
      </c>
      <c r="C112">
        <v>0</v>
      </c>
      <c r="D112">
        <v>64.739999999999995</v>
      </c>
      <c r="E112">
        <v>3.734</v>
      </c>
      <c r="F112">
        <v>221.21181319999999</v>
      </c>
      <c r="G112">
        <v>7.3479999999999999</v>
      </c>
      <c r="H112">
        <f>$M$5 + SUMPRODUCT($N$5:$R$5,Table1[[#This Row],[Holiday]:[Unemployment]])</f>
        <v>24231.396808227513</v>
      </c>
      <c r="I112">
        <f>AVERAGE(ABS(Table1[[#This Row],[Weekly_Sales]]-Table1[[#This Row],[Forecast]]))</f>
        <v>1864.5168082275122</v>
      </c>
      <c r="J112">
        <f>Table1[[#This Row],[AE]]^2</f>
        <v>3476422.9281629096</v>
      </c>
      <c r="K112" s="14">
        <f>AVERAGE(ABS(Table1[[#This Row],[Weekly_Sales]]-Table1[[#This Row],[Forecast]])/Table1[[#This Row],[Weekly_Sales]])</f>
        <v>8.3360612129519729E-2</v>
      </c>
    </row>
    <row r="113" spans="1:11" x14ac:dyDescent="0.35">
      <c r="A113" s="13">
        <v>40991</v>
      </c>
      <c r="B113">
        <v>22107.7</v>
      </c>
      <c r="C113">
        <v>0</v>
      </c>
      <c r="D113">
        <v>65.930000000000007</v>
      </c>
      <c r="E113">
        <v>3.7869999999999999</v>
      </c>
      <c r="F113">
        <v>221.28641260000001</v>
      </c>
      <c r="G113">
        <v>7.3479999999999999</v>
      </c>
      <c r="H113">
        <f>$M$5 + SUMPRODUCT($N$5:$R$5,Table1[[#This Row],[Holiday]:[Unemployment]])</f>
        <v>23914.851793199407</v>
      </c>
      <c r="I113">
        <f>AVERAGE(ABS(Table1[[#This Row],[Weekly_Sales]]-Table1[[#This Row],[Forecast]]))</f>
        <v>1807.1517931994058</v>
      </c>
      <c r="J113">
        <f>Table1[[#This Row],[AE]]^2</f>
        <v>3265797.6036638278</v>
      </c>
      <c r="K113" s="14">
        <f>AVERAGE(ABS(Table1[[#This Row],[Weekly_Sales]]-Table1[[#This Row],[Forecast]])/Table1[[#This Row],[Weekly_Sales]])</f>
        <v>8.1743093727497926E-2</v>
      </c>
    </row>
    <row r="114" spans="1:11" x14ac:dyDescent="0.35">
      <c r="A114" s="13">
        <v>40998</v>
      </c>
      <c r="B114">
        <v>28952.86</v>
      </c>
      <c r="C114">
        <v>0</v>
      </c>
      <c r="D114">
        <v>67.61</v>
      </c>
      <c r="E114">
        <v>3.8450000000000002</v>
      </c>
      <c r="F114">
        <v>221.36101189999999</v>
      </c>
      <c r="G114">
        <v>7.3479999999999999</v>
      </c>
      <c r="H114">
        <f>$M$5 + SUMPRODUCT($N$5:$R$5,Table1[[#This Row],[Holiday]:[Unemployment]])</f>
        <v>23442.849941821383</v>
      </c>
      <c r="I114">
        <f>AVERAGE(ABS(Table1[[#This Row],[Weekly_Sales]]-Table1[[#This Row],[Forecast]]))</f>
        <v>5510.0100581786173</v>
      </c>
      <c r="J114">
        <f>Table1[[#This Row],[AE]]^2</f>
        <v>30360210.841229528</v>
      </c>
      <c r="K114" s="14">
        <f>AVERAGE(ABS(Table1[[#This Row],[Weekly_Sales]]-Table1[[#This Row],[Forecast]])/Table1[[#This Row],[Weekly_Sales]])</f>
        <v>0.19030969852990748</v>
      </c>
    </row>
    <row r="115" spans="1:11" x14ac:dyDescent="0.35">
      <c r="A115" s="13">
        <v>41005</v>
      </c>
      <c r="B115">
        <v>57592.12</v>
      </c>
      <c r="C115">
        <v>0</v>
      </c>
      <c r="D115">
        <v>70.430000000000007</v>
      </c>
      <c r="E115">
        <v>3.891</v>
      </c>
      <c r="F115">
        <v>221.43561120000001</v>
      </c>
      <c r="G115">
        <v>7.1429999999999998</v>
      </c>
      <c r="H115">
        <f>$M$5 + SUMPRODUCT($N$5:$R$5,Table1[[#This Row],[Holiday]:[Unemployment]])</f>
        <v>22237.56870522532</v>
      </c>
      <c r="I115">
        <f>AVERAGE(ABS(Table1[[#This Row],[Weekly_Sales]]-Table1[[#This Row],[Forecast]]))</f>
        <v>35354.551294774683</v>
      </c>
      <c r="J115">
        <f>Table1[[#This Row],[AE]]^2</f>
        <v>1249944297.2548542</v>
      </c>
      <c r="K115" s="14">
        <f>AVERAGE(ABS(Table1[[#This Row],[Weekly_Sales]]-Table1[[#This Row],[Forecast]])/Table1[[#This Row],[Weekly_Sales]])</f>
        <v>0.61387827527055228</v>
      </c>
    </row>
    <row r="116" spans="1:11" x14ac:dyDescent="0.35">
      <c r="A116" s="13">
        <v>41012</v>
      </c>
      <c r="B116">
        <v>34684.21</v>
      </c>
      <c r="C116">
        <v>0</v>
      </c>
      <c r="D116">
        <v>69.069999999999993</v>
      </c>
      <c r="E116">
        <v>3.891</v>
      </c>
      <c r="F116">
        <v>221.5102105</v>
      </c>
      <c r="G116">
        <v>7.1429999999999998</v>
      </c>
      <c r="H116">
        <f>$M$5 + SUMPRODUCT($N$5:$R$5,Table1[[#This Row],[Holiday]:[Unemployment]])</f>
        <v>22691.888783113936</v>
      </c>
      <c r="I116">
        <f>AVERAGE(ABS(Table1[[#This Row],[Weekly_Sales]]-Table1[[#This Row],[Forecast]]))</f>
        <v>11992.321216886063</v>
      </c>
      <c r="J116">
        <f>Table1[[#This Row],[AE]]^2</f>
        <v>143815768.16897562</v>
      </c>
      <c r="K116" s="14">
        <f>AVERAGE(ABS(Table1[[#This Row],[Weekly_Sales]]-Table1[[#This Row],[Forecast]])/Table1[[#This Row],[Weekly_Sales]])</f>
        <v>0.3457573696182229</v>
      </c>
    </row>
    <row r="117" spans="1:11" x14ac:dyDescent="0.35">
      <c r="A117" s="13">
        <v>41019</v>
      </c>
      <c r="B117">
        <v>16976.189999999999</v>
      </c>
      <c r="C117">
        <v>0</v>
      </c>
      <c r="D117">
        <v>66.760000000000005</v>
      </c>
      <c r="E117">
        <v>3.8769999999999998</v>
      </c>
      <c r="F117">
        <v>221.56407369999999</v>
      </c>
      <c r="G117">
        <v>7.1429999999999998</v>
      </c>
      <c r="H117">
        <f>$M$5 + SUMPRODUCT($N$5:$R$5,Table1[[#This Row],[Holiday]:[Unemployment]])</f>
        <v>23440.619475956701</v>
      </c>
      <c r="I117">
        <f>AVERAGE(ABS(Table1[[#This Row],[Weekly_Sales]]-Table1[[#This Row],[Forecast]]))</f>
        <v>6464.4294759567019</v>
      </c>
      <c r="J117">
        <f>Table1[[#This Row],[AE]]^2</f>
        <v>41788848.44961784</v>
      </c>
      <c r="K117" s="14">
        <f>AVERAGE(ABS(Table1[[#This Row],[Weekly_Sales]]-Table1[[#This Row],[Forecast]])/Table1[[#This Row],[Weekly_Sales]])</f>
        <v>0.38079389285562321</v>
      </c>
    </row>
    <row r="118" spans="1:11" x14ac:dyDescent="0.35">
      <c r="A118" s="13">
        <v>41026</v>
      </c>
      <c r="B118">
        <v>16347.6</v>
      </c>
      <c r="C118">
        <v>0</v>
      </c>
      <c r="D118">
        <v>67.23</v>
      </c>
      <c r="E118">
        <v>3.8140000000000001</v>
      </c>
      <c r="F118">
        <v>221.6179368</v>
      </c>
      <c r="G118">
        <v>7.1429999999999998</v>
      </c>
      <c r="H118">
        <f>$M$5 + SUMPRODUCT($N$5:$R$5,Table1[[#This Row],[Holiday]:[Unemployment]])</f>
        <v>23197.985190551441</v>
      </c>
      <c r="I118">
        <f>AVERAGE(ABS(Table1[[#This Row],[Weekly_Sales]]-Table1[[#This Row],[Forecast]]))</f>
        <v>6850.3851905514402</v>
      </c>
      <c r="J118">
        <f>Table1[[#This Row],[AE]]^2</f>
        <v>46927777.258926496</v>
      </c>
      <c r="K118" s="14">
        <f>AVERAGE(ABS(Table1[[#This Row],[Weekly_Sales]]-Table1[[#This Row],[Forecast]])/Table1[[#This Row],[Weekly_Sales]])</f>
        <v>0.41904531494234259</v>
      </c>
    </row>
    <row r="119" spans="1:11" x14ac:dyDescent="0.35">
      <c r="A119" s="13">
        <v>41033</v>
      </c>
      <c r="B119">
        <v>17147.439999999999</v>
      </c>
      <c r="C119">
        <v>0</v>
      </c>
      <c r="D119">
        <v>75.55</v>
      </c>
      <c r="E119">
        <v>3.7490000000000001</v>
      </c>
      <c r="F119">
        <v>221.67179999999999</v>
      </c>
      <c r="G119">
        <v>7.1429999999999998</v>
      </c>
      <c r="H119">
        <f>$M$5 + SUMPRODUCT($N$5:$R$5,Table1[[#This Row],[Holiday]:[Unemployment]])</f>
        <v>20348.789491568776</v>
      </c>
      <c r="I119">
        <f>AVERAGE(ABS(Table1[[#This Row],[Weekly_Sales]]-Table1[[#This Row],[Forecast]]))</f>
        <v>3201.349491568777</v>
      </c>
      <c r="J119">
        <f>Table1[[#This Row],[AE]]^2</f>
        <v>10248638.567167668</v>
      </c>
      <c r="K119" s="14">
        <f>AVERAGE(ABS(Table1[[#This Row],[Weekly_Sales]]-Table1[[#This Row],[Forecast]])/Table1[[#This Row],[Weekly_Sales]])</f>
        <v>0.18669547708397155</v>
      </c>
    </row>
    <row r="120" spans="1:11" x14ac:dyDescent="0.35">
      <c r="A120" s="13">
        <v>41040</v>
      </c>
      <c r="B120">
        <v>18164.2</v>
      </c>
      <c r="C120">
        <v>0</v>
      </c>
      <c r="D120">
        <v>73.77</v>
      </c>
      <c r="E120">
        <v>3.6880000000000002</v>
      </c>
      <c r="F120">
        <v>221.72566320000001</v>
      </c>
      <c r="G120">
        <v>7.1429999999999998</v>
      </c>
      <c r="H120">
        <f>$M$5 + SUMPRODUCT($N$5:$R$5,Table1[[#This Row],[Holiday]:[Unemployment]])</f>
        <v>20855.2760064703</v>
      </c>
      <c r="I120">
        <f>AVERAGE(ABS(Table1[[#This Row],[Weekly_Sales]]-Table1[[#This Row],[Forecast]]))</f>
        <v>2691.076006470299</v>
      </c>
      <c r="J120">
        <f>Table1[[#This Row],[AE]]^2</f>
        <v>7241890.0726001328</v>
      </c>
      <c r="K120" s="14">
        <f>AVERAGE(ABS(Table1[[#This Row],[Weekly_Sales]]-Table1[[#This Row],[Forecast]])/Table1[[#This Row],[Weekly_Sales]])</f>
        <v>0.14815274036127651</v>
      </c>
    </row>
    <row r="121" spans="1:11" x14ac:dyDescent="0.35">
      <c r="A121" s="13">
        <v>41047</v>
      </c>
      <c r="B121">
        <v>18517.79</v>
      </c>
      <c r="C121">
        <v>0</v>
      </c>
      <c r="D121">
        <v>70.33</v>
      </c>
      <c r="E121">
        <v>3.63</v>
      </c>
      <c r="F121">
        <v>221.74267399999999</v>
      </c>
      <c r="G121">
        <v>7.1429999999999998</v>
      </c>
      <c r="H121">
        <f>$M$5 + SUMPRODUCT($N$5:$R$5,Table1[[#This Row],[Holiday]:[Unemployment]])</f>
        <v>21915.008196340212</v>
      </c>
      <c r="I121">
        <f>AVERAGE(ABS(Table1[[#This Row],[Weekly_Sales]]-Table1[[#This Row],[Forecast]]))</f>
        <v>3397.2181963402109</v>
      </c>
      <c r="J121">
        <f>Table1[[#This Row],[AE]]^2</f>
        <v>11541091.473545035</v>
      </c>
      <c r="K121" s="14">
        <f>AVERAGE(ABS(Table1[[#This Row],[Weekly_Sales]]-Table1[[#This Row],[Forecast]])/Table1[[#This Row],[Weekly_Sales]])</f>
        <v>0.18345699980074354</v>
      </c>
    </row>
    <row r="122" spans="1:11" x14ac:dyDescent="0.35">
      <c r="A122" s="13">
        <v>41054</v>
      </c>
      <c r="B122">
        <v>16963.55</v>
      </c>
      <c r="C122">
        <v>0</v>
      </c>
      <c r="D122">
        <v>77.22</v>
      </c>
      <c r="E122">
        <v>3.5609999999999999</v>
      </c>
      <c r="F122">
        <v>221.744944</v>
      </c>
      <c r="G122">
        <v>7.1429999999999998</v>
      </c>
      <c r="H122">
        <f>$M$5 + SUMPRODUCT($N$5:$R$5,Table1[[#This Row],[Holiday]:[Unemployment]])</f>
        <v>19532.235796651141</v>
      </c>
      <c r="I122">
        <f>AVERAGE(ABS(Table1[[#This Row],[Weekly_Sales]]-Table1[[#This Row],[Forecast]]))</f>
        <v>2568.6857966511416</v>
      </c>
      <c r="J122">
        <f>Table1[[#This Row],[AE]]^2</f>
        <v>6598146.7219173098</v>
      </c>
      <c r="K122" s="14">
        <f>AVERAGE(ABS(Table1[[#This Row],[Weekly_Sales]]-Table1[[#This Row],[Forecast]])/Table1[[#This Row],[Weekly_Sales]])</f>
        <v>0.15142383502575474</v>
      </c>
    </row>
    <row r="123" spans="1:11" x14ac:dyDescent="0.35">
      <c r="A123" s="13">
        <v>41061</v>
      </c>
      <c r="B123">
        <v>16065.49</v>
      </c>
      <c r="C123">
        <v>0</v>
      </c>
      <c r="D123">
        <v>77.95</v>
      </c>
      <c r="E123">
        <v>3.5009999999999999</v>
      </c>
      <c r="F123">
        <v>221.74721389999999</v>
      </c>
      <c r="G123">
        <v>7.1429999999999998</v>
      </c>
      <c r="H123">
        <f>$M$5 + SUMPRODUCT($N$5:$R$5,Table1[[#This Row],[Holiday]:[Unemployment]])</f>
        <v>19205.372677061539</v>
      </c>
      <c r="I123">
        <f>AVERAGE(ABS(Table1[[#This Row],[Weekly_Sales]]-Table1[[#This Row],[Forecast]]))</f>
        <v>3139.8826770615397</v>
      </c>
      <c r="J123">
        <f>Table1[[#This Row],[AE]]^2</f>
        <v>9858863.2257111408</v>
      </c>
      <c r="K123" s="14">
        <f>AVERAGE(ABS(Table1[[#This Row],[Weekly_Sales]]-Table1[[#This Row],[Forecast]])/Table1[[#This Row],[Weekly_Sales]])</f>
        <v>0.19544269593156136</v>
      </c>
    </row>
    <row r="124" spans="1:11" x14ac:dyDescent="0.35">
      <c r="A124" s="13">
        <v>41068</v>
      </c>
      <c r="B124">
        <v>17666</v>
      </c>
      <c r="C124">
        <v>0</v>
      </c>
      <c r="D124">
        <v>78.3</v>
      </c>
      <c r="E124">
        <v>3.452</v>
      </c>
      <c r="F124">
        <v>221.7494839</v>
      </c>
      <c r="G124">
        <v>7.1429999999999998</v>
      </c>
      <c r="H124">
        <f>$M$5 + SUMPRODUCT($N$5:$R$5,Table1[[#This Row],[Holiday]:[Unemployment]])</f>
        <v>19020.102464696814</v>
      </c>
      <c r="I124">
        <f>AVERAGE(ABS(Table1[[#This Row],[Weekly_Sales]]-Table1[[#This Row],[Forecast]]))</f>
        <v>1354.1024646968144</v>
      </c>
      <c r="J124">
        <f>Table1[[#This Row],[AE]]^2</f>
        <v>1833593.4848979875</v>
      </c>
      <c r="K124" s="14">
        <f>AVERAGE(ABS(Table1[[#This Row],[Weekly_Sales]]-Table1[[#This Row],[Forecast]])/Table1[[#This Row],[Weekly_Sales]])</f>
        <v>7.6650201782905839E-2</v>
      </c>
    </row>
    <row r="125" spans="1:11" x14ac:dyDescent="0.35">
      <c r="A125" s="13">
        <v>41075</v>
      </c>
      <c r="B125">
        <v>17558.82</v>
      </c>
      <c r="C125">
        <v>0</v>
      </c>
      <c r="D125">
        <v>79.349999999999994</v>
      </c>
      <c r="E125">
        <v>3.3929999999999998</v>
      </c>
      <c r="F125">
        <v>221.76264209999999</v>
      </c>
      <c r="G125">
        <v>7.1429999999999998</v>
      </c>
      <c r="H125">
        <f>$M$5 + SUMPRODUCT($N$5:$R$5,Table1[[#This Row],[Holiday]:[Unemployment]])</f>
        <v>18588.984781022835</v>
      </c>
      <c r="I125">
        <f>AVERAGE(ABS(Table1[[#This Row],[Weekly_Sales]]-Table1[[#This Row],[Forecast]]))</f>
        <v>1030.1647810228351</v>
      </c>
      <c r="J125">
        <f>Table1[[#This Row],[AE]]^2</f>
        <v>1061239.4760598259</v>
      </c>
      <c r="K125" s="14">
        <f>AVERAGE(ABS(Table1[[#This Row],[Weekly_Sales]]-Table1[[#This Row],[Forecast]])/Table1[[#This Row],[Weekly_Sales]])</f>
        <v>5.8669362805862532E-2</v>
      </c>
    </row>
    <row r="126" spans="1:11" x14ac:dyDescent="0.35">
      <c r="A126" s="13">
        <v>41082</v>
      </c>
      <c r="B126">
        <v>16633.41</v>
      </c>
      <c r="C126">
        <v>0</v>
      </c>
      <c r="D126">
        <v>78.39</v>
      </c>
      <c r="E126">
        <v>3.3460000000000001</v>
      </c>
      <c r="F126">
        <v>221.8030211</v>
      </c>
      <c r="G126">
        <v>7.1429999999999998</v>
      </c>
      <c r="H126">
        <f>$M$5 + SUMPRODUCT($N$5:$R$5,Table1[[#This Row],[Holiday]:[Unemployment]])</f>
        <v>18842.699381065751</v>
      </c>
      <c r="I126">
        <f>AVERAGE(ABS(Table1[[#This Row],[Weekly_Sales]]-Table1[[#This Row],[Forecast]]))</f>
        <v>2209.2893810657515</v>
      </c>
      <c r="J126">
        <f>Table1[[#This Row],[AE]]^2</f>
        <v>4880959.569289891</v>
      </c>
      <c r="K126" s="14">
        <f>AVERAGE(ABS(Table1[[#This Row],[Weekly_Sales]]-Table1[[#This Row],[Forecast]])/Table1[[#This Row],[Weekly_Sales]])</f>
        <v>0.13282239667426893</v>
      </c>
    </row>
    <row r="127" spans="1:11" x14ac:dyDescent="0.35">
      <c r="A127" s="13">
        <v>41089</v>
      </c>
      <c r="B127">
        <v>15722.82</v>
      </c>
      <c r="C127">
        <v>0</v>
      </c>
      <c r="D127">
        <v>84.88</v>
      </c>
      <c r="E127">
        <v>3.286</v>
      </c>
      <c r="F127">
        <v>221.8434</v>
      </c>
      <c r="G127">
        <v>7.1429999999999998</v>
      </c>
      <c r="H127">
        <f>$M$5 + SUMPRODUCT($N$5:$R$5,Table1[[#This Row],[Holiday]:[Unemployment]])</f>
        <v>16606.974599748006</v>
      </c>
      <c r="I127">
        <f>AVERAGE(ABS(Table1[[#This Row],[Weekly_Sales]]-Table1[[#This Row],[Forecast]]))</f>
        <v>884.15459974800615</v>
      </c>
      <c r="J127">
        <f>Table1[[#This Row],[AE]]^2</f>
        <v>781729.35625555692</v>
      </c>
      <c r="K127" s="14">
        <f>AVERAGE(ABS(Table1[[#This Row],[Weekly_Sales]]-Table1[[#This Row],[Forecast]])/Table1[[#This Row],[Weekly_Sales]])</f>
        <v>5.6233843531122672E-2</v>
      </c>
    </row>
    <row r="128" spans="1:11" x14ac:dyDescent="0.35">
      <c r="A128" s="13">
        <v>41096</v>
      </c>
      <c r="B128">
        <v>17823.37</v>
      </c>
      <c r="C128">
        <v>0</v>
      </c>
      <c r="D128">
        <v>81.569999999999993</v>
      </c>
      <c r="E128">
        <v>3.2269999999999999</v>
      </c>
      <c r="F128">
        <v>221.88377890000001</v>
      </c>
      <c r="G128">
        <v>6.9080000000000004</v>
      </c>
      <c r="H128">
        <f>$M$5 + SUMPRODUCT($N$5:$R$5,Table1[[#This Row],[Holiday]:[Unemployment]])</f>
        <v>17235.501914756707</v>
      </c>
      <c r="I128">
        <f>AVERAGE(ABS(Table1[[#This Row],[Weekly_Sales]]-Table1[[#This Row],[Forecast]]))</f>
        <v>587.86808524329172</v>
      </c>
      <c r="J128">
        <f>Table1[[#This Row],[AE]]^2</f>
        <v>345588.88564761408</v>
      </c>
      <c r="K128" s="14">
        <f>AVERAGE(ABS(Table1[[#This Row],[Weekly_Sales]]-Table1[[#This Row],[Forecast]])/Table1[[#This Row],[Weekly_Sales]])</f>
        <v>3.2982992848338541E-2</v>
      </c>
    </row>
    <row r="129" spans="1:11" x14ac:dyDescent="0.35">
      <c r="A129" s="13">
        <v>41103</v>
      </c>
      <c r="B129">
        <v>16566.18</v>
      </c>
      <c r="C129">
        <v>0</v>
      </c>
      <c r="D129">
        <v>77.12</v>
      </c>
      <c r="E129">
        <v>3.2559999999999998</v>
      </c>
      <c r="F129">
        <v>221.92415790000001</v>
      </c>
      <c r="G129">
        <v>6.9080000000000004</v>
      </c>
      <c r="H129">
        <f>$M$5 + SUMPRODUCT($N$5:$R$5,Table1[[#This Row],[Holiday]:[Unemployment]])</f>
        <v>18754.252225646051</v>
      </c>
      <c r="I129">
        <f>AVERAGE(ABS(Table1[[#This Row],[Weekly_Sales]]-Table1[[#This Row],[Forecast]]))</f>
        <v>2188.0722256460504</v>
      </c>
      <c r="J129">
        <f>Table1[[#This Row],[AE]]^2</f>
        <v>4787660.0646436606</v>
      </c>
      <c r="K129" s="14">
        <f>AVERAGE(ABS(Table1[[#This Row],[Weekly_Sales]]-Table1[[#This Row],[Forecast]])/Table1[[#This Row],[Weekly_Sales]])</f>
        <v>0.13208067434049675</v>
      </c>
    </row>
    <row r="130" spans="1:11" x14ac:dyDescent="0.35">
      <c r="A130" s="13">
        <v>41110</v>
      </c>
      <c r="B130">
        <v>16348.06</v>
      </c>
      <c r="C130">
        <v>0</v>
      </c>
      <c r="D130">
        <v>80.42</v>
      </c>
      <c r="E130">
        <v>3.3109999999999999</v>
      </c>
      <c r="F130">
        <v>221.93272669999999</v>
      </c>
      <c r="G130">
        <v>6.9080000000000004</v>
      </c>
      <c r="H130">
        <f>$M$5 + SUMPRODUCT($N$5:$R$5,Table1[[#This Row],[Holiday]:[Unemployment]])</f>
        <v>17737.821156431535</v>
      </c>
      <c r="I130">
        <f>AVERAGE(ABS(Table1[[#This Row],[Weekly_Sales]]-Table1[[#This Row],[Forecast]]))</f>
        <v>1389.7611564315357</v>
      </c>
      <c r="J130">
        <f>Table1[[#This Row],[AE]]^2</f>
        <v>1931436.0719259195</v>
      </c>
      <c r="K130" s="14">
        <f>AVERAGE(ABS(Table1[[#This Row],[Weekly_Sales]]-Table1[[#This Row],[Forecast]])/Table1[[#This Row],[Weekly_Sales]])</f>
        <v>8.501076925528385E-2</v>
      </c>
    </row>
    <row r="131" spans="1:11" x14ac:dyDescent="0.35">
      <c r="A131" s="13">
        <v>41117</v>
      </c>
      <c r="B131">
        <v>15731.18</v>
      </c>
      <c r="C131">
        <v>0</v>
      </c>
      <c r="D131">
        <v>82.66</v>
      </c>
      <c r="E131">
        <v>3.407</v>
      </c>
      <c r="F131">
        <v>221.9412954</v>
      </c>
      <c r="G131">
        <v>6.9080000000000004</v>
      </c>
      <c r="H131">
        <f>$M$5 + SUMPRODUCT($N$5:$R$5,Table1[[#This Row],[Holiday]:[Unemployment]])</f>
        <v>17130.944681390502</v>
      </c>
      <c r="I131">
        <f>AVERAGE(ABS(Table1[[#This Row],[Weekly_Sales]]-Table1[[#This Row],[Forecast]]))</f>
        <v>1399.7646813905012</v>
      </c>
      <c r="J131">
        <f>Table1[[#This Row],[AE]]^2</f>
        <v>1959341.1632682513</v>
      </c>
      <c r="K131" s="14">
        <f>AVERAGE(ABS(Table1[[#This Row],[Weekly_Sales]]-Table1[[#This Row],[Forecast]])/Table1[[#This Row],[Weekly_Sales]])</f>
        <v>8.8980272388371445E-2</v>
      </c>
    </row>
    <row r="132" spans="1:11" x14ac:dyDescent="0.35">
      <c r="A132" s="13">
        <v>41124</v>
      </c>
      <c r="B132">
        <v>16628.310000000001</v>
      </c>
      <c r="C132">
        <v>0</v>
      </c>
      <c r="D132">
        <v>86.11</v>
      </c>
      <c r="E132">
        <v>3.4169999999999998</v>
      </c>
      <c r="F132">
        <v>221.94986420000001</v>
      </c>
      <c r="G132">
        <v>6.9080000000000004</v>
      </c>
      <c r="H132">
        <f>$M$5 + SUMPRODUCT($N$5:$R$5,Table1[[#This Row],[Holiday]:[Unemployment]])</f>
        <v>16001.137736823088</v>
      </c>
      <c r="I132">
        <f>AVERAGE(ABS(Table1[[#This Row],[Weekly_Sales]]-Table1[[#This Row],[Forecast]]))</f>
        <v>627.17226317691348</v>
      </c>
      <c r="J132">
        <f>Table1[[#This Row],[AE]]^2</f>
        <v>393345.04769845161</v>
      </c>
      <c r="K132" s="14">
        <f>AVERAGE(ABS(Table1[[#This Row],[Weekly_Sales]]-Table1[[#This Row],[Forecast]])/Table1[[#This Row],[Weekly_Sales]])</f>
        <v>3.7717138012035703E-2</v>
      </c>
    </row>
    <row r="133" spans="1:11" x14ac:dyDescent="0.35">
      <c r="A133" s="13">
        <v>41131</v>
      </c>
      <c r="B133">
        <v>16119.92</v>
      </c>
      <c r="C133">
        <v>0</v>
      </c>
      <c r="D133">
        <v>85.05</v>
      </c>
      <c r="E133">
        <v>3.4940000000000002</v>
      </c>
      <c r="F133">
        <v>221.95843289999999</v>
      </c>
      <c r="G133">
        <v>6.9080000000000004</v>
      </c>
      <c r="H133">
        <f>$M$5 + SUMPRODUCT($N$5:$R$5,Table1[[#This Row],[Holiday]:[Unemployment]])</f>
        <v>16461.961440315852</v>
      </c>
      <c r="I133">
        <f>AVERAGE(ABS(Table1[[#This Row],[Weekly_Sales]]-Table1[[#This Row],[Forecast]]))</f>
        <v>342.04144031585201</v>
      </c>
      <c r="J133">
        <f>Table1[[#This Row],[AE]]^2</f>
        <v>116992.34689334256</v>
      </c>
      <c r="K133" s="14">
        <f>AVERAGE(ABS(Table1[[#This Row],[Weekly_Sales]]-Table1[[#This Row],[Forecast]])/Table1[[#This Row],[Weekly_Sales]])</f>
        <v>2.1218556935509111E-2</v>
      </c>
    </row>
    <row r="134" spans="1:11" x14ac:dyDescent="0.35">
      <c r="A134" s="13">
        <v>41138</v>
      </c>
      <c r="B134">
        <v>17330.7</v>
      </c>
      <c r="C134">
        <v>0</v>
      </c>
      <c r="D134">
        <v>84.85</v>
      </c>
      <c r="E134">
        <v>3.5710000000000002</v>
      </c>
      <c r="F134">
        <v>222.0384109</v>
      </c>
      <c r="G134">
        <v>6.9080000000000004</v>
      </c>
      <c r="H134">
        <f>$M$5 + SUMPRODUCT($N$5:$R$5,Table1[[#This Row],[Holiday]:[Unemployment]])</f>
        <v>16640.624681922782</v>
      </c>
      <c r="I134">
        <f>AVERAGE(ABS(Table1[[#This Row],[Weekly_Sales]]-Table1[[#This Row],[Forecast]]))</f>
        <v>690.07531807721898</v>
      </c>
      <c r="J134">
        <f>Table1[[#This Row],[AE]]^2</f>
        <v>476203.94461937493</v>
      </c>
      <c r="K134" s="14">
        <f>AVERAGE(ABS(Table1[[#This Row],[Weekly_Sales]]-Table1[[#This Row],[Forecast]])/Table1[[#This Row],[Weekly_Sales]])</f>
        <v>3.981808686765214E-2</v>
      </c>
    </row>
    <row r="135" spans="1:11" x14ac:dyDescent="0.35">
      <c r="A135" s="13">
        <v>41145</v>
      </c>
      <c r="B135">
        <v>16286.4</v>
      </c>
      <c r="C135">
        <v>0</v>
      </c>
      <c r="D135">
        <v>77.66</v>
      </c>
      <c r="E135">
        <v>3.62</v>
      </c>
      <c r="F135">
        <v>222.17194570000001</v>
      </c>
      <c r="G135">
        <v>6.9080000000000004</v>
      </c>
      <c r="H135">
        <f>$M$5 + SUMPRODUCT($N$5:$R$5,Table1[[#This Row],[Holiday]:[Unemployment]])</f>
        <v>19100.501200631617</v>
      </c>
      <c r="I135">
        <f>AVERAGE(ABS(Table1[[#This Row],[Weekly_Sales]]-Table1[[#This Row],[Forecast]]))</f>
        <v>2814.1012006316178</v>
      </c>
      <c r="J135">
        <f>Table1[[#This Row],[AE]]^2</f>
        <v>7919165.567396313</v>
      </c>
      <c r="K135" s="14">
        <f>AVERAGE(ABS(Table1[[#This Row],[Weekly_Sales]]-Table1[[#This Row],[Forecast]])/Table1[[#This Row],[Weekly_Sales]])</f>
        <v>0.17278841245650467</v>
      </c>
    </row>
    <row r="136" spans="1:11" x14ac:dyDescent="0.35">
      <c r="A136" s="13">
        <v>41152</v>
      </c>
      <c r="B136">
        <v>16680.240000000002</v>
      </c>
      <c r="C136">
        <v>0</v>
      </c>
      <c r="D136">
        <v>80.489999999999995</v>
      </c>
      <c r="E136">
        <v>3.6379999999999999</v>
      </c>
      <c r="F136">
        <v>222.30548049999999</v>
      </c>
      <c r="G136">
        <v>6.9080000000000004</v>
      </c>
      <c r="H136">
        <f>$M$5 + SUMPRODUCT($N$5:$R$5,Table1[[#This Row],[Holiday]:[Unemployment]])</f>
        <v>18193.056570552908</v>
      </c>
      <c r="I136">
        <f>AVERAGE(ABS(Table1[[#This Row],[Weekly_Sales]]-Table1[[#This Row],[Forecast]]))</f>
        <v>1512.8165705529063</v>
      </c>
      <c r="J136">
        <f>Table1[[#This Row],[AE]]^2</f>
        <v>2288613.9761394565</v>
      </c>
      <c r="K136" s="14">
        <f>AVERAGE(ABS(Table1[[#This Row],[Weekly_Sales]]-Table1[[#This Row],[Forecast]])/Table1[[#This Row],[Weekly_Sales]])</f>
        <v>9.069513211757782E-2</v>
      </c>
    </row>
    <row r="137" spans="1:11" x14ac:dyDescent="0.35">
      <c r="A137" s="13">
        <v>41159</v>
      </c>
      <c r="B137">
        <v>18322.37</v>
      </c>
      <c r="C137">
        <v>1</v>
      </c>
      <c r="D137">
        <v>83.96</v>
      </c>
      <c r="E137">
        <v>3.73</v>
      </c>
      <c r="F137">
        <v>222.43901529999999</v>
      </c>
      <c r="G137">
        <v>6.9080000000000004</v>
      </c>
      <c r="H137">
        <f>$M$5 + SUMPRODUCT($N$5:$R$5,Table1[[#This Row],[Holiday]:[Unemployment]])</f>
        <v>16960.772293708851</v>
      </c>
      <c r="I137">
        <f>AVERAGE(ABS(Table1[[#This Row],[Weekly_Sales]]-Table1[[#This Row],[Forecast]]))</f>
        <v>1361.5977062911479</v>
      </c>
      <c r="J137">
        <f>Table1[[#This Row],[AE]]^2</f>
        <v>1853948.3137773152</v>
      </c>
      <c r="K137" s="14">
        <f>AVERAGE(ABS(Table1[[#This Row],[Weekly_Sales]]-Table1[[#This Row],[Forecast]])/Table1[[#This Row],[Weekly_Sales]])</f>
        <v>7.431340521401697E-2</v>
      </c>
    </row>
    <row r="138" spans="1:11" x14ac:dyDescent="0.35">
      <c r="A138" s="13">
        <v>41166</v>
      </c>
      <c r="B138">
        <v>19616.22</v>
      </c>
      <c r="C138">
        <v>0</v>
      </c>
      <c r="D138">
        <v>74.97</v>
      </c>
      <c r="E138">
        <v>3.7170000000000001</v>
      </c>
      <c r="F138">
        <v>222.58201930000001</v>
      </c>
      <c r="G138">
        <v>6.9080000000000004</v>
      </c>
      <c r="H138">
        <f>$M$5 + SUMPRODUCT($N$5:$R$5,Table1[[#This Row],[Holiday]:[Unemployment]])</f>
        <v>20147.61981200031</v>
      </c>
      <c r="I138">
        <f>AVERAGE(ABS(Table1[[#This Row],[Weekly_Sales]]-Table1[[#This Row],[Forecast]]))</f>
        <v>531.39981200030888</v>
      </c>
      <c r="J138">
        <f>Table1[[#This Row],[AE]]^2</f>
        <v>282385.76019396365</v>
      </c>
      <c r="K138" s="14">
        <f>AVERAGE(ABS(Table1[[#This Row],[Weekly_Sales]]-Table1[[#This Row],[Forecast]])/Table1[[#This Row],[Weekly_Sales]])</f>
        <v>2.7089817100354137E-2</v>
      </c>
    </row>
    <row r="139" spans="1:11" x14ac:dyDescent="0.35">
      <c r="A139" s="13">
        <v>41173</v>
      </c>
      <c r="B139">
        <v>19251.5</v>
      </c>
      <c r="C139">
        <v>0</v>
      </c>
      <c r="D139">
        <v>69.87</v>
      </c>
      <c r="E139">
        <v>3.7210000000000001</v>
      </c>
      <c r="F139">
        <v>222.78183859999999</v>
      </c>
      <c r="G139">
        <v>6.9080000000000004</v>
      </c>
      <c r="H139">
        <f>$M$5 + SUMPRODUCT($N$5:$R$5,Table1[[#This Row],[Holiday]:[Unemployment]])</f>
        <v>21853.517590219322</v>
      </c>
      <c r="I139">
        <f>AVERAGE(ABS(Table1[[#This Row],[Weekly_Sales]]-Table1[[#This Row],[Forecast]]))</f>
        <v>2602.0175902193223</v>
      </c>
      <c r="J139">
        <f>Table1[[#This Row],[AE]]^2</f>
        <v>6770495.5398107693</v>
      </c>
      <c r="K139" s="14">
        <f>AVERAGE(ABS(Table1[[#This Row],[Weekly_Sales]]-Table1[[#This Row],[Forecast]])/Table1[[#This Row],[Weekly_Sales]])</f>
        <v>0.13515921305972636</v>
      </c>
    </row>
    <row r="140" spans="1:11" x14ac:dyDescent="0.35">
      <c r="A140" s="13">
        <v>41180</v>
      </c>
      <c r="B140">
        <v>18947.810000000001</v>
      </c>
      <c r="C140">
        <v>0</v>
      </c>
      <c r="D140">
        <v>76.08</v>
      </c>
      <c r="E140">
        <v>3.6659999999999999</v>
      </c>
      <c r="F140">
        <v>222.98165789999999</v>
      </c>
      <c r="G140">
        <v>6.9080000000000004</v>
      </c>
      <c r="H140">
        <f>$M$5 + SUMPRODUCT($N$5:$R$5,Table1[[#This Row],[Holiday]:[Unemployment]])</f>
        <v>19724.631859548019</v>
      </c>
      <c r="I140">
        <f>AVERAGE(ABS(Table1[[#This Row],[Weekly_Sales]]-Table1[[#This Row],[Forecast]]))</f>
        <v>776.82185954801753</v>
      </c>
      <c r="J140">
        <f>Table1[[#This Row],[AE]]^2</f>
        <v>603452.20147163991</v>
      </c>
      <c r="K140" s="14">
        <f>AVERAGE(ABS(Table1[[#This Row],[Weekly_Sales]]-Table1[[#This Row],[Forecast]])/Table1[[#This Row],[Weekly_Sales]])</f>
        <v>4.0997975995538137E-2</v>
      </c>
    </row>
    <row r="141" spans="1:11" x14ac:dyDescent="0.35">
      <c r="A141" s="13">
        <v>41187</v>
      </c>
      <c r="B141">
        <v>21904.47</v>
      </c>
      <c r="C141">
        <v>0</v>
      </c>
      <c r="D141">
        <v>68.55</v>
      </c>
      <c r="E141">
        <v>3.617</v>
      </c>
      <c r="F141">
        <v>223.18147719999999</v>
      </c>
      <c r="G141">
        <v>6.5730000000000004</v>
      </c>
      <c r="H141">
        <f>$M$5 + SUMPRODUCT($N$5:$R$5,Table1[[#This Row],[Holiday]:[Unemployment]])</f>
        <v>21608.938179655954</v>
      </c>
      <c r="I141">
        <f>AVERAGE(ABS(Table1[[#This Row],[Weekly_Sales]]-Table1[[#This Row],[Forecast]]))</f>
        <v>295.53182034404745</v>
      </c>
      <c r="J141">
        <f>Table1[[#This Row],[AE]]^2</f>
        <v>87339.056835866329</v>
      </c>
      <c r="K141" s="14">
        <f>AVERAGE(ABS(Table1[[#This Row],[Weekly_Sales]]-Table1[[#This Row],[Forecast]])/Table1[[#This Row],[Weekly_Sales]])</f>
        <v>1.3491849852749116E-2</v>
      </c>
    </row>
    <row r="142" spans="1:11" x14ac:dyDescent="0.35">
      <c r="A142" s="13">
        <v>41194</v>
      </c>
      <c r="B142">
        <v>22764.01</v>
      </c>
      <c r="C142">
        <v>0</v>
      </c>
      <c r="D142">
        <v>62.99</v>
      </c>
      <c r="E142">
        <v>3.601</v>
      </c>
      <c r="F142">
        <v>223.38129649999999</v>
      </c>
      <c r="G142">
        <v>6.5730000000000004</v>
      </c>
      <c r="H142">
        <f>$M$5 + SUMPRODUCT($N$5:$R$5,Table1[[#This Row],[Holiday]:[Unemployment]])</f>
        <v>23439.134547954542</v>
      </c>
      <c r="I142">
        <f>AVERAGE(ABS(Table1[[#This Row],[Weekly_Sales]]-Table1[[#This Row],[Forecast]]))</f>
        <v>675.12454795454323</v>
      </c>
      <c r="J142">
        <f>Table1[[#This Row],[AE]]^2</f>
        <v>455793.15525082633</v>
      </c>
      <c r="K142" s="14">
        <f>AVERAGE(ABS(Table1[[#This Row],[Weekly_Sales]]-Table1[[#This Row],[Forecast]])/Table1[[#This Row],[Weekly_Sales]])</f>
        <v>2.9657540475274052E-2</v>
      </c>
    </row>
    <row r="143" spans="1:11" x14ac:dyDescent="0.35">
      <c r="A143" s="13">
        <v>41201</v>
      </c>
      <c r="B143">
        <v>24185.27</v>
      </c>
      <c r="C143">
        <v>0</v>
      </c>
      <c r="D143">
        <v>67.97</v>
      </c>
      <c r="E143">
        <v>3.5939999999999999</v>
      </c>
      <c r="F143">
        <v>223.42572329999999</v>
      </c>
      <c r="G143">
        <v>6.5730000000000004</v>
      </c>
      <c r="H143">
        <f>$M$5 + SUMPRODUCT($N$5:$R$5,Table1[[#This Row],[Holiday]:[Unemployment]])</f>
        <v>21779.364242735781</v>
      </c>
      <c r="I143">
        <f>AVERAGE(ABS(Table1[[#This Row],[Weekly_Sales]]-Table1[[#This Row],[Forecast]]))</f>
        <v>2405.9057572642196</v>
      </c>
      <c r="J143">
        <f>Table1[[#This Row],[AE]]^2</f>
        <v>5788382.5128371175</v>
      </c>
      <c r="K143" s="14">
        <f>AVERAGE(ABS(Table1[[#This Row],[Weekly_Sales]]-Table1[[#This Row],[Forecast]])/Table1[[#This Row],[Weekly_Sales]])</f>
        <v>9.9478143401509248E-2</v>
      </c>
    </row>
    <row r="144" spans="1:11" x14ac:dyDescent="0.35">
      <c r="A144" s="13">
        <v>41208</v>
      </c>
      <c r="B144">
        <v>27390.81</v>
      </c>
      <c r="C144">
        <v>0</v>
      </c>
      <c r="D144">
        <v>69.16</v>
      </c>
      <c r="E144">
        <v>3.5059999999999998</v>
      </c>
      <c r="F144">
        <v>223.44425129999999</v>
      </c>
      <c r="G144">
        <v>6.5730000000000004</v>
      </c>
      <c r="H144">
        <f>$M$5 + SUMPRODUCT($N$5:$R$5,Table1[[#This Row],[Holiday]:[Unemployment]])</f>
        <v>21261.04136482827</v>
      </c>
      <c r="I144">
        <f>AVERAGE(ABS(Table1[[#This Row],[Weekly_Sales]]-Table1[[#This Row],[Forecast]]))</f>
        <v>6129.7686351717311</v>
      </c>
      <c r="J144">
        <f>Table1[[#This Row],[AE]]^2</f>
        <v>37574063.520735107</v>
      </c>
      <c r="K144" s="14">
        <f>AVERAGE(ABS(Table1[[#This Row],[Weekly_Sales]]-Table1[[#This Row],[Forecast]])/Table1[[#This Row],[Weekly_Sales]])</f>
        <v>0.22378924300419487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94C64-D50D-4466-BD1E-F42D5F4273F6}">
  <dimension ref="A1:I22"/>
  <sheetViews>
    <sheetView topLeftCell="A10" workbookViewId="0">
      <selection activeCell="A16" sqref="A16:B22"/>
    </sheetView>
  </sheetViews>
  <sheetFormatPr defaultRowHeight="14.5" x14ac:dyDescent="0.35"/>
  <cols>
    <col min="1" max="1" width="17.26953125" bestFit="1" customWidth="1"/>
  </cols>
  <sheetData>
    <row r="1" spans="1:9" x14ac:dyDescent="0.35">
      <c r="A1" t="s">
        <v>37</v>
      </c>
    </row>
    <row r="2" spans="1:9" ht="15" thickBot="1" x14ac:dyDescent="0.4"/>
    <row r="3" spans="1:9" x14ac:dyDescent="0.35">
      <c r="A3" s="47" t="s">
        <v>38</v>
      </c>
      <c r="B3" s="47"/>
    </row>
    <row r="4" spans="1:9" x14ac:dyDescent="0.35">
      <c r="A4" t="s">
        <v>39</v>
      </c>
      <c r="B4">
        <v>0.4780394020415748</v>
      </c>
    </row>
    <row r="5" spans="1:9" x14ac:dyDescent="0.35">
      <c r="A5" t="s">
        <v>40</v>
      </c>
      <c r="B5">
        <v>0.22852166990426639</v>
      </c>
    </row>
    <row r="6" spans="1:9" x14ac:dyDescent="0.35">
      <c r="A6" t="s">
        <v>41</v>
      </c>
      <c r="B6">
        <v>0.20036552647011555</v>
      </c>
    </row>
    <row r="7" spans="1:9" x14ac:dyDescent="0.35">
      <c r="A7" t="s">
        <v>42</v>
      </c>
      <c r="B7">
        <v>8811.9839006107031</v>
      </c>
    </row>
    <row r="8" spans="1:9" ht="15" thickBot="1" x14ac:dyDescent="0.4">
      <c r="A8" s="45" t="s">
        <v>43</v>
      </c>
      <c r="B8" s="45">
        <v>143</v>
      </c>
    </row>
    <row r="10" spans="1:9" ht="15" thickBot="1" x14ac:dyDescent="0.4">
      <c r="A10" t="s">
        <v>44</v>
      </c>
    </row>
    <row r="11" spans="1:9" x14ac:dyDescent="0.35">
      <c r="A11" s="46"/>
      <c r="B11" s="46" t="s">
        <v>48</v>
      </c>
      <c r="C11" s="46" t="s">
        <v>49</v>
      </c>
      <c r="D11" s="46" t="s">
        <v>50</v>
      </c>
      <c r="E11" s="46" t="s">
        <v>51</v>
      </c>
      <c r="F11" s="46" t="s">
        <v>52</v>
      </c>
    </row>
    <row r="12" spans="1:9" x14ac:dyDescent="0.35">
      <c r="A12" t="s">
        <v>45</v>
      </c>
      <c r="B12">
        <v>5</v>
      </c>
      <c r="C12">
        <v>3151168412.5009232</v>
      </c>
      <c r="D12">
        <v>630233682.50018466</v>
      </c>
      <c r="E12">
        <v>8.1162276516566614</v>
      </c>
      <c r="F12">
        <v>9.83951854496268E-7</v>
      </c>
    </row>
    <row r="13" spans="1:9" x14ac:dyDescent="0.35">
      <c r="A13" t="s">
        <v>46</v>
      </c>
      <c r="B13">
        <v>137</v>
      </c>
      <c r="C13">
        <v>10638195256.253242</v>
      </c>
      <c r="D13">
        <v>77651060.264622211</v>
      </c>
    </row>
    <row r="14" spans="1:9" ht="15" thickBot="1" x14ac:dyDescent="0.4">
      <c r="A14" s="45" t="s">
        <v>47</v>
      </c>
      <c r="B14" s="45">
        <v>142</v>
      </c>
      <c r="C14" s="45">
        <v>13789363668.754166</v>
      </c>
      <c r="D14" s="45"/>
      <c r="E14" s="45"/>
      <c r="F14" s="45"/>
    </row>
    <row r="15" spans="1:9" ht="15" thickBot="1" x14ac:dyDescent="0.4"/>
    <row r="16" spans="1:9" x14ac:dyDescent="0.35">
      <c r="A16" s="46"/>
      <c r="B16" s="46" t="s">
        <v>53</v>
      </c>
      <c r="C16" s="46" t="s">
        <v>42</v>
      </c>
      <c r="D16" s="46" t="s">
        <v>54</v>
      </c>
      <c r="E16" s="46" t="s">
        <v>55</v>
      </c>
      <c r="F16" s="46" t="s">
        <v>56</v>
      </c>
      <c r="G16" s="46" t="s">
        <v>57</v>
      </c>
      <c r="H16" s="46" t="s">
        <v>58</v>
      </c>
      <c r="I16" s="46" t="s">
        <v>59</v>
      </c>
    </row>
    <row r="17" spans="1:9" x14ac:dyDescent="0.35">
      <c r="A17" t="s">
        <v>15</v>
      </c>
      <c r="B17">
        <v>18733.156356748223</v>
      </c>
      <c r="C17">
        <v>105474.1025265169</v>
      </c>
      <c r="D17">
        <v>0.17760906144746366</v>
      </c>
      <c r="E17">
        <v>0.85929234131540744</v>
      </c>
      <c r="F17">
        <v>-189834.62606937881</v>
      </c>
      <c r="G17">
        <v>227300.93878287525</v>
      </c>
      <c r="H17">
        <v>-189834.62606937881</v>
      </c>
      <c r="I17">
        <v>227300.93878287525</v>
      </c>
    </row>
    <row r="18" spans="1:9" x14ac:dyDescent="0.35">
      <c r="A18" s="48" t="s">
        <v>20</v>
      </c>
      <c r="B18">
        <v>-217.18520998562056</v>
      </c>
      <c r="C18">
        <v>2968.6385111932818</v>
      </c>
      <c r="D18">
        <v>-7.3159870818464937E-2</v>
      </c>
      <c r="E18">
        <v>0.94178560477739137</v>
      </c>
      <c r="F18">
        <v>-6087.4636600792865</v>
      </c>
      <c r="G18">
        <v>5653.0932401080454</v>
      </c>
      <c r="H18">
        <v>-6087.4636600792865</v>
      </c>
      <c r="I18">
        <v>5653.0932401080454</v>
      </c>
    </row>
    <row r="19" spans="1:9" x14ac:dyDescent="0.35">
      <c r="A19" s="48" t="s">
        <v>21</v>
      </c>
      <c r="B19">
        <v>-331.68582534341715</v>
      </c>
      <c r="C19">
        <v>55.478628176092926</v>
      </c>
      <c r="D19">
        <v>-5.9786234131569342</v>
      </c>
      <c r="E19">
        <v>1.8488386460409639E-8</v>
      </c>
      <c r="F19">
        <v>-441.39099631486306</v>
      </c>
      <c r="G19">
        <v>-221.98065437197124</v>
      </c>
      <c r="H19">
        <v>-441.39099631486306</v>
      </c>
      <c r="I19">
        <v>-221.98065437197124</v>
      </c>
    </row>
    <row r="20" spans="1:9" x14ac:dyDescent="0.35">
      <c r="A20" s="48" t="s">
        <v>22</v>
      </c>
      <c r="B20">
        <v>1413.8444789197429</v>
      </c>
      <c r="C20">
        <v>2848.1334302345949</v>
      </c>
      <c r="D20">
        <v>0.49641089982335812</v>
      </c>
      <c r="E20">
        <v>0.6204000806160086</v>
      </c>
      <c r="F20">
        <v>-4218.1434628444922</v>
      </c>
      <c r="G20">
        <v>7045.8324206839779</v>
      </c>
      <c r="H20">
        <v>-4218.1434628444922</v>
      </c>
      <c r="I20">
        <v>7045.8324206839779</v>
      </c>
    </row>
    <row r="21" spans="1:9" x14ac:dyDescent="0.35">
      <c r="A21" s="48" t="s">
        <v>23</v>
      </c>
      <c r="B21">
        <v>43.262542967113681</v>
      </c>
      <c r="C21">
        <v>408.31391006129746</v>
      </c>
      <c r="D21">
        <v>0.10595412475812779</v>
      </c>
      <c r="E21">
        <v>0.91577373366086334</v>
      </c>
      <c r="F21">
        <v>-764.1501272076888</v>
      </c>
      <c r="G21">
        <v>850.67521314191606</v>
      </c>
      <c r="H21">
        <v>-764.1501272076888</v>
      </c>
      <c r="I21">
        <v>850.67521314191606</v>
      </c>
    </row>
    <row r="22" spans="1:9" ht="15" thickBot="1" x14ac:dyDescent="0.4">
      <c r="A22" s="49" t="s">
        <v>24</v>
      </c>
      <c r="B22" s="45">
        <v>1649.7141979487847</v>
      </c>
      <c r="C22" s="45">
        <v>3533.5244974080697</v>
      </c>
      <c r="D22" s="45">
        <v>0.46687498534646982</v>
      </c>
      <c r="E22" s="45">
        <v>0.64133095077710545</v>
      </c>
      <c r="F22" s="45">
        <v>-5337.5874326814883</v>
      </c>
      <c r="G22" s="45">
        <v>8637.0158285790585</v>
      </c>
      <c r="H22" s="45">
        <v>-5337.5874326814883</v>
      </c>
      <c r="I22" s="45">
        <v>8637.0158285790585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opLeftCell="A4" workbookViewId="0">
      <selection activeCell="C19" sqref="C19"/>
    </sheetView>
  </sheetViews>
  <sheetFormatPr defaultColWidth="8.81640625" defaultRowHeight="14.5" x14ac:dyDescent="0.35"/>
  <cols>
    <col min="1" max="1" width="29.1796875" bestFit="1" customWidth="1"/>
    <col min="2" max="2" width="13.453125" style="1" bestFit="1" customWidth="1"/>
    <col min="3" max="3" width="14.453125" bestFit="1" customWidth="1"/>
    <col min="7" max="7" width="12.453125" customWidth="1"/>
    <col min="8" max="8" width="10.08984375" bestFit="1" customWidth="1"/>
    <col min="9" max="9" width="10.453125" bestFit="1" customWidth="1"/>
    <col min="11" max="11" width="14" bestFit="1" customWidth="1"/>
    <col min="12" max="12" width="9.453125" bestFit="1" customWidth="1"/>
    <col min="13" max="13" width="10.453125" bestFit="1" customWidth="1"/>
  </cols>
  <sheetData>
    <row r="1" spans="1:13" x14ac:dyDescent="0.35">
      <c r="C1" s="1"/>
    </row>
    <row r="2" spans="1:13" x14ac:dyDescent="0.35">
      <c r="A2" t="s">
        <v>0</v>
      </c>
      <c r="B2" s="2">
        <v>5000</v>
      </c>
      <c r="C2" s="1"/>
      <c r="E2" s="65" t="s">
        <v>1</v>
      </c>
      <c r="F2" s="65"/>
    </row>
    <row r="3" spans="1:13" ht="16.5" customHeight="1" x14ac:dyDescent="0.35">
      <c r="A3" t="s">
        <v>2</v>
      </c>
      <c r="B3" s="2">
        <v>6500</v>
      </c>
      <c r="C3" s="1"/>
      <c r="E3" s="65"/>
      <c r="F3" s="65"/>
      <c r="G3" s="3"/>
    </row>
    <row r="4" spans="1:13" ht="26" x14ac:dyDescent="0.35">
      <c r="C4" s="1"/>
      <c r="E4" s="4" t="s">
        <v>3</v>
      </c>
      <c r="F4" s="4" t="s">
        <v>4</v>
      </c>
      <c r="G4" s="4" t="s">
        <v>5</v>
      </c>
    </row>
    <row r="5" spans="1:13" x14ac:dyDescent="0.35">
      <c r="A5" t="s">
        <v>6</v>
      </c>
      <c r="B5" s="5">
        <v>40</v>
      </c>
      <c r="E5" s="6">
        <v>2.61</v>
      </c>
      <c r="F5" s="6">
        <v>2.83</v>
      </c>
      <c r="G5" s="7">
        <v>4.4999999999999998E-2</v>
      </c>
      <c r="K5" s="8"/>
      <c r="L5" t="s">
        <v>7</v>
      </c>
    </row>
    <row r="6" spans="1:13" x14ac:dyDescent="0.35">
      <c r="A6" t="s">
        <v>8</v>
      </c>
      <c r="B6" s="9">
        <v>3.5</v>
      </c>
      <c r="E6" s="6">
        <v>2.83</v>
      </c>
      <c r="F6" s="6">
        <v>3.05</v>
      </c>
      <c r="G6" s="7">
        <v>0.05</v>
      </c>
      <c r="K6" s="11"/>
      <c r="L6" t="s">
        <v>9</v>
      </c>
    </row>
    <row r="7" spans="1:13" x14ac:dyDescent="0.35">
      <c r="E7" s="6">
        <v>3.05</v>
      </c>
      <c r="F7" s="6">
        <v>3.27</v>
      </c>
      <c r="G7" s="7">
        <v>5.5E-2</v>
      </c>
      <c r="K7" s="10"/>
      <c r="L7" t="s">
        <v>10</v>
      </c>
    </row>
    <row r="8" spans="1:13" x14ac:dyDescent="0.35">
      <c r="A8" t="s">
        <v>11</v>
      </c>
      <c r="B8" s="1" t="s">
        <v>12</v>
      </c>
      <c r="C8" s="1" t="s">
        <v>13</v>
      </c>
      <c r="E8" s="6">
        <v>3.27</v>
      </c>
      <c r="F8" s="6">
        <v>3.49</v>
      </c>
      <c r="G8" s="7">
        <v>0.06</v>
      </c>
      <c r="K8" s="12"/>
      <c r="L8" t="s">
        <v>14</v>
      </c>
    </row>
    <row r="9" spans="1:13" x14ac:dyDescent="0.35">
      <c r="A9" t="s">
        <v>15</v>
      </c>
      <c r="B9" s="5">
        <v>500</v>
      </c>
      <c r="C9" s="5">
        <v>600</v>
      </c>
      <c r="E9" s="6">
        <v>3.49</v>
      </c>
      <c r="F9" s="6">
        <v>3.71</v>
      </c>
      <c r="G9" s="7">
        <v>6.5000000000000002E-2</v>
      </c>
    </row>
    <row r="10" spans="1:13" x14ac:dyDescent="0.35">
      <c r="A10" t="s">
        <v>16</v>
      </c>
      <c r="B10" s="5">
        <v>-7.1999999999999995E-2</v>
      </c>
      <c r="C10" s="5">
        <v>-0.08</v>
      </c>
      <c r="E10" s="6">
        <v>3.71</v>
      </c>
      <c r="F10" s="6">
        <v>3.93</v>
      </c>
      <c r="G10" s="7">
        <v>7.0000000000000007E-2</v>
      </c>
    </row>
    <row r="11" spans="1:13" x14ac:dyDescent="0.35">
      <c r="E11" s="6">
        <v>3.93</v>
      </c>
      <c r="F11" s="6">
        <v>4.1500000000000004</v>
      </c>
      <c r="G11" s="7">
        <v>7.4999999999999997E-2</v>
      </c>
    </row>
    <row r="12" spans="1:13" x14ac:dyDescent="0.35">
      <c r="A12" t="s">
        <v>17</v>
      </c>
      <c r="B12" s="2">
        <v>460</v>
      </c>
      <c r="C12" s="2">
        <v>300</v>
      </c>
      <c r="E12" s="6">
        <v>4.1500000000000004</v>
      </c>
      <c r="F12" s="6">
        <v>4.37</v>
      </c>
      <c r="G12" s="7">
        <v>0.08</v>
      </c>
    </row>
    <row r="13" spans="1:13" x14ac:dyDescent="0.35">
      <c r="C13" s="1"/>
      <c r="E13" s="6">
        <v>4.37</v>
      </c>
      <c r="F13" s="6">
        <v>4.59</v>
      </c>
      <c r="G13" s="58">
        <v>8.5000000000000006E-2</v>
      </c>
      <c r="I13" s="67"/>
      <c r="J13" s="67"/>
      <c r="K13" s="67"/>
      <c r="L13" s="67"/>
      <c r="M13" s="66"/>
    </row>
    <row r="14" spans="1:13" x14ac:dyDescent="0.35">
      <c r="I14" s="66"/>
      <c r="J14" s="66"/>
      <c r="K14" s="66"/>
      <c r="L14" s="66"/>
      <c r="M14" s="66"/>
    </row>
    <row r="15" spans="1:13" x14ac:dyDescent="0.35">
      <c r="A15" t="s">
        <v>64</v>
      </c>
      <c r="B15" s="1">
        <f>MAX(500-0.072*$B$3,0)</f>
        <v>32.000000000000057</v>
      </c>
      <c r="C15" s="1">
        <f>MAX(600-0.08*$B$3,0)</f>
        <v>80</v>
      </c>
      <c r="I15" s="66"/>
      <c r="J15" s="66"/>
      <c r="K15" s="68"/>
      <c r="L15" s="68"/>
      <c r="M15" s="68"/>
    </row>
    <row r="16" spans="1:13" x14ac:dyDescent="0.35">
      <c r="A16" t="s">
        <v>65</v>
      </c>
      <c r="B16" s="1">
        <f>MIN(B15,40)</f>
        <v>32.000000000000057</v>
      </c>
      <c r="C16">
        <f>MIN(C15,40-B16)</f>
        <v>7.9999999999999432</v>
      </c>
      <c r="I16" s="66"/>
      <c r="J16" s="66"/>
      <c r="K16" s="68"/>
      <c r="L16" s="68"/>
      <c r="M16" s="68"/>
    </row>
    <row r="17" spans="1:13" x14ac:dyDescent="0.35">
      <c r="A17" s="52" t="s">
        <v>66</v>
      </c>
      <c r="B17" s="50">
        <f>460 + (460*VLOOKUP($B$6,E5:G13,3,TRUE))</f>
        <v>489.9</v>
      </c>
      <c r="C17" s="51">
        <f>300 + (300*VLOOKUP($B$6,E5:G13,3,TRUE))</f>
        <v>319.5</v>
      </c>
      <c r="I17" s="66"/>
      <c r="J17" s="66"/>
      <c r="K17" s="68"/>
      <c r="L17" s="68"/>
      <c r="M17" s="68"/>
    </row>
    <row r="18" spans="1:13" x14ac:dyDescent="0.35">
      <c r="A18" t="s">
        <v>67</v>
      </c>
      <c r="B18" s="53">
        <f>B16 * $B$3 - (B16 * $B$2 + B17*B16)</f>
        <v>32323.20000000007</v>
      </c>
      <c r="C18" s="54">
        <f>C16 * $B$3 - (C16 * $B$2 + C17*C16)</f>
        <v>9443.9999999999345</v>
      </c>
      <c r="I18" s="66"/>
      <c r="J18" s="66"/>
      <c r="K18" s="68"/>
      <c r="L18" s="68"/>
      <c r="M18" s="68"/>
    </row>
    <row r="19" spans="1:13" x14ac:dyDescent="0.35">
      <c r="I19" s="66"/>
      <c r="J19" s="66"/>
      <c r="K19" s="68"/>
      <c r="L19" s="68"/>
      <c r="M19" s="68"/>
    </row>
    <row r="20" spans="1:13" x14ac:dyDescent="0.35">
      <c r="A20" t="s">
        <v>68</v>
      </c>
      <c r="B20" s="55">
        <f>SUM(B18+C18)</f>
        <v>41767.200000000004</v>
      </c>
    </row>
    <row r="21" spans="1:13" x14ac:dyDescent="0.35">
      <c r="I21" s="51"/>
    </row>
    <row r="23" spans="1:13" x14ac:dyDescent="0.35">
      <c r="H23" s="66"/>
    </row>
    <row r="24" spans="1:13" x14ac:dyDescent="0.35">
      <c r="H24" s="66"/>
    </row>
    <row r="25" spans="1:13" x14ac:dyDescent="0.35">
      <c r="H25" s="66"/>
    </row>
    <row r="26" spans="1:13" x14ac:dyDescent="0.35">
      <c r="H26" s="66"/>
    </row>
  </sheetData>
  <mergeCells count="3">
    <mergeCell ref="E2:F3"/>
    <mergeCell ref="I13:J13"/>
    <mergeCell ref="K13:L13"/>
  </mergeCells>
  <pageMargins left="0.7" right="0.7" top="0.75" bottom="0.75" header="0.3" footer="0.3"/>
  <pageSetup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000D3-9F69-42DE-BC19-ADCCD1BEA0E8}">
  <dimension ref="A1:L26"/>
  <sheetViews>
    <sheetView topLeftCell="A9" workbookViewId="0">
      <selection activeCell="A22" sqref="A22:A26"/>
    </sheetView>
  </sheetViews>
  <sheetFormatPr defaultRowHeight="14.5" x14ac:dyDescent="0.35"/>
  <cols>
    <col min="1" max="1" width="48.26953125" bestFit="1" customWidth="1"/>
    <col min="2" max="2" width="11.453125" bestFit="1" customWidth="1"/>
    <col min="3" max="3" width="9.54296875" bestFit="1" customWidth="1"/>
    <col min="4" max="4" width="11.81640625" bestFit="1" customWidth="1"/>
    <col min="8" max="8" width="11.453125" bestFit="1" customWidth="1"/>
    <col min="9" max="9" width="10.453125" bestFit="1" customWidth="1"/>
  </cols>
  <sheetData>
    <row r="1" spans="1:12" x14ac:dyDescent="0.35">
      <c r="B1" s="1"/>
      <c r="C1" s="1"/>
    </row>
    <row r="2" spans="1:12" x14ac:dyDescent="0.35">
      <c r="A2" t="s">
        <v>0</v>
      </c>
      <c r="B2" s="2">
        <v>5000</v>
      </c>
      <c r="C2" s="1"/>
      <c r="E2" s="65" t="s">
        <v>1</v>
      </c>
      <c r="F2" s="65"/>
    </row>
    <row r="3" spans="1:12" x14ac:dyDescent="0.35">
      <c r="A3" t="s">
        <v>2</v>
      </c>
      <c r="B3" s="2">
        <v>6500</v>
      </c>
      <c r="C3" s="1"/>
      <c r="E3" s="65"/>
      <c r="F3" s="65"/>
      <c r="G3" s="3"/>
    </row>
    <row r="4" spans="1:12" ht="26" x14ac:dyDescent="0.35">
      <c r="B4" s="1"/>
      <c r="C4" s="1"/>
      <c r="E4" s="4" t="s">
        <v>3</v>
      </c>
      <c r="F4" s="4" t="s">
        <v>4</v>
      </c>
      <c r="G4" s="4" t="s">
        <v>5</v>
      </c>
    </row>
    <row r="5" spans="1:12" x14ac:dyDescent="0.35">
      <c r="A5" t="s">
        <v>6</v>
      </c>
      <c r="B5" s="5">
        <v>40</v>
      </c>
      <c r="E5" s="6">
        <v>2.61</v>
      </c>
      <c r="F5" s="6">
        <v>2.83</v>
      </c>
      <c r="G5" s="7">
        <v>4.4999999999999998E-2</v>
      </c>
      <c r="K5" s="8"/>
      <c r="L5" t="s">
        <v>7</v>
      </c>
    </row>
    <row r="6" spans="1:12" x14ac:dyDescent="0.35">
      <c r="A6" t="s">
        <v>8</v>
      </c>
      <c r="B6" s="9">
        <v>3.5</v>
      </c>
      <c r="E6" s="6">
        <v>2.83</v>
      </c>
      <c r="F6" s="6">
        <v>3.05</v>
      </c>
      <c r="G6" s="7">
        <v>0.05</v>
      </c>
      <c r="K6" s="11"/>
      <c r="L6" t="s">
        <v>9</v>
      </c>
    </row>
    <row r="7" spans="1:12" x14ac:dyDescent="0.35">
      <c r="B7" s="1"/>
      <c r="E7" s="6">
        <v>3.05</v>
      </c>
      <c r="F7" s="6">
        <v>3.27</v>
      </c>
      <c r="G7" s="7">
        <v>5.5E-2</v>
      </c>
      <c r="K7" s="10"/>
      <c r="L7" t="s">
        <v>10</v>
      </c>
    </row>
    <row r="8" spans="1:12" x14ac:dyDescent="0.35">
      <c r="A8" t="s">
        <v>11</v>
      </c>
      <c r="B8" s="1" t="s">
        <v>12</v>
      </c>
      <c r="C8" s="1" t="s">
        <v>13</v>
      </c>
      <c r="E8" s="6">
        <v>3.27</v>
      </c>
      <c r="F8" s="6">
        <v>3.49</v>
      </c>
      <c r="G8" s="7">
        <v>0.06</v>
      </c>
      <c r="K8" s="12"/>
      <c r="L8" t="s">
        <v>14</v>
      </c>
    </row>
    <row r="9" spans="1:12" x14ac:dyDescent="0.35">
      <c r="A9" t="s">
        <v>15</v>
      </c>
      <c r="B9" s="5">
        <v>500</v>
      </c>
      <c r="C9" s="5">
        <v>600</v>
      </c>
      <c r="E9" s="6">
        <v>3.49</v>
      </c>
      <c r="F9" s="6">
        <v>3.71</v>
      </c>
      <c r="G9" s="7">
        <v>6.5000000000000002E-2</v>
      </c>
    </row>
    <row r="10" spans="1:12" x14ac:dyDescent="0.35">
      <c r="A10" t="s">
        <v>16</v>
      </c>
      <c r="B10" s="5">
        <v>-7.1999999999999995E-2</v>
      </c>
      <c r="C10" s="5">
        <v>-0.08</v>
      </c>
      <c r="E10" s="6">
        <v>3.71</v>
      </c>
      <c r="F10" s="6">
        <v>3.93</v>
      </c>
      <c r="G10" s="7">
        <v>7.0000000000000007E-2</v>
      </c>
    </row>
    <row r="11" spans="1:12" x14ac:dyDescent="0.35">
      <c r="B11" s="1"/>
      <c r="E11" s="6">
        <v>3.93</v>
      </c>
      <c r="F11" s="6">
        <v>4.1500000000000004</v>
      </c>
      <c r="G11" s="7">
        <v>7.4999999999999997E-2</v>
      </c>
    </row>
    <row r="12" spans="1:12" x14ac:dyDescent="0.35">
      <c r="A12" t="s">
        <v>17</v>
      </c>
      <c r="B12" s="2">
        <v>460</v>
      </c>
      <c r="C12" s="2">
        <v>300</v>
      </c>
      <c r="E12" s="6">
        <v>4.1500000000000004</v>
      </c>
      <c r="F12" s="6">
        <v>4.37</v>
      </c>
      <c r="G12" s="7">
        <v>0.08</v>
      </c>
    </row>
    <row r="13" spans="1:12" x14ac:dyDescent="0.35">
      <c r="B13" s="1"/>
      <c r="C13" s="1"/>
      <c r="E13" s="6">
        <v>4.37</v>
      </c>
      <c r="F13" s="6">
        <v>4.59</v>
      </c>
      <c r="G13" s="58">
        <v>8.5000000000000006E-2</v>
      </c>
      <c r="H13" s="59"/>
      <c r="I13" s="69" t="s">
        <v>67</v>
      </c>
    </row>
    <row r="14" spans="1:12" x14ac:dyDescent="0.35">
      <c r="B14" s="1"/>
      <c r="H14" s="60" t="s">
        <v>74</v>
      </c>
      <c r="I14" s="70">
        <f>B20</f>
        <v>41767.200000000004</v>
      </c>
    </row>
    <row r="15" spans="1:12" x14ac:dyDescent="0.35">
      <c r="A15" t="s">
        <v>64</v>
      </c>
      <c r="B15" s="1">
        <f>MAX(500-0.072*$B$3,0)</f>
        <v>32.000000000000057</v>
      </c>
      <c r="C15" s="1">
        <f>MAX(600-0.08*$B$3,0)</f>
        <v>80</v>
      </c>
      <c r="H15" s="62">
        <v>3</v>
      </c>
      <c r="I15" s="71">
        <f t="dataTable" ref="I15:I19" dt2D="0" dtr="0" r1="B6"/>
        <v>42023.999999999985</v>
      </c>
    </row>
    <row r="16" spans="1:12" x14ac:dyDescent="0.35">
      <c r="A16" t="s">
        <v>65</v>
      </c>
      <c r="B16" s="1">
        <f>MIN(B15,40)</f>
        <v>32.000000000000057</v>
      </c>
      <c r="C16">
        <f>MIN(C15,40-B16)</f>
        <v>7.9999999999999432</v>
      </c>
      <c r="H16" s="61">
        <v>3.25</v>
      </c>
      <c r="I16" s="71">
        <v>41938.399999999987</v>
      </c>
    </row>
    <row r="17" spans="1:9" x14ac:dyDescent="0.35">
      <c r="A17" s="52" t="s">
        <v>66</v>
      </c>
      <c r="B17" s="50">
        <f>460 + (460*VLOOKUP($B$6,E5:G13,3,TRUE))</f>
        <v>489.9</v>
      </c>
      <c r="C17" s="51">
        <f>300 + (300*VLOOKUP($B$6,E5:G13,3,TRUE))</f>
        <v>319.5</v>
      </c>
      <c r="H17" s="61">
        <v>3.75</v>
      </c>
      <c r="I17" s="71">
        <v>41681.599999999999</v>
      </c>
    </row>
    <row r="18" spans="1:9" x14ac:dyDescent="0.35">
      <c r="A18" t="s">
        <v>67</v>
      </c>
      <c r="B18" s="53">
        <f>B16 * $B$3 - (B16 * $B$2 + B17*B16)</f>
        <v>32323.20000000007</v>
      </c>
      <c r="C18" s="54">
        <f>C16 * $B$3 - (C16 * $B$2 + C17*C16)</f>
        <v>9443.9999999999345</v>
      </c>
      <c r="H18" s="62">
        <v>4</v>
      </c>
      <c r="I18" s="71">
        <v>41595.999999999993</v>
      </c>
    </row>
    <row r="19" spans="1:9" x14ac:dyDescent="0.35">
      <c r="B19" s="1"/>
      <c r="H19" s="61">
        <v>4.25</v>
      </c>
      <c r="I19" s="71">
        <v>41510.399999999987</v>
      </c>
    </row>
    <row r="20" spans="1:9" x14ac:dyDescent="0.35">
      <c r="A20" t="s">
        <v>68</v>
      </c>
      <c r="B20" s="55">
        <f>SUM(B18+C18)</f>
        <v>41767.200000000004</v>
      </c>
    </row>
    <row r="22" spans="1:9" x14ac:dyDescent="0.35">
      <c r="A22" s="56" t="s">
        <v>69</v>
      </c>
    </row>
    <row r="23" spans="1:9" x14ac:dyDescent="0.35">
      <c r="A23" s="56" t="s">
        <v>70</v>
      </c>
    </row>
    <row r="24" spans="1:9" x14ac:dyDescent="0.35">
      <c r="A24" s="56" t="s">
        <v>71</v>
      </c>
    </row>
    <row r="25" spans="1:9" x14ac:dyDescent="0.35">
      <c r="A25" s="56" t="s">
        <v>72</v>
      </c>
    </row>
    <row r="26" spans="1:9" x14ac:dyDescent="0.35">
      <c r="A26" s="56" t="s">
        <v>73</v>
      </c>
    </row>
  </sheetData>
  <mergeCells count="1">
    <mergeCell ref="E2: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8D75-6756-40DD-8E2A-531425512AE2}">
  <dimension ref="A1:M23"/>
  <sheetViews>
    <sheetView topLeftCell="A4" workbookViewId="0">
      <selection activeCell="E17" sqref="E17"/>
    </sheetView>
  </sheetViews>
  <sheetFormatPr defaultRowHeight="14.5" x14ac:dyDescent="0.35"/>
  <cols>
    <col min="1" max="1" width="27" bestFit="1" customWidth="1"/>
    <col min="2" max="2" width="14.54296875" bestFit="1" customWidth="1"/>
    <col min="3" max="3" width="11.81640625" bestFit="1" customWidth="1"/>
    <col min="11" max="11" width="10.453125" bestFit="1" customWidth="1"/>
    <col min="12" max="12" width="20" bestFit="1" customWidth="1"/>
    <col min="13" max="13" width="10.453125" bestFit="1" customWidth="1"/>
  </cols>
  <sheetData>
    <row r="1" spans="1:13" x14ac:dyDescent="0.35">
      <c r="B1" s="1"/>
      <c r="C1" s="1"/>
    </row>
    <row r="2" spans="1:13" x14ac:dyDescent="0.35">
      <c r="A2" t="s">
        <v>0</v>
      </c>
      <c r="B2" s="2">
        <v>5000</v>
      </c>
      <c r="C2" s="1"/>
      <c r="E2" s="65" t="s">
        <v>1</v>
      </c>
      <c r="F2" s="65"/>
    </row>
    <row r="3" spans="1:13" x14ac:dyDescent="0.35">
      <c r="A3" t="s">
        <v>2</v>
      </c>
      <c r="B3" s="2">
        <v>6647.6255693962839</v>
      </c>
      <c r="C3" s="1"/>
      <c r="E3" s="65"/>
      <c r="F3" s="65"/>
      <c r="G3" s="3"/>
    </row>
    <row r="4" spans="1:13" ht="26" x14ac:dyDescent="0.35">
      <c r="B4" s="1"/>
      <c r="C4" s="1"/>
      <c r="E4" s="4" t="s">
        <v>3</v>
      </c>
      <c r="F4" s="4" t="s">
        <v>4</v>
      </c>
      <c r="G4" s="4" t="s">
        <v>5</v>
      </c>
    </row>
    <row r="5" spans="1:13" x14ac:dyDescent="0.35">
      <c r="A5" t="s">
        <v>6</v>
      </c>
      <c r="B5" s="5">
        <v>40</v>
      </c>
      <c r="E5" s="6">
        <v>2.61</v>
      </c>
      <c r="F5" s="6">
        <v>2.83</v>
      </c>
      <c r="G5" s="7">
        <v>4.4999999999999998E-2</v>
      </c>
      <c r="K5" s="8"/>
      <c r="L5" t="s">
        <v>7</v>
      </c>
    </row>
    <row r="6" spans="1:13" x14ac:dyDescent="0.35">
      <c r="A6" t="s">
        <v>8</v>
      </c>
      <c r="B6" s="9">
        <v>3.5</v>
      </c>
      <c r="E6" s="6">
        <v>2.83</v>
      </c>
      <c r="F6" s="6">
        <v>3.05</v>
      </c>
      <c r="G6" s="7">
        <v>0.05</v>
      </c>
      <c r="K6" s="11"/>
      <c r="L6" t="s">
        <v>9</v>
      </c>
    </row>
    <row r="7" spans="1:13" x14ac:dyDescent="0.35">
      <c r="B7" s="1"/>
      <c r="E7" s="6">
        <v>3.05</v>
      </c>
      <c r="F7" s="6">
        <v>3.27</v>
      </c>
      <c r="G7" s="7">
        <v>5.5E-2</v>
      </c>
      <c r="K7" s="10"/>
      <c r="L7" t="s">
        <v>10</v>
      </c>
    </row>
    <row r="8" spans="1:13" x14ac:dyDescent="0.35">
      <c r="A8" t="s">
        <v>11</v>
      </c>
      <c r="B8" s="1" t="s">
        <v>12</v>
      </c>
      <c r="C8" s="1" t="s">
        <v>13</v>
      </c>
      <c r="E8" s="6">
        <v>3.27</v>
      </c>
      <c r="F8" s="6">
        <v>3.49</v>
      </c>
      <c r="G8" s="7">
        <v>0.06</v>
      </c>
      <c r="K8" s="12"/>
      <c r="L8" t="s">
        <v>14</v>
      </c>
    </row>
    <row r="9" spans="1:13" x14ac:dyDescent="0.35">
      <c r="A9" t="s">
        <v>15</v>
      </c>
      <c r="B9" s="5">
        <v>500</v>
      </c>
      <c r="C9" s="5">
        <v>600</v>
      </c>
      <c r="E9" s="6">
        <v>3.49</v>
      </c>
      <c r="F9" s="6">
        <v>3.71</v>
      </c>
      <c r="G9" s="7">
        <v>6.5000000000000002E-2</v>
      </c>
    </row>
    <row r="10" spans="1:13" x14ac:dyDescent="0.35">
      <c r="A10" t="s">
        <v>16</v>
      </c>
      <c r="B10" s="5">
        <v>-7.1999999999999995E-2</v>
      </c>
      <c r="C10" s="5">
        <v>-0.08</v>
      </c>
      <c r="E10" s="6">
        <v>3.71</v>
      </c>
      <c r="F10" s="6">
        <v>3.93</v>
      </c>
      <c r="G10" s="7">
        <v>7.0000000000000007E-2</v>
      </c>
    </row>
    <row r="11" spans="1:13" x14ac:dyDescent="0.35">
      <c r="B11" s="1"/>
      <c r="E11" s="6">
        <v>3.93</v>
      </c>
      <c r="F11" s="6">
        <v>4.1500000000000004</v>
      </c>
      <c r="G11" s="7">
        <v>7.4999999999999997E-2</v>
      </c>
    </row>
    <row r="12" spans="1:13" x14ac:dyDescent="0.35">
      <c r="A12" t="s">
        <v>17</v>
      </c>
      <c r="B12" s="2">
        <v>460</v>
      </c>
      <c r="C12" s="2">
        <v>300</v>
      </c>
      <c r="E12" s="6">
        <v>4.1500000000000004</v>
      </c>
      <c r="F12" s="6">
        <v>4.37</v>
      </c>
      <c r="G12" s="7">
        <v>0.08</v>
      </c>
    </row>
    <row r="13" spans="1:13" x14ac:dyDescent="0.35">
      <c r="B13" s="1"/>
      <c r="C13" s="1"/>
      <c r="E13" s="6">
        <v>4.37</v>
      </c>
      <c r="F13" s="6">
        <v>4.59</v>
      </c>
      <c r="G13" s="58">
        <v>8.5000000000000006E-2</v>
      </c>
      <c r="H13" s="66"/>
      <c r="I13" s="67"/>
      <c r="J13" s="67"/>
      <c r="K13" s="67"/>
      <c r="L13" s="67"/>
      <c r="M13" s="66"/>
    </row>
    <row r="14" spans="1:13" x14ac:dyDescent="0.35">
      <c r="B14" s="1"/>
      <c r="H14" s="66"/>
      <c r="I14" s="66"/>
      <c r="J14" s="66"/>
      <c r="K14" s="66"/>
      <c r="L14" s="66"/>
      <c r="M14" s="66"/>
    </row>
    <row r="15" spans="1:13" x14ac:dyDescent="0.35">
      <c r="A15" t="s">
        <v>64</v>
      </c>
      <c r="B15" s="1">
        <f>MAX(500-0.072*$B$3,0)</f>
        <v>21.37095900346759</v>
      </c>
      <c r="C15" s="1">
        <f>MAX(600-0.08*$B$3,0)</f>
        <v>68.189954448297271</v>
      </c>
      <c r="H15" s="66"/>
      <c r="I15" s="66"/>
      <c r="J15" s="66"/>
      <c r="K15" s="68"/>
      <c r="L15" s="68"/>
      <c r="M15" s="68"/>
    </row>
    <row r="16" spans="1:13" x14ac:dyDescent="0.35">
      <c r="A16" t="s">
        <v>65</v>
      </c>
      <c r="B16" s="1">
        <f>MIN(B15,40)</f>
        <v>21.37095900346759</v>
      </c>
      <c r="C16">
        <f>MIN(C15,40-B16)</f>
        <v>18.62904099653241</v>
      </c>
      <c r="H16" s="66"/>
      <c r="I16" s="66"/>
      <c r="J16" s="66"/>
      <c r="K16" s="68"/>
      <c r="L16" s="68"/>
      <c r="M16" s="68"/>
    </row>
    <row r="17" spans="1:13" x14ac:dyDescent="0.35">
      <c r="A17" s="52" t="s">
        <v>66</v>
      </c>
      <c r="B17" s="50">
        <f>460 + (460*VLOOKUP($B$6,E5:G13,3,TRUE))</f>
        <v>489.9</v>
      </c>
      <c r="C17" s="51">
        <f>300 + (300*VLOOKUP($B$6,E5:G13,3,TRUE))</f>
        <v>319.5</v>
      </c>
      <c r="E17" t="s">
        <v>76</v>
      </c>
      <c r="H17" s="72"/>
      <c r="I17" s="72"/>
      <c r="J17" s="72"/>
      <c r="K17" s="73"/>
      <c r="L17" s="73"/>
      <c r="M17" s="73"/>
    </row>
    <row r="18" spans="1:13" x14ac:dyDescent="0.35">
      <c r="A18" t="s">
        <v>67</v>
      </c>
      <c r="B18" s="53">
        <f>B16 * $B$3 - (B16 * $B$2 + B17*B16)</f>
        <v>24741.705680834159</v>
      </c>
      <c r="C18" s="54">
        <f>C16 * $B$3 - (C16 * $B$2 + C17*C16)</f>
        <v>24741.70568082633</v>
      </c>
      <c r="H18" s="74"/>
      <c r="I18" s="74"/>
      <c r="J18" s="74"/>
      <c r="K18" s="75"/>
      <c r="L18" s="75"/>
      <c r="M18" s="75"/>
    </row>
    <row r="19" spans="1:13" x14ac:dyDescent="0.35">
      <c r="B19" s="1"/>
      <c r="H19" s="74"/>
      <c r="I19" s="74"/>
      <c r="J19" s="74"/>
      <c r="K19" s="75"/>
      <c r="L19" s="75"/>
      <c r="M19" s="75"/>
    </row>
    <row r="20" spans="1:13" x14ac:dyDescent="0.35">
      <c r="A20" t="s">
        <v>68</v>
      </c>
      <c r="B20" s="55">
        <f>SUM(B18+C18)</f>
        <v>49483.411361660488</v>
      </c>
    </row>
    <row r="22" spans="1:13" x14ac:dyDescent="0.35">
      <c r="A22" t="s">
        <v>75</v>
      </c>
      <c r="B22" s="51">
        <f>B18-C18</f>
        <v>7.8289303928613663E-9</v>
      </c>
    </row>
    <row r="23" spans="1:13" x14ac:dyDescent="0.35">
      <c r="B23" s="57"/>
    </row>
  </sheetData>
  <mergeCells count="3">
    <mergeCell ref="E2:F3"/>
    <mergeCell ref="I13:J13"/>
    <mergeCell ref="K13:L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96C6-1B6D-4996-AA02-DA2959043EEC}">
  <dimension ref="A1:N18"/>
  <sheetViews>
    <sheetView workbookViewId="0">
      <selection activeCell="H7" sqref="H7:H14"/>
    </sheetView>
  </sheetViews>
  <sheetFormatPr defaultRowHeight="14.5" x14ac:dyDescent="0.35"/>
  <cols>
    <col min="2" max="2" width="9.36328125" bestFit="1" customWidth="1"/>
    <col min="3" max="3" width="10.1796875" bestFit="1" customWidth="1"/>
    <col min="4" max="4" width="12.54296875" bestFit="1" customWidth="1"/>
    <col min="5" max="5" width="8.90625" bestFit="1" customWidth="1"/>
    <col min="6" max="6" width="13.26953125" bestFit="1" customWidth="1"/>
    <col min="7" max="7" width="14.08984375" bestFit="1" customWidth="1"/>
    <col min="8" max="8" width="17.08984375" bestFit="1" customWidth="1"/>
    <col min="10" max="10" width="10.453125" bestFit="1" customWidth="1"/>
    <col min="12" max="12" width="18.1796875" bestFit="1" customWidth="1"/>
  </cols>
  <sheetData>
    <row r="1" spans="1:14" x14ac:dyDescent="0.35">
      <c r="A1" t="s">
        <v>77</v>
      </c>
      <c r="B1" t="s">
        <v>78</v>
      </c>
      <c r="C1" t="s">
        <v>79</v>
      </c>
      <c r="D1" t="s">
        <v>80</v>
      </c>
      <c r="E1" t="s">
        <v>81</v>
      </c>
      <c r="F1" t="s">
        <v>82</v>
      </c>
      <c r="G1" t="s">
        <v>83</v>
      </c>
      <c r="H1" t="s">
        <v>86</v>
      </c>
      <c r="I1" t="s">
        <v>84</v>
      </c>
      <c r="J1" t="s">
        <v>67</v>
      </c>
      <c r="K1" t="s">
        <v>85</v>
      </c>
      <c r="L1" t="s">
        <v>87</v>
      </c>
      <c r="M1" t="s">
        <v>108</v>
      </c>
      <c r="N1" t="s">
        <v>109</v>
      </c>
    </row>
    <row r="2" spans="1:14" x14ac:dyDescent="0.35">
      <c r="A2" s="57">
        <v>7000</v>
      </c>
      <c r="B2">
        <f>MAX(500 - 0.072 * A2, 0)</f>
        <v>0</v>
      </c>
      <c r="C2">
        <f>MAX(600 - 0.08 * A2, 0)</f>
        <v>40</v>
      </c>
      <c r="D2">
        <f>SUM(B2+C2)</f>
        <v>40</v>
      </c>
      <c r="E2" s="57">
        <f>A2 * MIN(40, B2 + C2)</f>
        <v>280000</v>
      </c>
      <c r="F2" s="51">
        <f>460+ (460 * VLOOKUP(K2, D10:F18, 3, TRUE))</f>
        <v>492.2</v>
      </c>
      <c r="G2" s="51">
        <f>300+ (300 * VLOOKUP(K2, D10:F18, 3, TRUE))</f>
        <v>321</v>
      </c>
      <c r="H2" s="51">
        <f>(F2 * MIN(40, B2)) + (G2 * MAX(0, MIN(40, C2) - MIN(40, B2)))</f>
        <v>12840</v>
      </c>
      <c r="I2">
        <f>5000 * MIN(40, B2 + C2)</f>
        <v>200000</v>
      </c>
      <c r="J2" s="51">
        <f>E2-H2-I2</f>
        <v>67160</v>
      </c>
      <c r="K2" s="76">
        <v>3.75</v>
      </c>
      <c r="L2">
        <f>MIN(B2, 40) + MAX(0, MIN(C2, 40 - MIN(B2, 40)))</f>
        <v>40</v>
      </c>
      <c r="M2">
        <f>MIN(B2,40)</f>
        <v>0</v>
      </c>
      <c r="N2">
        <f>MIN(C2,40-M2)</f>
        <v>40</v>
      </c>
    </row>
    <row r="3" spans="1:14" x14ac:dyDescent="0.35">
      <c r="A3" s="57"/>
      <c r="E3" s="57"/>
      <c r="F3" s="51"/>
      <c r="G3" s="51"/>
      <c r="H3" s="51"/>
      <c r="J3" s="63"/>
    </row>
    <row r="7" spans="1:14" x14ac:dyDescent="0.35">
      <c r="D7" s="65" t="s">
        <v>1</v>
      </c>
      <c r="E7" s="65"/>
      <c r="H7" t="s">
        <v>94</v>
      </c>
    </row>
    <row r="8" spans="1:14" x14ac:dyDescent="0.35">
      <c r="D8" s="65"/>
      <c r="E8" s="65"/>
      <c r="F8" s="3"/>
    </row>
    <row r="9" spans="1:14" ht="39" customHeight="1" x14ac:dyDescent="0.35">
      <c r="D9" s="4" t="s">
        <v>3</v>
      </c>
      <c r="E9" s="4" t="s">
        <v>4</v>
      </c>
      <c r="F9" s="4" t="s">
        <v>5</v>
      </c>
      <c r="H9" t="s">
        <v>88</v>
      </c>
    </row>
    <row r="10" spans="1:14" x14ac:dyDescent="0.35">
      <c r="D10" s="6">
        <v>2.61</v>
      </c>
      <c r="E10" s="6">
        <v>2.83</v>
      </c>
      <c r="F10" s="7">
        <v>4.4999999999999998E-2</v>
      </c>
      <c r="H10" t="s">
        <v>89</v>
      </c>
    </row>
    <row r="11" spans="1:14" x14ac:dyDescent="0.35">
      <c r="D11" s="6">
        <v>2.83</v>
      </c>
      <c r="E11" s="6">
        <v>3.05</v>
      </c>
      <c r="F11" s="7">
        <v>0.05</v>
      </c>
      <c r="H11" t="s">
        <v>90</v>
      </c>
    </row>
    <row r="12" spans="1:14" x14ac:dyDescent="0.35">
      <c r="D12" s="6">
        <v>3.05</v>
      </c>
      <c r="E12" s="6">
        <v>3.27</v>
      </c>
      <c r="F12" s="7">
        <v>5.5E-2</v>
      </c>
      <c r="H12" t="s">
        <v>91</v>
      </c>
    </row>
    <row r="13" spans="1:14" x14ac:dyDescent="0.35">
      <c r="D13" s="6">
        <v>3.27</v>
      </c>
      <c r="E13" s="6">
        <v>3.49</v>
      </c>
      <c r="F13" s="7">
        <v>0.06</v>
      </c>
      <c r="H13" t="s">
        <v>92</v>
      </c>
    </row>
    <row r="14" spans="1:14" x14ac:dyDescent="0.35">
      <c r="D14" s="6">
        <v>3.49</v>
      </c>
      <c r="E14" s="6">
        <v>3.71</v>
      </c>
      <c r="F14" s="7">
        <v>6.5000000000000002E-2</v>
      </c>
      <c r="H14" t="s">
        <v>93</v>
      </c>
    </row>
    <row r="15" spans="1:14" x14ac:dyDescent="0.35">
      <c r="D15" s="6">
        <v>3.71</v>
      </c>
      <c r="E15" s="6">
        <v>3.93</v>
      </c>
      <c r="F15" s="7">
        <v>7.0000000000000007E-2</v>
      </c>
    </row>
    <row r="16" spans="1:14" x14ac:dyDescent="0.35">
      <c r="D16" s="6">
        <v>3.93</v>
      </c>
      <c r="E16" s="6">
        <v>4.1500000000000004</v>
      </c>
      <c r="F16" s="7">
        <v>7.4999999999999997E-2</v>
      </c>
    </row>
    <row r="17" spans="4:6" x14ac:dyDescent="0.35">
      <c r="D17" s="6">
        <v>4.1500000000000004</v>
      </c>
      <c r="E17" s="6">
        <v>4.37</v>
      </c>
      <c r="F17" s="7">
        <v>0.08</v>
      </c>
    </row>
    <row r="18" spans="4:6" x14ac:dyDescent="0.35">
      <c r="D18" s="6">
        <v>4.37</v>
      </c>
      <c r="E18" s="6">
        <v>4.59</v>
      </c>
      <c r="F18" s="58">
        <v>8.5000000000000006E-2</v>
      </c>
    </row>
  </sheetData>
  <mergeCells count="1">
    <mergeCell ref="D7:E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9929-01C9-4F98-B5E2-B7A721748551}">
  <dimension ref="A1:I19"/>
  <sheetViews>
    <sheetView tabSelected="1" topLeftCell="A3" workbookViewId="0">
      <selection activeCell="D18" sqref="D18"/>
    </sheetView>
  </sheetViews>
  <sheetFormatPr defaultRowHeight="14.5" x14ac:dyDescent="0.35"/>
  <cols>
    <col min="1" max="1" width="16.36328125" bestFit="1" customWidth="1"/>
    <col min="2" max="2" width="11.453125" bestFit="1" customWidth="1"/>
  </cols>
  <sheetData>
    <row r="1" spans="1:9" x14ac:dyDescent="0.35">
      <c r="A1" t="s">
        <v>85</v>
      </c>
      <c r="B1" s="51">
        <v>3.5</v>
      </c>
      <c r="G1" s="65" t="s">
        <v>1</v>
      </c>
      <c r="H1" s="65"/>
    </row>
    <row r="2" spans="1:9" x14ac:dyDescent="0.35">
      <c r="A2" t="s">
        <v>95</v>
      </c>
      <c r="B2" s="77">
        <v>7427.2476041585878</v>
      </c>
      <c r="G2" s="65"/>
      <c r="H2" s="65"/>
      <c r="I2" s="3"/>
    </row>
    <row r="3" spans="1:9" ht="26" x14ac:dyDescent="0.35">
      <c r="A3" t="s">
        <v>96</v>
      </c>
      <c r="B3" s="77">
        <v>6999.9924060083158</v>
      </c>
      <c r="G3" s="4" t="s">
        <v>3</v>
      </c>
      <c r="H3" s="4" t="s">
        <v>4</v>
      </c>
      <c r="I3" s="4" t="s">
        <v>5</v>
      </c>
    </row>
    <row r="4" spans="1:9" x14ac:dyDescent="0.35">
      <c r="A4" t="s">
        <v>78</v>
      </c>
      <c r="B4">
        <f>MAX(500 - 0.072 * B2, 0)</f>
        <v>0</v>
      </c>
      <c r="G4" s="6">
        <v>2.61</v>
      </c>
      <c r="H4" s="6">
        <v>2.83</v>
      </c>
      <c r="I4" s="7">
        <v>4.4999999999999998E-2</v>
      </c>
    </row>
    <row r="5" spans="1:9" x14ac:dyDescent="0.35">
      <c r="A5" t="s">
        <v>79</v>
      </c>
      <c r="B5" s="64">
        <f>MAX(600 - 0.08 * B3, 0)</f>
        <v>40.000607519334721</v>
      </c>
      <c r="G5" s="6">
        <v>2.83</v>
      </c>
      <c r="H5" s="6">
        <v>3.05</v>
      </c>
      <c r="I5" s="7">
        <v>0.05</v>
      </c>
    </row>
    <row r="6" spans="1:9" x14ac:dyDescent="0.35">
      <c r="A6" t="s">
        <v>102</v>
      </c>
      <c r="B6">
        <f>SUM(B4+B5)</f>
        <v>40.000607519334721</v>
      </c>
      <c r="G6" s="6">
        <v>3.05</v>
      </c>
      <c r="H6" s="6">
        <v>3.27</v>
      </c>
      <c r="I6" s="7">
        <v>5.5E-2</v>
      </c>
    </row>
    <row r="7" spans="1:9" x14ac:dyDescent="0.35">
      <c r="A7" t="s">
        <v>97</v>
      </c>
      <c r="B7" s="51">
        <f>460+ (460 * VLOOKUP(B1, G4:I12, 3, TRUE))</f>
        <v>489.9</v>
      </c>
      <c r="G7" s="6">
        <v>3.27</v>
      </c>
      <c r="H7" s="6">
        <v>3.49</v>
      </c>
      <c r="I7" s="7">
        <v>0.06</v>
      </c>
    </row>
    <row r="8" spans="1:9" x14ac:dyDescent="0.35">
      <c r="A8" t="s">
        <v>98</v>
      </c>
      <c r="B8" s="51">
        <f>300+ (300 * VLOOKUP(B1, G4:I12, 3, TRUE))</f>
        <v>319.5</v>
      </c>
      <c r="G8" s="6">
        <v>3.49</v>
      </c>
      <c r="H8" s="6">
        <v>3.71</v>
      </c>
      <c r="I8" s="7">
        <v>6.5000000000000002E-2</v>
      </c>
    </row>
    <row r="9" spans="1:9" x14ac:dyDescent="0.35">
      <c r="G9" s="6">
        <v>3.71</v>
      </c>
      <c r="H9" s="6">
        <v>3.93</v>
      </c>
      <c r="I9" s="7">
        <v>7.0000000000000007E-2</v>
      </c>
    </row>
    <row r="10" spans="1:9" x14ac:dyDescent="0.35">
      <c r="A10" t="s">
        <v>101</v>
      </c>
      <c r="B10">
        <f>MIN(B4, 40) + MAX(0, MIN(B5, 40 - MIN(B4, 40)))</f>
        <v>40</v>
      </c>
      <c r="G10" s="6">
        <v>3.93</v>
      </c>
      <c r="H10" s="6">
        <v>4.1500000000000004</v>
      </c>
      <c r="I10" s="7">
        <v>7.4999999999999997E-2</v>
      </c>
    </row>
    <row r="11" spans="1:9" x14ac:dyDescent="0.35">
      <c r="G11" s="6">
        <v>4.1500000000000004</v>
      </c>
      <c r="H11" s="6">
        <v>4.37</v>
      </c>
      <c r="I11" s="7">
        <v>0.08</v>
      </c>
    </row>
    <row r="12" spans="1:9" x14ac:dyDescent="0.35">
      <c r="A12" t="s">
        <v>99</v>
      </c>
      <c r="B12" s="51">
        <f>B2*MIN(B4,40) + B3*MAX(MIN(B5, 40 - MIN(B4, 40)), 0)</f>
        <v>279999.69624033262</v>
      </c>
      <c r="G12" s="6">
        <v>4.37</v>
      </c>
      <c r="H12" s="6">
        <v>4.59</v>
      </c>
      <c r="I12" s="58">
        <v>8.5000000000000006E-2</v>
      </c>
    </row>
    <row r="13" spans="1:9" x14ac:dyDescent="0.35">
      <c r="A13" t="s">
        <v>84</v>
      </c>
      <c r="B13">
        <f>5000*MIN(B4+B5,40)</f>
        <v>200000</v>
      </c>
    </row>
    <row r="14" spans="1:9" x14ac:dyDescent="0.35">
      <c r="A14" t="s">
        <v>100</v>
      </c>
      <c r="B14" s="51">
        <f>(B7 * MIN(B4, 40)) + (B8 * MAX(MIN(B5, 40 - MIN(B4, 40)), 0))</f>
        <v>12780</v>
      </c>
      <c r="E14" t="s">
        <v>106</v>
      </c>
    </row>
    <row r="15" spans="1:9" x14ac:dyDescent="0.35">
      <c r="A15" t="s">
        <v>68</v>
      </c>
      <c r="B15" s="77">
        <f>B12-B13-B14</f>
        <v>67219.696240332618</v>
      </c>
    </row>
    <row r="16" spans="1:9" x14ac:dyDescent="0.35">
      <c r="A16" t="s">
        <v>108</v>
      </c>
      <c r="B16">
        <f>MIN(B4,40)</f>
        <v>0</v>
      </c>
      <c r="E16" t="s">
        <v>107</v>
      </c>
    </row>
    <row r="17" spans="1:5" x14ac:dyDescent="0.35">
      <c r="A17" t="s">
        <v>110</v>
      </c>
      <c r="B17" s="64">
        <f>MIN(B5,40-B16)</f>
        <v>40</v>
      </c>
      <c r="E17" t="s">
        <v>103</v>
      </c>
    </row>
    <row r="18" spans="1:5" x14ac:dyDescent="0.35">
      <c r="E18" t="s">
        <v>104</v>
      </c>
    </row>
    <row r="19" spans="1:5" x14ac:dyDescent="0.35">
      <c r="E19" t="s">
        <v>105</v>
      </c>
    </row>
  </sheetData>
  <mergeCells count="1">
    <mergeCell ref="G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Problem 1 - Data</vt:lpstr>
      <vt:lpstr>Naive forecast</vt:lpstr>
      <vt:lpstr>Moving avg n -3</vt:lpstr>
      <vt:lpstr>weighted avg</vt:lpstr>
      <vt:lpstr>Exp smotng</vt:lpstr>
      <vt:lpstr>Linear </vt:lpstr>
      <vt:lpstr>LR </vt:lpstr>
      <vt:lpstr>Problem 2 - Solution Q1</vt:lpstr>
      <vt:lpstr>q2 Solution</vt:lpstr>
      <vt:lpstr>q3 solution</vt:lpstr>
      <vt:lpstr>q4 solution</vt:lpstr>
      <vt:lpstr>q5 solution</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Andrei Iancu</dc:creator>
  <cp:lastModifiedBy>abhishek arya</cp:lastModifiedBy>
  <dcterms:created xsi:type="dcterms:W3CDTF">2015-09-26T00:04:23Z</dcterms:created>
  <dcterms:modified xsi:type="dcterms:W3CDTF">2024-02-19T01:06:57Z</dcterms:modified>
</cp:coreProperties>
</file>