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omments4.xml" ContentType="application/vnd.openxmlformats-officedocument.spreadsheetml.comments+xml"/>
  <Override PartName="/xl/drawings/drawing3.xml" ContentType="application/vnd.openxmlformats-officedocument.drawing+xml"/>
  <Override PartName="/xl/comments5.xml" ContentType="application/vnd.openxmlformats-officedocument.spreadsheetml.comments+xml"/>
  <Override PartName="/xl/drawings/drawing4.xml" ContentType="application/vnd.openxmlformats-officedocument.drawing+xml"/>
  <Override PartName="/xl/comments6.xml" ContentType="application/vnd.openxmlformats-officedocument.spreadsheetml.comments+xml"/>
  <Override PartName="/xl/drawings/drawing5.xml" ContentType="application/vnd.openxmlformats-officedocument.drawing+xml"/>
  <Override PartName="/xl/comments7.xml" ContentType="application/vnd.openxmlformats-officedocument.spreadsheetml.comments+xml"/>
  <Override PartName="/xl/drawings/drawing6.xml" ContentType="application/vnd.openxmlformats-officedocument.drawing+xml"/>
  <Override PartName="/xl/comments8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2e65d6d73070849b/Desktop/Master Excel Budget Ketidakpastian/Suhu/"/>
    </mc:Choice>
  </mc:AlternateContent>
  <xr:revisionPtr revIDLastSave="625" documentId="13_ncr:1_{545FAB43-2CEC-4A41-A707-145BD4E3C036}" xr6:coauthVersionLast="47" xr6:coauthVersionMax="47" xr10:uidLastSave="{475CC0F1-AE76-446C-BFCA-EDE146198D17}"/>
  <bookViews>
    <workbookView xWindow="-108" yWindow="-108" windowWidth="23256" windowHeight="12456" tabRatio="780" xr2:uid="{895A55F2-5440-4927-94B8-6B8506DB3A63}"/>
  </bookViews>
  <sheets>
    <sheet name="Sertifikat" sheetId="12" r:id="rId1"/>
    <sheet name="Data" sheetId="2" r:id="rId2"/>
    <sheet name="Sheet1" sheetId="13" r:id="rId3"/>
    <sheet name="Kor&amp;U95% VAC" sheetId="4" r:id="rId4"/>
    <sheet name="Kor&amp;U95% VDC" sheetId="3" r:id="rId5"/>
    <sheet name="Kor&amp;U95% IDC" sheetId="5" r:id="rId6"/>
    <sheet name="Kor&amp;U95% IAC" sheetId="11" r:id="rId7"/>
    <sheet name="Kor&amp;U95% R" sheetId="6" r:id="rId8"/>
    <sheet name="24_THM A21011892" sheetId="10" r:id="rId9"/>
    <sheet name="Database " sheetId="14" r:id="rId10"/>
  </sheets>
  <definedNames>
    <definedName name="_xlnm.Print_Area" localSheetId="0">Sertifikat!$A$1:$AB$201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8" i="2" l="1"/>
  <c r="C146" i="2"/>
  <c r="C145" i="2"/>
  <c r="C144" i="2"/>
  <c r="C142" i="2"/>
  <c r="C141" i="2"/>
  <c r="C140" i="2"/>
  <c r="C138" i="2"/>
  <c r="C137" i="2"/>
  <c r="C136" i="2"/>
  <c r="C134" i="2"/>
  <c r="C133" i="2"/>
  <c r="C132" i="2"/>
  <c r="C130" i="2"/>
  <c r="C129" i="2"/>
  <c r="C128" i="2"/>
  <c r="C125" i="13"/>
  <c r="C123" i="13"/>
  <c r="C122" i="13"/>
  <c r="C121" i="13"/>
  <c r="C119" i="13"/>
  <c r="C118" i="13"/>
  <c r="C117" i="13"/>
  <c r="C115" i="13"/>
  <c r="C114" i="13"/>
  <c r="C113" i="13"/>
  <c r="C111" i="13"/>
  <c r="C110" i="13"/>
  <c r="C109" i="13"/>
  <c r="C107" i="13"/>
  <c r="C106" i="13"/>
  <c r="C105" i="13"/>
  <c r="B7" i="13"/>
  <c r="F188" i="5"/>
  <c r="F174" i="5"/>
  <c r="F160" i="5"/>
  <c r="F146" i="5"/>
  <c r="F132" i="5"/>
  <c r="F118" i="5"/>
  <c r="F104" i="5"/>
  <c r="F90" i="5"/>
  <c r="F76" i="5"/>
  <c r="F62" i="5"/>
  <c r="F49" i="5"/>
  <c r="F48" i="5"/>
  <c r="F34" i="5"/>
  <c r="F12" i="5"/>
  <c r="F13" i="5"/>
  <c r="F11" i="5"/>
  <c r="F9" i="5"/>
  <c r="F10" i="5"/>
  <c r="F8" i="5"/>
  <c r="F6" i="5"/>
  <c r="F7" i="5"/>
  <c r="F5" i="5"/>
  <c r="F3" i="5"/>
  <c r="F4" i="5"/>
  <c r="F2" i="5"/>
  <c r="G6" i="5"/>
  <c r="G7" i="5"/>
  <c r="G5" i="5"/>
  <c r="G3" i="5"/>
  <c r="G4" i="5"/>
  <c r="G2" i="5"/>
  <c r="H12" i="11"/>
  <c r="H13" i="11"/>
  <c r="H11" i="11"/>
  <c r="V24" i="5"/>
  <c r="V23" i="5"/>
  <c r="V22" i="5"/>
  <c r="C11" i="5"/>
  <c r="D10" i="5"/>
  <c r="C5" i="5"/>
  <c r="C4" i="5"/>
  <c r="B11" i="5"/>
  <c r="A11" i="5"/>
  <c r="B8" i="5"/>
  <c r="A8" i="5"/>
  <c r="B5" i="5"/>
  <c r="A5" i="5"/>
  <c r="B2" i="5"/>
  <c r="A2" i="5"/>
  <c r="P121" i="2"/>
  <c r="D121" i="2" s="1"/>
  <c r="C121" i="2"/>
  <c r="P120" i="2"/>
  <c r="D120" i="2" s="1"/>
  <c r="C120" i="2"/>
  <c r="P119" i="2"/>
  <c r="D119" i="2" s="1"/>
  <c r="C119" i="2"/>
  <c r="P117" i="2"/>
  <c r="D117" i="2" s="1"/>
  <c r="D13" i="5" s="1"/>
  <c r="C117" i="2"/>
  <c r="C13" i="5" s="1"/>
  <c r="P116" i="2"/>
  <c r="D116" i="2"/>
  <c r="D12" i="5" s="1"/>
  <c r="C116" i="2"/>
  <c r="C12" i="5" s="1"/>
  <c r="P115" i="2"/>
  <c r="D115" i="2"/>
  <c r="D11" i="5" s="1"/>
  <c r="C115" i="2"/>
  <c r="P113" i="2"/>
  <c r="D113" i="2" s="1"/>
  <c r="C113" i="2"/>
  <c r="C10" i="5" s="1"/>
  <c r="P112" i="2"/>
  <c r="D112" i="2"/>
  <c r="D9" i="5" s="1"/>
  <c r="C112" i="2"/>
  <c r="C9" i="5" s="1"/>
  <c r="P111" i="2"/>
  <c r="D111" i="2" s="1"/>
  <c r="D8" i="5" s="1"/>
  <c r="C111" i="2"/>
  <c r="C8" i="5" s="1"/>
  <c r="P109" i="2"/>
  <c r="D109" i="2"/>
  <c r="D7" i="5" s="1"/>
  <c r="C109" i="2"/>
  <c r="C7" i="5" s="1"/>
  <c r="P108" i="2"/>
  <c r="D108" i="2"/>
  <c r="D6" i="5" s="1"/>
  <c r="C108" i="2"/>
  <c r="C6" i="5" s="1"/>
  <c r="P107" i="2"/>
  <c r="D107" i="2" s="1"/>
  <c r="D5" i="5" s="1"/>
  <c r="C107" i="2"/>
  <c r="P105" i="2"/>
  <c r="D105" i="2" s="1"/>
  <c r="D4" i="5" s="1"/>
  <c r="C105" i="2"/>
  <c r="P104" i="2"/>
  <c r="D104" i="2"/>
  <c r="D3" i="5" s="1"/>
  <c r="C104" i="2"/>
  <c r="C3" i="5" s="1"/>
  <c r="P103" i="2"/>
  <c r="D103" i="2" s="1"/>
  <c r="D2" i="5" s="1"/>
  <c r="C103" i="2"/>
  <c r="C2" i="5" s="1"/>
  <c r="P97" i="13"/>
  <c r="P90" i="2"/>
  <c r="D94" i="2" s="1"/>
  <c r="P93" i="13"/>
  <c r="D94" i="13"/>
  <c r="D95" i="13"/>
  <c r="D93" i="13"/>
  <c r="D90" i="13"/>
  <c r="D91" i="13"/>
  <c r="D89" i="13"/>
  <c r="D86" i="13"/>
  <c r="D87" i="13"/>
  <c r="D85" i="13"/>
  <c r="D82" i="13"/>
  <c r="D83" i="13"/>
  <c r="D81" i="13"/>
  <c r="C95" i="13"/>
  <c r="C94" i="13"/>
  <c r="C93" i="13"/>
  <c r="C91" i="13"/>
  <c r="C90" i="13"/>
  <c r="C89" i="13"/>
  <c r="C87" i="13"/>
  <c r="C86" i="13"/>
  <c r="C85" i="13"/>
  <c r="C83" i="13"/>
  <c r="C82" i="13"/>
  <c r="C81" i="13"/>
  <c r="C99" i="13"/>
  <c r="C98" i="13"/>
  <c r="C97" i="13"/>
  <c r="P99" i="13"/>
  <c r="P98" i="13"/>
  <c r="P95" i="13"/>
  <c r="P94" i="13"/>
  <c r="P91" i="13"/>
  <c r="P90" i="13"/>
  <c r="P89" i="13"/>
  <c r="P87" i="13"/>
  <c r="P86" i="13"/>
  <c r="P85" i="13"/>
  <c r="P83" i="13"/>
  <c r="P82" i="13"/>
  <c r="P81" i="13"/>
  <c r="C82" i="2"/>
  <c r="E5" i="11" s="1"/>
  <c r="C83" i="2"/>
  <c r="E6" i="11" s="1"/>
  <c r="C84" i="2"/>
  <c r="E7" i="11" s="1"/>
  <c r="H188" i="11"/>
  <c r="H174" i="11"/>
  <c r="H160" i="11"/>
  <c r="H146" i="11"/>
  <c r="H132" i="11"/>
  <c r="H118" i="11"/>
  <c r="H104" i="11"/>
  <c r="H90" i="11"/>
  <c r="H76" i="11"/>
  <c r="H62" i="11"/>
  <c r="H48" i="11"/>
  <c r="H34" i="11"/>
  <c r="H9" i="11"/>
  <c r="H10" i="11"/>
  <c r="H8" i="11"/>
  <c r="H6" i="11"/>
  <c r="H7" i="11"/>
  <c r="H5" i="11"/>
  <c r="H3" i="11"/>
  <c r="H4" i="11"/>
  <c r="H2" i="11"/>
  <c r="D11" i="11"/>
  <c r="D12" i="11" s="1"/>
  <c r="C11" i="11"/>
  <c r="C13" i="11" s="1"/>
  <c r="S34" i="11" s="1"/>
  <c r="D8" i="11"/>
  <c r="D10" i="11" s="1"/>
  <c r="C8" i="11"/>
  <c r="C9" i="11" s="1"/>
  <c r="C10" i="11" s="1"/>
  <c r="S31" i="11" s="1"/>
  <c r="C2" i="11"/>
  <c r="S23" i="11" s="1"/>
  <c r="C92" i="2"/>
  <c r="E13" i="11" s="1"/>
  <c r="C91" i="2"/>
  <c r="E12" i="11" s="1"/>
  <c r="C90" i="2"/>
  <c r="E11" i="11" s="1"/>
  <c r="S32" i="11" l="1"/>
  <c r="C12" i="11"/>
  <c r="S33" i="11" s="1"/>
  <c r="S30" i="11"/>
  <c r="S29" i="11"/>
  <c r="D13" i="11"/>
  <c r="D9" i="11"/>
  <c r="D5" i="11" l="1"/>
  <c r="D6" i="11" s="1"/>
  <c r="C5" i="11"/>
  <c r="D2" i="11"/>
  <c r="D3" i="11" s="1"/>
  <c r="D4" i="11" s="1"/>
  <c r="C3" i="11"/>
  <c r="B11" i="11"/>
  <c r="A11" i="11"/>
  <c r="B8" i="11"/>
  <c r="A8" i="11"/>
  <c r="B5" i="11"/>
  <c r="A5" i="11"/>
  <c r="B2" i="11"/>
  <c r="A2" i="11"/>
  <c r="P96" i="2"/>
  <c r="C96" i="2"/>
  <c r="P95" i="2"/>
  <c r="C95" i="2"/>
  <c r="P94" i="2"/>
  <c r="C94" i="2"/>
  <c r="P92" i="2"/>
  <c r="D96" i="2" s="1"/>
  <c r="P91" i="2"/>
  <c r="D95" i="2" s="1"/>
  <c r="P88" i="2"/>
  <c r="D92" i="2" s="1"/>
  <c r="F13" i="11" s="1"/>
  <c r="C88" i="2"/>
  <c r="E10" i="11" s="1"/>
  <c r="P87" i="2"/>
  <c r="C87" i="2"/>
  <c r="E9" i="11" s="1"/>
  <c r="P86" i="2"/>
  <c r="C86" i="2"/>
  <c r="E8" i="11" s="1"/>
  <c r="P84" i="2"/>
  <c r="D84" i="2" s="1"/>
  <c r="F7" i="11" s="1"/>
  <c r="P83" i="2"/>
  <c r="D83" i="2" s="1"/>
  <c r="F6" i="11" s="1"/>
  <c r="P82" i="2"/>
  <c r="D82" i="2" s="1"/>
  <c r="F5" i="11" s="1"/>
  <c r="P80" i="2"/>
  <c r="D80" i="2" s="1"/>
  <c r="F4" i="11" s="1"/>
  <c r="C80" i="2"/>
  <c r="E4" i="11" s="1"/>
  <c r="P79" i="2"/>
  <c r="D79" i="2" s="1"/>
  <c r="F3" i="11" s="1"/>
  <c r="C79" i="2"/>
  <c r="E3" i="11" s="1"/>
  <c r="P78" i="2"/>
  <c r="D78" i="2" s="1"/>
  <c r="F2" i="11" s="1"/>
  <c r="C78" i="2"/>
  <c r="E2" i="11" s="1"/>
  <c r="P74" i="13"/>
  <c r="P71" i="13"/>
  <c r="P70" i="13"/>
  <c r="P69" i="13"/>
  <c r="P67" i="13"/>
  <c r="D67" i="13" s="1"/>
  <c r="P66" i="13"/>
  <c r="P65" i="13"/>
  <c r="P63" i="13"/>
  <c r="D63" i="13" s="1"/>
  <c r="P62" i="13"/>
  <c r="D62" i="13" s="1"/>
  <c r="P61" i="13"/>
  <c r="D61" i="13" s="1"/>
  <c r="P59" i="13"/>
  <c r="D59" i="13" s="1"/>
  <c r="P58" i="13"/>
  <c r="P57" i="13"/>
  <c r="D57" i="13" s="1"/>
  <c r="P75" i="13"/>
  <c r="C57" i="13"/>
  <c r="D66" i="13"/>
  <c r="D65" i="13"/>
  <c r="U65" i="13"/>
  <c r="U66" i="13"/>
  <c r="U67" i="13"/>
  <c r="U68" i="13"/>
  <c r="U69" i="13"/>
  <c r="U70" i="13"/>
  <c r="U71" i="13"/>
  <c r="U58" i="13"/>
  <c r="U59" i="13"/>
  <c r="U60" i="13"/>
  <c r="U61" i="13"/>
  <c r="U62" i="13"/>
  <c r="U63" i="13"/>
  <c r="U64" i="13"/>
  <c r="U57" i="13"/>
  <c r="C59" i="13"/>
  <c r="C58" i="13"/>
  <c r="C46" i="13"/>
  <c r="P34" i="13"/>
  <c r="P73" i="13"/>
  <c r="P32" i="13"/>
  <c r="D58" i="13"/>
  <c r="C67" i="13"/>
  <c r="C66" i="13"/>
  <c r="C65" i="13"/>
  <c r="C63" i="13"/>
  <c r="C62" i="13"/>
  <c r="C61" i="13"/>
  <c r="C69" i="13"/>
  <c r="C75" i="13"/>
  <c r="C74" i="13"/>
  <c r="C73" i="13"/>
  <c r="C71" i="13"/>
  <c r="C70" i="13"/>
  <c r="Y25" i="4"/>
  <c r="Y26" i="4"/>
  <c r="AP53" i="4"/>
  <c r="D88" i="2" l="1"/>
  <c r="F10" i="11" s="1"/>
  <c r="C4" i="11"/>
  <c r="S25" i="11" s="1"/>
  <c r="S24" i="11"/>
  <c r="C7" i="11"/>
  <c r="S28" i="11" s="1"/>
  <c r="S26" i="11"/>
  <c r="D86" i="2"/>
  <c r="F8" i="11" s="1"/>
  <c r="D90" i="2"/>
  <c r="F11" i="11" s="1"/>
  <c r="D87" i="2"/>
  <c r="F9" i="11" s="1"/>
  <c r="D91" i="2"/>
  <c r="F12" i="11" s="1"/>
  <c r="D7" i="11"/>
  <c r="C6" i="11"/>
  <c r="S27" i="11" s="1"/>
  <c r="H233" i="4"/>
  <c r="H219" i="4"/>
  <c r="H205" i="4"/>
  <c r="H191" i="4"/>
  <c r="H177" i="4"/>
  <c r="H163" i="4"/>
  <c r="H149" i="4"/>
  <c r="H135" i="4"/>
  <c r="H121" i="4"/>
  <c r="H107" i="4"/>
  <c r="H93" i="4"/>
  <c r="H79" i="4"/>
  <c r="H65" i="4"/>
  <c r="H4" i="4"/>
  <c r="H51" i="4"/>
  <c r="H3" i="4"/>
  <c r="H37" i="4"/>
  <c r="H15" i="4"/>
  <c r="H16" i="4"/>
  <c r="H14" i="4"/>
  <c r="H12" i="4"/>
  <c r="H13" i="4"/>
  <c r="H11" i="4"/>
  <c r="H9" i="4"/>
  <c r="H10" i="4"/>
  <c r="H8" i="4"/>
  <c r="H6" i="4"/>
  <c r="H7" i="4"/>
  <c r="H5" i="4"/>
  <c r="H2" i="4"/>
  <c r="D16" i="4"/>
  <c r="D15" i="4"/>
  <c r="D14" i="4"/>
  <c r="D11" i="4"/>
  <c r="D13" i="4" s="1"/>
  <c r="D10" i="4"/>
  <c r="D9" i="4"/>
  <c r="D8" i="4"/>
  <c r="D7" i="4"/>
  <c r="D6" i="4"/>
  <c r="D5" i="4"/>
  <c r="D4" i="4"/>
  <c r="D3" i="4"/>
  <c r="D2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C2" i="4"/>
  <c r="B14" i="4"/>
  <c r="A14" i="4"/>
  <c r="B11" i="4"/>
  <c r="A11" i="4"/>
  <c r="B8" i="4"/>
  <c r="A8" i="4"/>
  <c r="B5" i="4"/>
  <c r="A5" i="4"/>
  <c r="B2" i="4"/>
  <c r="A2" i="4"/>
  <c r="D12" i="4" l="1"/>
  <c r="F247" i="3"/>
  <c r="F232" i="3"/>
  <c r="F217" i="3"/>
  <c r="F202" i="3"/>
  <c r="F187" i="3"/>
  <c r="F172" i="3"/>
  <c r="F157" i="3"/>
  <c r="F142" i="3"/>
  <c r="F127" i="3"/>
  <c r="F112" i="3"/>
  <c r="F97" i="3"/>
  <c r="F82" i="3"/>
  <c r="F67" i="3"/>
  <c r="F52" i="3"/>
  <c r="F37" i="3"/>
  <c r="F16" i="3" l="1"/>
  <c r="F15" i="3"/>
  <c r="F14" i="3"/>
  <c r="F13" i="3"/>
  <c r="F12" i="3"/>
  <c r="F11" i="3"/>
  <c r="F10" i="3"/>
  <c r="F9" i="3"/>
  <c r="F8" i="3"/>
  <c r="F7" i="3"/>
  <c r="F6" i="3"/>
  <c r="F5" i="3"/>
  <c r="F4" i="3"/>
  <c r="F3" i="3"/>
  <c r="F2" i="3"/>
  <c r="C16" i="3"/>
  <c r="B14" i="3"/>
  <c r="A14" i="3"/>
  <c r="B11" i="3"/>
  <c r="A11" i="3"/>
  <c r="B8" i="3"/>
  <c r="A8" i="3"/>
  <c r="B5" i="3"/>
  <c r="A5" i="3"/>
  <c r="B2" i="3"/>
  <c r="A2" i="3"/>
  <c r="P71" i="2"/>
  <c r="D71" i="2" s="1"/>
  <c r="F16" i="4" s="1"/>
  <c r="C71" i="2"/>
  <c r="E16" i="4" s="1"/>
  <c r="P70" i="2"/>
  <c r="D70" i="2" s="1"/>
  <c r="F15" i="4" s="1"/>
  <c r="C70" i="2"/>
  <c r="E15" i="4" s="1"/>
  <c r="P69" i="2"/>
  <c r="D69" i="2" s="1"/>
  <c r="F14" i="4" s="1"/>
  <c r="C69" i="2"/>
  <c r="E14" i="4" s="1"/>
  <c r="P67" i="2"/>
  <c r="D67" i="2" s="1"/>
  <c r="F13" i="4" s="1"/>
  <c r="C67" i="2"/>
  <c r="E13" i="4" s="1"/>
  <c r="P66" i="2"/>
  <c r="D66" i="2" s="1"/>
  <c r="F12" i="4" s="1"/>
  <c r="C66" i="2"/>
  <c r="E12" i="4" s="1"/>
  <c r="P65" i="2"/>
  <c r="D65" i="2" s="1"/>
  <c r="F11" i="4" s="1"/>
  <c r="C65" i="2"/>
  <c r="E11" i="4" s="1"/>
  <c r="P63" i="2"/>
  <c r="D63" i="2" s="1"/>
  <c r="F10" i="4" s="1"/>
  <c r="C63" i="2"/>
  <c r="E10" i="4" s="1"/>
  <c r="P62" i="2"/>
  <c r="D62" i="2" s="1"/>
  <c r="F9" i="4" s="1"/>
  <c r="C62" i="2"/>
  <c r="E9" i="4" s="1"/>
  <c r="P61" i="2"/>
  <c r="D61" i="2" s="1"/>
  <c r="F8" i="4" s="1"/>
  <c r="C61" i="2"/>
  <c r="E8" i="4" s="1"/>
  <c r="P59" i="2"/>
  <c r="D59" i="2" s="1"/>
  <c r="F7" i="4" s="1"/>
  <c r="C59" i="2"/>
  <c r="E7" i="4" s="1"/>
  <c r="P58" i="2"/>
  <c r="D58" i="2" s="1"/>
  <c r="F6" i="4" s="1"/>
  <c r="C58" i="2"/>
  <c r="E6" i="4" s="1"/>
  <c r="P57" i="2"/>
  <c r="D57" i="2" s="1"/>
  <c r="F5" i="4" s="1"/>
  <c r="C57" i="2"/>
  <c r="E5" i="4" s="1"/>
  <c r="P55" i="2"/>
  <c r="D55" i="2" s="1"/>
  <c r="F4" i="4" s="1"/>
  <c r="C55" i="2"/>
  <c r="E4" i="4" s="1"/>
  <c r="P54" i="2"/>
  <c r="D54" i="2" s="1"/>
  <c r="F3" i="4" s="1"/>
  <c r="C54" i="2"/>
  <c r="E3" i="4" s="1"/>
  <c r="P53" i="2"/>
  <c r="D53" i="2" s="1"/>
  <c r="F2" i="4" s="1"/>
  <c r="C53" i="2"/>
  <c r="E2" i="4" s="1"/>
  <c r="S33" i="4"/>
  <c r="S34" i="4"/>
  <c r="S35" i="4"/>
  <c r="S36" i="4"/>
  <c r="S38" i="4"/>
  <c r="S25" i="4"/>
  <c r="S39" i="4"/>
  <c r="S37" i="4"/>
  <c r="S31" i="4"/>
  <c r="S32" i="4"/>
  <c r="S30" i="4"/>
  <c r="S28" i="4"/>
  <c r="S29" i="4"/>
  <c r="S27" i="4"/>
  <c r="S26" i="4"/>
  <c r="C34" i="13"/>
  <c r="C33" i="13"/>
  <c r="C32" i="13"/>
  <c r="P50" i="13"/>
  <c r="D50" i="13" s="1"/>
  <c r="P49" i="13"/>
  <c r="D49" i="13" s="1"/>
  <c r="P48" i="13"/>
  <c r="D48" i="13" s="1"/>
  <c r="P46" i="13"/>
  <c r="D46" i="13" s="1"/>
  <c r="P45" i="13"/>
  <c r="D45" i="13" s="1"/>
  <c r="P44" i="13"/>
  <c r="D44" i="13" s="1"/>
  <c r="P42" i="13"/>
  <c r="D42" i="13" s="1"/>
  <c r="P41" i="13"/>
  <c r="D41" i="13" s="1"/>
  <c r="P40" i="13"/>
  <c r="D40" i="13" s="1"/>
  <c r="P38" i="13"/>
  <c r="D38" i="13" s="1"/>
  <c r="P37" i="13"/>
  <c r="D37" i="13" s="1"/>
  <c r="P36" i="13"/>
  <c r="D36" i="13" s="1"/>
  <c r="D34" i="13"/>
  <c r="P33" i="13"/>
  <c r="D33" i="13" s="1"/>
  <c r="D32" i="13"/>
  <c r="C50" i="13"/>
  <c r="C49" i="13"/>
  <c r="C48" i="13"/>
  <c r="C45" i="13"/>
  <c r="C44" i="13"/>
  <c r="C42" i="13"/>
  <c r="C41" i="13"/>
  <c r="C40" i="13"/>
  <c r="C38" i="13"/>
  <c r="C37" i="13"/>
  <c r="C36" i="13"/>
  <c r="P46" i="2"/>
  <c r="D46" i="2" s="1"/>
  <c r="C46" i="2"/>
  <c r="P45" i="2"/>
  <c r="D45" i="2" s="1"/>
  <c r="C45" i="2"/>
  <c r="C15" i="3" s="1"/>
  <c r="P44" i="2"/>
  <c r="D44" i="2" s="1"/>
  <c r="C44" i="2"/>
  <c r="C14" i="3" s="1"/>
  <c r="P42" i="2"/>
  <c r="B42" i="2" s="1"/>
  <c r="C42" i="2"/>
  <c r="C13" i="3" s="1"/>
  <c r="P41" i="2"/>
  <c r="D41" i="2" s="1"/>
  <c r="C41" i="2"/>
  <c r="C12" i="3" s="1"/>
  <c r="P40" i="2"/>
  <c r="B40" i="2" s="1"/>
  <c r="C40" i="2"/>
  <c r="C11" i="3" s="1"/>
  <c r="P38" i="2"/>
  <c r="D38" i="2" s="1"/>
  <c r="C38" i="2"/>
  <c r="C10" i="3" s="1"/>
  <c r="B38" i="2"/>
  <c r="P37" i="2"/>
  <c r="B37" i="2" s="1"/>
  <c r="C37" i="2"/>
  <c r="C9" i="3" s="1"/>
  <c r="P36" i="2"/>
  <c r="D36" i="2" s="1"/>
  <c r="C36" i="2"/>
  <c r="C8" i="3" s="1"/>
  <c r="P34" i="2"/>
  <c r="B34" i="2" s="1"/>
  <c r="C34" i="2"/>
  <c r="C7" i="3" s="1"/>
  <c r="P33" i="2"/>
  <c r="B33" i="2" s="1"/>
  <c r="D33" i="2"/>
  <c r="C33" i="2"/>
  <c r="C6" i="3" s="1"/>
  <c r="P32" i="2"/>
  <c r="B32" i="2" s="1"/>
  <c r="C32" i="2"/>
  <c r="C5" i="3" s="1"/>
  <c r="P30" i="2"/>
  <c r="D30" i="2" s="1"/>
  <c r="C30" i="2"/>
  <c r="C4" i="3" s="1"/>
  <c r="P29" i="2"/>
  <c r="B29" i="2" s="1"/>
  <c r="C29" i="2"/>
  <c r="C3" i="3" s="1"/>
  <c r="O26" i="3" s="1"/>
  <c r="P28" i="2"/>
  <c r="D28" i="2" s="1"/>
  <c r="C28" i="2"/>
  <c r="C2" i="3" s="1"/>
  <c r="R11" i="3" a="1"/>
  <c r="R11" i="3" s="1"/>
  <c r="T15" i="3" a="1"/>
  <c r="T15" i="3" s="1"/>
  <c r="P25" i="13"/>
  <c r="B25" i="13" s="1"/>
  <c r="C25" i="13"/>
  <c r="P24" i="13"/>
  <c r="B24" i="13" s="1"/>
  <c r="C24" i="13"/>
  <c r="P23" i="13"/>
  <c r="B23" i="13" s="1"/>
  <c r="C23" i="13"/>
  <c r="P21" i="13"/>
  <c r="B21" i="13" s="1"/>
  <c r="C21" i="13"/>
  <c r="P20" i="13"/>
  <c r="B20" i="13" s="1"/>
  <c r="C20" i="13"/>
  <c r="P19" i="13"/>
  <c r="B19" i="13" s="1"/>
  <c r="C19" i="13"/>
  <c r="P17" i="13"/>
  <c r="D17" i="13" s="1"/>
  <c r="D10" i="3" s="1"/>
  <c r="C17" i="13"/>
  <c r="P16" i="13"/>
  <c r="D16" i="13" s="1"/>
  <c r="D9" i="3" s="1"/>
  <c r="C16" i="13"/>
  <c r="P15" i="13"/>
  <c r="D15" i="13" s="1"/>
  <c r="D8" i="3" s="1"/>
  <c r="C15" i="13"/>
  <c r="P13" i="13"/>
  <c r="D13" i="13" s="1"/>
  <c r="D7" i="3" s="1"/>
  <c r="C13" i="13"/>
  <c r="P12" i="13"/>
  <c r="D12" i="13" s="1"/>
  <c r="D6" i="3" s="1"/>
  <c r="P29" i="3" s="1"/>
  <c r="P11" i="13"/>
  <c r="D11" i="13" s="1"/>
  <c r="D5" i="3" s="1"/>
  <c r="P9" i="13"/>
  <c r="D9" i="13" s="1"/>
  <c r="D4" i="3" s="1"/>
  <c r="P27" i="3" s="1"/>
  <c r="P8" i="13"/>
  <c r="B8" i="13" s="1"/>
  <c r="P7" i="13"/>
  <c r="C9" i="13"/>
  <c r="C8" i="13"/>
  <c r="C7" i="13"/>
  <c r="C11" i="13"/>
  <c r="C12" i="13"/>
  <c r="B30" i="2" l="1"/>
  <c r="D32" i="2"/>
  <c r="D40" i="2"/>
  <c r="B41" i="2"/>
  <c r="D42" i="2"/>
  <c r="B28" i="2"/>
  <c r="B44" i="2"/>
  <c r="D29" i="2"/>
  <c r="B45" i="2"/>
  <c r="D34" i="2"/>
  <c r="B36" i="2"/>
  <c r="D37" i="2"/>
  <c r="F41" i="3"/>
  <c r="B46" i="2"/>
  <c r="B16" i="13"/>
  <c r="B17" i="13"/>
  <c r="D19" i="13"/>
  <c r="D11" i="3" s="1"/>
  <c r="D21" i="13"/>
  <c r="D13" i="3" s="1"/>
  <c r="D23" i="13"/>
  <c r="D14" i="3" s="1"/>
  <c r="D24" i="13"/>
  <c r="D15" i="3" s="1"/>
  <c r="D25" i="13"/>
  <c r="D16" i="3" s="1"/>
  <c r="B13" i="13"/>
  <c r="B15" i="13"/>
  <c r="B11" i="13"/>
  <c r="B12" i="13"/>
  <c r="D20" i="13"/>
  <c r="D12" i="3" s="1"/>
  <c r="D8" i="13"/>
  <c r="D7" i="13"/>
  <c r="D2" i="3" s="1"/>
  <c r="B9" i="13"/>
  <c r="D3" i="3"/>
  <c r="O27" i="3" l="1"/>
  <c r="T27" i="3" l="1" a="1"/>
  <c r="T27" i="3" s="1"/>
  <c r="S27" i="3" a="1"/>
  <c r="S27" i="3" s="1"/>
  <c r="R27" i="3" a="1"/>
  <c r="R27" i="3" s="1"/>
  <c r="Q27" i="3" a="1"/>
  <c r="Q27" i="3" s="1"/>
  <c r="F266" i="6" l="1"/>
  <c r="F56" i="6"/>
  <c r="R43" i="6"/>
  <c r="R42" i="6"/>
  <c r="R41" i="6"/>
  <c r="R39" i="6"/>
  <c r="R38" i="6"/>
  <c r="R37" i="6"/>
  <c r="R36" i="6"/>
  <c r="R35" i="6"/>
  <c r="R34" i="6"/>
  <c r="R33" i="6"/>
  <c r="R32" i="6"/>
  <c r="R31" i="6"/>
  <c r="R30" i="6"/>
  <c r="R29" i="6"/>
  <c r="R28" i="6"/>
  <c r="V33" i="5"/>
  <c r="V32" i="5"/>
  <c r="V31" i="5"/>
  <c r="V30" i="5"/>
  <c r="V29" i="5"/>
  <c r="V28" i="5"/>
  <c r="V27" i="5"/>
  <c r="F106" i="5" s="1"/>
  <c r="V26" i="5"/>
  <c r="F92" i="5" s="1"/>
  <c r="V25" i="5"/>
  <c r="Y34" i="11" l="1"/>
  <c r="Y33" i="11"/>
  <c r="Y32" i="11"/>
  <c r="H162" i="11" s="1"/>
  <c r="K162" i="11" s="1"/>
  <c r="M162" i="11" s="1"/>
  <c r="Y31" i="11"/>
  <c r="H148" i="11" s="1"/>
  <c r="K148" i="11" s="1"/>
  <c r="M148" i="11" s="1"/>
  <c r="Y30" i="11"/>
  <c r="H134" i="11" s="1"/>
  <c r="K134" i="11" s="1"/>
  <c r="M134" i="11" s="1"/>
  <c r="Y29" i="11"/>
  <c r="Y28" i="11"/>
  <c r="H106" i="11" s="1"/>
  <c r="K106" i="11" s="1"/>
  <c r="M106" i="11" s="1"/>
  <c r="Y27" i="11"/>
  <c r="H92" i="11" s="1"/>
  <c r="Y26" i="11"/>
  <c r="H78" i="11" s="1"/>
  <c r="Y25" i="11"/>
  <c r="H64" i="11" s="1"/>
  <c r="K64" i="11" s="1"/>
  <c r="M64" i="11" s="1"/>
  <c r="Y24" i="11"/>
  <c r="H50" i="11" s="1"/>
  <c r="Y23" i="11"/>
  <c r="H36" i="11" s="1"/>
  <c r="K36" i="11" s="1"/>
  <c r="M36" i="11" s="1"/>
  <c r="F69" i="3"/>
  <c r="F39" i="3"/>
  <c r="V39" i="3"/>
  <c r="V38" i="3"/>
  <c r="V36" i="3"/>
  <c r="F204" i="3" s="1"/>
  <c r="V35" i="3"/>
  <c r="F189" i="3" s="1"/>
  <c r="V34" i="3"/>
  <c r="F174" i="3" s="1"/>
  <c r="V33" i="3"/>
  <c r="V28" i="3"/>
  <c r="V27" i="3"/>
  <c r="V26" i="3"/>
  <c r="V25" i="3"/>
  <c r="Y38" i="4"/>
  <c r="Y36" i="4"/>
  <c r="Y35" i="4"/>
  <c r="Y33" i="4"/>
  <c r="Y30" i="4"/>
  <c r="Y27" i="4"/>
  <c r="H67" i="4" s="1"/>
  <c r="M13" i="2"/>
  <c r="J62" i="12"/>
  <c r="L14" i="2"/>
  <c r="F14" i="2"/>
  <c r="M178" i="12"/>
  <c r="R178" i="12" s="1"/>
  <c r="M179" i="12"/>
  <c r="R179" i="12" s="1"/>
  <c r="M180" i="12"/>
  <c r="R180" i="12" s="1"/>
  <c r="M181" i="12"/>
  <c r="R181" i="12" s="1"/>
  <c r="M182" i="12"/>
  <c r="R182" i="12" s="1"/>
  <c r="M183" i="12"/>
  <c r="W183" i="12" s="1"/>
  <c r="N8" i="11"/>
  <c r="N9" i="11"/>
  <c r="N10" i="11"/>
  <c r="N11" i="11"/>
  <c r="N12" i="11"/>
  <c r="N13" i="11"/>
  <c r="M133" i="12"/>
  <c r="R133" i="12" s="1"/>
  <c r="W133" i="12" s="1"/>
  <c r="M134" i="12"/>
  <c r="R134" i="12" s="1"/>
  <c r="W134" i="12" s="1"/>
  <c r="M135" i="12"/>
  <c r="R135" i="12" s="1"/>
  <c r="W135" i="12" s="1"/>
  <c r="M136" i="12"/>
  <c r="R136" i="12" s="1"/>
  <c r="W136" i="12" s="1"/>
  <c r="M137" i="12"/>
  <c r="R137" i="12" s="1"/>
  <c r="W137" i="12" s="1"/>
  <c r="M138" i="12"/>
  <c r="R138" i="12" s="1"/>
  <c r="W138" i="12" s="1"/>
  <c r="M139" i="12"/>
  <c r="R139" i="12" s="1"/>
  <c r="W139" i="12" s="1"/>
  <c r="M140" i="12"/>
  <c r="R140" i="12" s="1"/>
  <c r="W140" i="12" s="1"/>
  <c r="M141" i="12"/>
  <c r="R141" i="12" s="1"/>
  <c r="W141" i="12" s="1"/>
  <c r="M142" i="12"/>
  <c r="R142" i="12" s="1"/>
  <c r="W142" i="12" s="1"/>
  <c r="M143" i="12"/>
  <c r="R143" i="12" s="1"/>
  <c r="W143" i="12" s="1"/>
  <c r="M132" i="12"/>
  <c r="R132" i="12" s="1"/>
  <c r="W132" i="12" s="1"/>
  <c r="M115" i="12"/>
  <c r="R115" i="12" s="1"/>
  <c r="W115" i="12" s="1"/>
  <c r="M116" i="12"/>
  <c r="R116" i="12" s="1"/>
  <c r="W116" i="12" s="1"/>
  <c r="M117" i="12"/>
  <c r="R117" i="12" s="1"/>
  <c r="W117" i="12" s="1"/>
  <c r="M118" i="12"/>
  <c r="R118" i="12" s="1"/>
  <c r="W118" i="12" s="1"/>
  <c r="M119" i="12"/>
  <c r="R119" i="12" s="1"/>
  <c r="W119" i="12" s="1"/>
  <c r="M120" i="12"/>
  <c r="R120" i="12" s="1"/>
  <c r="W120" i="12" s="1"/>
  <c r="M121" i="12"/>
  <c r="R121" i="12" s="1"/>
  <c r="W121" i="12" s="1"/>
  <c r="M122" i="12"/>
  <c r="R122" i="12" s="1"/>
  <c r="W122" i="12" s="1"/>
  <c r="M123" i="12"/>
  <c r="R123" i="12" s="1"/>
  <c r="W123" i="12" s="1"/>
  <c r="M124" i="12"/>
  <c r="R124" i="12" s="1"/>
  <c r="W124" i="12" s="1"/>
  <c r="M125" i="12"/>
  <c r="R125" i="12" s="1"/>
  <c r="W125" i="12" s="1"/>
  <c r="M114" i="12"/>
  <c r="R114" i="12" s="1"/>
  <c r="W114" i="12" s="1"/>
  <c r="M113" i="12"/>
  <c r="R113" i="12" s="1"/>
  <c r="W113" i="12" s="1"/>
  <c r="M111" i="12"/>
  <c r="R111" i="12" s="1"/>
  <c r="W111" i="12" s="1"/>
  <c r="M76" i="12"/>
  <c r="R76" i="12" s="1"/>
  <c r="W76" i="12" s="1"/>
  <c r="M77" i="12"/>
  <c r="R77" i="12" s="1"/>
  <c r="W77" i="12" s="1"/>
  <c r="M78" i="12"/>
  <c r="R78" i="12" s="1"/>
  <c r="W78" i="12" s="1"/>
  <c r="M79" i="12"/>
  <c r="R79" i="12" s="1"/>
  <c r="W79" i="12" s="1"/>
  <c r="M80" i="12"/>
  <c r="R80" i="12" s="1"/>
  <c r="W80" i="12" s="1"/>
  <c r="M81" i="12"/>
  <c r="R81" i="12" s="1"/>
  <c r="W81" i="12" s="1"/>
  <c r="M82" i="12"/>
  <c r="R82" i="12" s="1"/>
  <c r="W82" i="12" s="1"/>
  <c r="M83" i="12"/>
  <c r="R83" i="12" s="1"/>
  <c r="W83" i="12" s="1"/>
  <c r="M84" i="12"/>
  <c r="R84" i="12" s="1"/>
  <c r="W84" i="12" s="1"/>
  <c r="M85" i="12"/>
  <c r="R85" i="12" s="1"/>
  <c r="W85" i="12" s="1"/>
  <c r="M86" i="12"/>
  <c r="R86" i="12" s="1"/>
  <c r="W86" i="12" s="1"/>
  <c r="M87" i="12"/>
  <c r="R87" i="12" s="1"/>
  <c r="W87" i="12" s="1"/>
  <c r="M88" i="12"/>
  <c r="R88" i="12" s="1"/>
  <c r="W88" i="12" s="1"/>
  <c r="M89" i="12"/>
  <c r="R89" i="12" s="1"/>
  <c r="W89" i="12" s="1"/>
  <c r="M75" i="12"/>
  <c r="R75" i="12" s="1"/>
  <c r="W75" i="12" s="1"/>
  <c r="M172" i="12"/>
  <c r="R172" i="12" s="1"/>
  <c r="W172" i="12" s="1"/>
  <c r="M171" i="12"/>
  <c r="R171" i="12" s="1"/>
  <c r="W171" i="12" s="1"/>
  <c r="M170" i="12"/>
  <c r="R170" i="12" s="1"/>
  <c r="W170" i="12" s="1"/>
  <c r="M169" i="12"/>
  <c r="R169" i="12" s="1"/>
  <c r="W169" i="12" s="1"/>
  <c r="M168" i="12"/>
  <c r="R168" i="12" s="1"/>
  <c r="W168" i="12" s="1"/>
  <c r="M167" i="12"/>
  <c r="R167" i="12" s="1"/>
  <c r="W167" i="12" s="1"/>
  <c r="M166" i="12"/>
  <c r="R166" i="12" s="1"/>
  <c r="W166" i="12" s="1"/>
  <c r="M194" i="12"/>
  <c r="W194" i="12" s="1"/>
  <c r="M193" i="12"/>
  <c r="W193" i="12" s="1"/>
  <c r="M192" i="12"/>
  <c r="W192" i="12" s="1"/>
  <c r="M191" i="12"/>
  <c r="R191" i="12" s="1"/>
  <c r="M190" i="12"/>
  <c r="R190" i="12" s="1"/>
  <c r="M189" i="12"/>
  <c r="R189" i="12" s="1"/>
  <c r="M188" i="12"/>
  <c r="W188" i="12" s="1"/>
  <c r="M187" i="12"/>
  <c r="R187" i="12" s="1"/>
  <c r="M186" i="12"/>
  <c r="W186" i="12" s="1"/>
  <c r="M185" i="12"/>
  <c r="W185" i="12" s="1"/>
  <c r="M184" i="12"/>
  <c r="W184" i="12" s="1"/>
  <c r="I266" i="6"/>
  <c r="K266" i="6" s="1"/>
  <c r="L266" i="6" s="1"/>
  <c r="F264" i="6"/>
  <c r="I264" i="6" s="1"/>
  <c r="K264" i="6" s="1"/>
  <c r="M12" i="2"/>
  <c r="G267" i="6"/>
  <c r="G265" i="6"/>
  <c r="F265" i="6"/>
  <c r="H264" i="6"/>
  <c r="M261" i="6"/>
  <c r="S44" i="6"/>
  <c r="T44" i="6"/>
  <c r="R44" i="6"/>
  <c r="Q44" i="6"/>
  <c r="U44" i="6" s="1"/>
  <c r="F267" i="6" s="1"/>
  <c r="C18" i="6"/>
  <c r="D18" i="6"/>
  <c r="E262" i="6" s="1"/>
  <c r="D264" i="6" s="1"/>
  <c r="E18" i="6"/>
  <c r="F18" i="6"/>
  <c r="J194" i="12" s="1"/>
  <c r="L18" i="6"/>
  <c r="F40" i="6"/>
  <c r="F54" i="6"/>
  <c r="F82" i="6"/>
  <c r="F68" i="6"/>
  <c r="F96" i="6"/>
  <c r="F110" i="6"/>
  <c r="F124" i="6"/>
  <c r="F138" i="6"/>
  <c r="F152" i="6"/>
  <c r="F166" i="6"/>
  <c r="F180" i="6"/>
  <c r="F194" i="6"/>
  <c r="F208" i="6"/>
  <c r="F222" i="6"/>
  <c r="F236" i="6"/>
  <c r="F250" i="6"/>
  <c r="F224" i="6"/>
  <c r="F210" i="6"/>
  <c r="F196" i="6"/>
  <c r="F182" i="6"/>
  <c r="F140" i="6"/>
  <c r="F126" i="6"/>
  <c r="F98" i="6"/>
  <c r="F84" i="6"/>
  <c r="F70" i="6"/>
  <c r="F42" i="6"/>
  <c r="H190" i="11"/>
  <c r="K190" i="11" s="1"/>
  <c r="M190" i="11" s="1"/>
  <c r="H176" i="11"/>
  <c r="K176" i="11" s="1"/>
  <c r="M176" i="11" s="1"/>
  <c r="H120" i="11"/>
  <c r="K120" i="11" s="1"/>
  <c r="M120" i="11" s="1"/>
  <c r="F190" i="5"/>
  <c r="I190" i="5" s="1"/>
  <c r="K190" i="5" s="1"/>
  <c r="F176" i="5"/>
  <c r="I176" i="5" s="1"/>
  <c r="K176" i="5" s="1"/>
  <c r="L176" i="5" s="1"/>
  <c r="F148" i="5"/>
  <c r="I148" i="5" s="1"/>
  <c r="K148" i="5" s="1"/>
  <c r="F134" i="5"/>
  <c r="I134" i="5" s="1"/>
  <c r="K134" i="5" s="1"/>
  <c r="F120" i="5"/>
  <c r="I120" i="5" s="1"/>
  <c r="K120" i="5" s="1"/>
  <c r="F78" i="5"/>
  <c r="F64" i="5"/>
  <c r="F50" i="5"/>
  <c r="F36" i="5"/>
  <c r="Y39" i="4"/>
  <c r="Y34" i="4"/>
  <c r="Y32" i="4"/>
  <c r="Y31" i="4"/>
  <c r="Y29" i="4"/>
  <c r="Y28" i="4"/>
  <c r="F249" i="3"/>
  <c r="V32" i="3"/>
  <c r="V30" i="3"/>
  <c r="F114" i="3" s="1"/>
  <c r="V29" i="3"/>
  <c r="F99" i="3" s="1"/>
  <c r="F84" i="3"/>
  <c r="K62" i="11"/>
  <c r="M62" i="11" s="1"/>
  <c r="K76" i="11"/>
  <c r="M76" i="11" s="1"/>
  <c r="K118" i="11"/>
  <c r="M118" i="11" s="1"/>
  <c r="K132" i="11"/>
  <c r="M132" i="11" s="1"/>
  <c r="K146" i="11"/>
  <c r="M146" i="11" s="1"/>
  <c r="K160" i="11"/>
  <c r="M160" i="11" s="1"/>
  <c r="K174" i="11"/>
  <c r="M174" i="11" s="1"/>
  <c r="K188" i="11"/>
  <c r="M188" i="11" s="1"/>
  <c r="G186" i="11"/>
  <c r="F188" i="11" s="1"/>
  <c r="G172" i="11"/>
  <c r="F174" i="11" s="1"/>
  <c r="G158" i="11"/>
  <c r="F160" i="11" s="1"/>
  <c r="G157" i="11"/>
  <c r="G171" i="11" s="1"/>
  <c r="G185" i="11" s="1"/>
  <c r="F157" i="11"/>
  <c r="F171" i="11" s="1"/>
  <c r="F185" i="11" s="1"/>
  <c r="G130" i="11"/>
  <c r="F132" i="11" s="1"/>
  <c r="F135" i="11" s="1"/>
  <c r="G144" i="11"/>
  <c r="F146" i="11" s="1"/>
  <c r="F147" i="11" s="1"/>
  <c r="G116" i="11"/>
  <c r="F118" i="11" s="1"/>
  <c r="G115" i="11"/>
  <c r="G129" i="11" s="1"/>
  <c r="G143" i="11" s="1"/>
  <c r="F115" i="11"/>
  <c r="F129" i="11" s="1"/>
  <c r="F143" i="11" s="1"/>
  <c r="I191" i="11"/>
  <c r="I189" i="11"/>
  <c r="H189" i="11"/>
  <c r="J188" i="11"/>
  <c r="O185" i="11"/>
  <c r="I177" i="11"/>
  <c r="I175" i="11"/>
  <c r="H175" i="11"/>
  <c r="J174" i="11"/>
  <c r="O171" i="11"/>
  <c r="I163" i="11"/>
  <c r="I161" i="11"/>
  <c r="H161" i="11"/>
  <c r="J160" i="11"/>
  <c r="O157" i="11"/>
  <c r="I149" i="11"/>
  <c r="I147" i="11"/>
  <c r="H147" i="11"/>
  <c r="J146" i="11"/>
  <c r="O143" i="11"/>
  <c r="I135" i="11"/>
  <c r="I133" i="11"/>
  <c r="H133" i="11"/>
  <c r="K133" i="11" s="1"/>
  <c r="M133" i="11" s="1"/>
  <c r="J132" i="11"/>
  <c r="O129" i="11"/>
  <c r="I121" i="11"/>
  <c r="I119" i="11"/>
  <c r="H119" i="11"/>
  <c r="J118" i="11"/>
  <c r="O115" i="11"/>
  <c r="F162" i="5"/>
  <c r="I162" i="5" s="1"/>
  <c r="K162" i="5" s="1"/>
  <c r="I188" i="5"/>
  <c r="K188" i="5" s="1"/>
  <c r="I174" i="5"/>
  <c r="K174" i="5" s="1"/>
  <c r="I160" i="5"/>
  <c r="K160" i="5" s="1"/>
  <c r="I146" i="5"/>
  <c r="K146" i="5" s="1"/>
  <c r="I132" i="5"/>
  <c r="K132" i="5" s="1"/>
  <c r="I118" i="5"/>
  <c r="K118" i="5" s="1"/>
  <c r="G191" i="5"/>
  <c r="G189" i="5"/>
  <c r="F189" i="5"/>
  <c r="I189" i="5" s="1"/>
  <c r="K189" i="5" s="1"/>
  <c r="H188" i="5"/>
  <c r="M185" i="5"/>
  <c r="G177" i="5"/>
  <c r="G175" i="5"/>
  <c r="F175" i="5"/>
  <c r="H174" i="5"/>
  <c r="M171" i="5"/>
  <c r="G163" i="5"/>
  <c r="G161" i="5"/>
  <c r="F161" i="5"/>
  <c r="I161" i="5" s="1"/>
  <c r="K161" i="5" s="1"/>
  <c r="H160" i="5"/>
  <c r="M157" i="5"/>
  <c r="G149" i="5"/>
  <c r="G147" i="5"/>
  <c r="F147" i="5"/>
  <c r="H146" i="5"/>
  <c r="M143" i="5"/>
  <c r="G135" i="5"/>
  <c r="G133" i="5"/>
  <c r="F133" i="5"/>
  <c r="H132" i="5"/>
  <c r="M129" i="5"/>
  <c r="G121" i="5"/>
  <c r="G119" i="5"/>
  <c r="F119" i="5"/>
  <c r="H118" i="5"/>
  <c r="M115" i="5"/>
  <c r="H63" i="11"/>
  <c r="H49" i="11"/>
  <c r="J139" i="12"/>
  <c r="R30" i="11"/>
  <c r="N6" i="11"/>
  <c r="J142" i="12"/>
  <c r="J143" i="12"/>
  <c r="J141" i="12"/>
  <c r="J140" i="12"/>
  <c r="J138" i="12"/>
  <c r="R32" i="11"/>
  <c r="R33" i="11"/>
  <c r="R34" i="11"/>
  <c r="R29" i="11"/>
  <c r="R31" i="11"/>
  <c r="F159" i="3"/>
  <c r="F144" i="3"/>
  <c r="F54" i="3"/>
  <c r="F234" i="3"/>
  <c r="V37" i="3"/>
  <c r="F219" i="3" s="1"/>
  <c r="V31" i="3"/>
  <c r="F129" i="3" s="1"/>
  <c r="L8" i="5"/>
  <c r="L9" i="5"/>
  <c r="L10" i="5"/>
  <c r="L11" i="5"/>
  <c r="L12" i="5"/>
  <c r="L13" i="5"/>
  <c r="K147" i="11" l="1"/>
  <c r="M147" i="11" s="1"/>
  <c r="O147" i="11" s="1"/>
  <c r="K189" i="11"/>
  <c r="M189" i="11" s="1"/>
  <c r="O189" i="11" s="1"/>
  <c r="K119" i="11"/>
  <c r="M119" i="11" s="1"/>
  <c r="O119" i="11" s="1"/>
  <c r="H18" i="6"/>
  <c r="O194" i="12" s="1"/>
  <c r="F142" i="12"/>
  <c r="M14" i="2"/>
  <c r="D262" i="6"/>
  <c r="F139" i="12"/>
  <c r="K175" i="11"/>
  <c r="M175" i="11" s="1"/>
  <c r="N175" i="11" s="1"/>
  <c r="I267" i="6"/>
  <c r="K267" i="6" s="1"/>
  <c r="L267" i="6" s="1"/>
  <c r="I147" i="5"/>
  <c r="K147" i="5" s="1"/>
  <c r="L147" i="5" s="1"/>
  <c r="W179" i="12"/>
  <c r="W178" i="12"/>
  <c r="I133" i="5"/>
  <c r="K133" i="5" s="1"/>
  <c r="M133" i="5" s="1"/>
  <c r="K18" i="6"/>
  <c r="I119" i="5"/>
  <c r="K119" i="5" s="1"/>
  <c r="L119" i="5" s="1"/>
  <c r="I175" i="5"/>
  <c r="K175" i="5" s="1"/>
  <c r="W180" i="12"/>
  <c r="R183" i="12"/>
  <c r="W182" i="12"/>
  <c r="W181" i="12"/>
  <c r="W187" i="12"/>
  <c r="R193" i="12"/>
  <c r="R194" i="12"/>
  <c r="R188" i="12"/>
  <c r="R185" i="12"/>
  <c r="R186" i="12"/>
  <c r="W191" i="12"/>
  <c r="W190" i="12"/>
  <c r="W189" i="12"/>
  <c r="R184" i="12"/>
  <c r="R192" i="12"/>
  <c r="I265" i="6"/>
  <c r="K265" i="6" s="1"/>
  <c r="M265" i="6" s="1"/>
  <c r="M264" i="6"/>
  <c r="L264" i="6"/>
  <c r="D265" i="6"/>
  <c r="D266" i="6"/>
  <c r="D267" i="6"/>
  <c r="M267" i="6"/>
  <c r="M266" i="6"/>
  <c r="O36" i="11"/>
  <c r="N36" i="11"/>
  <c r="F133" i="11"/>
  <c r="K161" i="11"/>
  <c r="M161" i="11" s="1"/>
  <c r="N161" i="11" s="1"/>
  <c r="O188" i="11"/>
  <c r="N188" i="11"/>
  <c r="O190" i="11"/>
  <c r="N190" i="11"/>
  <c r="F189" i="11"/>
  <c r="F190" i="11"/>
  <c r="F191" i="11"/>
  <c r="N189" i="11"/>
  <c r="O174" i="11"/>
  <c r="N174" i="11"/>
  <c r="F175" i="11"/>
  <c r="F176" i="11"/>
  <c r="F177" i="11"/>
  <c r="O176" i="11"/>
  <c r="N176" i="11"/>
  <c r="O160" i="11"/>
  <c r="N160" i="11"/>
  <c r="O162" i="11"/>
  <c r="N162" i="11"/>
  <c r="F161" i="11"/>
  <c r="F162" i="11"/>
  <c r="F163" i="11"/>
  <c r="O146" i="11"/>
  <c r="N146" i="11"/>
  <c r="O148" i="11"/>
  <c r="N148" i="11"/>
  <c r="F149" i="11"/>
  <c r="F148" i="11"/>
  <c r="O133" i="11"/>
  <c r="N133" i="11"/>
  <c r="O134" i="11"/>
  <c r="N134" i="11"/>
  <c r="O132" i="11"/>
  <c r="N132" i="11"/>
  <c r="F134" i="11"/>
  <c r="O118" i="11"/>
  <c r="N118" i="11"/>
  <c r="N120" i="11"/>
  <c r="O120" i="11"/>
  <c r="F119" i="11"/>
  <c r="F120" i="11"/>
  <c r="F121" i="11"/>
  <c r="N119" i="11"/>
  <c r="M190" i="5"/>
  <c r="L190" i="5"/>
  <c r="M188" i="5"/>
  <c r="L188" i="5"/>
  <c r="M189" i="5"/>
  <c r="L189" i="5"/>
  <c r="M174" i="5"/>
  <c r="L174" i="5"/>
  <c r="M175" i="5"/>
  <c r="L175" i="5"/>
  <c r="M176" i="5"/>
  <c r="L160" i="5"/>
  <c r="M160" i="5"/>
  <c r="M161" i="5"/>
  <c r="L161" i="5"/>
  <c r="L162" i="5"/>
  <c r="M162" i="5"/>
  <c r="M148" i="5"/>
  <c r="L148" i="5"/>
  <c r="M146" i="5"/>
  <c r="L146" i="5"/>
  <c r="M134" i="5"/>
  <c r="L134" i="5"/>
  <c r="M132" i="5"/>
  <c r="L132" i="5"/>
  <c r="M118" i="5"/>
  <c r="L118" i="5"/>
  <c r="M120" i="5"/>
  <c r="L120" i="5"/>
  <c r="N62" i="11"/>
  <c r="O106" i="11"/>
  <c r="N106" i="11"/>
  <c r="O64" i="11"/>
  <c r="N64" i="11"/>
  <c r="N76" i="11"/>
  <c r="J171" i="12"/>
  <c r="J172" i="12"/>
  <c r="J170" i="12"/>
  <c r="J168" i="12"/>
  <c r="J169" i="12"/>
  <c r="J167" i="12"/>
  <c r="S32" i="5"/>
  <c r="S33" i="5"/>
  <c r="S30" i="5"/>
  <c r="S31" i="5"/>
  <c r="S29" i="5"/>
  <c r="S28" i="5"/>
  <c r="S23" i="5"/>
  <c r="E116" i="5"/>
  <c r="D118" i="5" s="1"/>
  <c r="D121" i="5" s="1"/>
  <c r="E130" i="5"/>
  <c r="D132" i="5" s="1"/>
  <c r="D134" i="5" s="1"/>
  <c r="E144" i="5"/>
  <c r="D146" i="5" s="1"/>
  <c r="D148" i="5" s="1"/>
  <c r="E157" i="5"/>
  <c r="E171" i="5" s="1"/>
  <c r="E185" i="5" s="1"/>
  <c r="E115" i="5"/>
  <c r="E129" i="5" s="1"/>
  <c r="E143" i="5" s="1"/>
  <c r="H235" i="4"/>
  <c r="K235" i="4" s="1"/>
  <c r="M235" i="4" s="1"/>
  <c r="H221" i="4"/>
  <c r="K221" i="4" s="1"/>
  <c r="M221" i="4" s="1"/>
  <c r="H193" i="4"/>
  <c r="H179" i="4"/>
  <c r="H165" i="4"/>
  <c r="H151" i="4"/>
  <c r="H137" i="4"/>
  <c r="H123" i="4"/>
  <c r="H109" i="4"/>
  <c r="H95" i="4"/>
  <c r="H81" i="4"/>
  <c r="H53" i="4"/>
  <c r="H39" i="4"/>
  <c r="Y37" i="4"/>
  <c r="H207" i="4" s="1"/>
  <c r="K207" i="4" s="1"/>
  <c r="M207" i="4" s="1"/>
  <c r="M14" i="4"/>
  <c r="K205" i="4"/>
  <c r="M205" i="4" s="1"/>
  <c r="K233" i="4"/>
  <c r="M233" i="4" s="1"/>
  <c r="K219" i="4"/>
  <c r="M219" i="4" s="1"/>
  <c r="I236" i="4"/>
  <c r="I234" i="4"/>
  <c r="H234" i="4"/>
  <c r="J233" i="4"/>
  <c r="O230" i="4"/>
  <c r="I222" i="4"/>
  <c r="I220" i="4"/>
  <c r="H220" i="4"/>
  <c r="J219" i="4"/>
  <c r="O216" i="4"/>
  <c r="I208" i="4"/>
  <c r="I206" i="4"/>
  <c r="H206" i="4"/>
  <c r="J205" i="4"/>
  <c r="O202" i="4"/>
  <c r="N16" i="4"/>
  <c r="N15" i="4"/>
  <c r="N14" i="4"/>
  <c r="J88" i="12"/>
  <c r="J89" i="12"/>
  <c r="J87" i="12"/>
  <c r="R38" i="4"/>
  <c r="R39" i="4"/>
  <c r="G203" i="4"/>
  <c r="F205" i="4" s="1"/>
  <c r="F206" i="4" s="1"/>
  <c r="C177" i="2"/>
  <c r="C171" i="2"/>
  <c r="C159" i="2"/>
  <c r="K11" i="5"/>
  <c r="M15" i="4"/>
  <c r="M4" i="4"/>
  <c r="M147" i="5" l="1"/>
  <c r="N147" i="11"/>
  <c r="O175" i="11"/>
  <c r="D149" i="5"/>
  <c r="D147" i="5"/>
  <c r="F35" i="4"/>
  <c r="M2" i="4"/>
  <c r="F49" i="4"/>
  <c r="M3" i="4"/>
  <c r="Q39" i="4"/>
  <c r="M16" i="4"/>
  <c r="M119" i="5"/>
  <c r="L133" i="5"/>
  <c r="P30" i="5"/>
  <c r="G217" i="4"/>
  <c r="F219" i="4" s="1"/>
  <c r="F221" i="4" s="1"/>
  <c r="F63" i="4"/>
  <c r="Q27" i="4"/>
  <c r="Q38" i="4"/>
  <c r="O30" i="5"/>
  <c r="K10" i="5"/>
  <c r="D144" i="5"/>
  <c r="O29" i="5"/>
  <c r="D130" i="5"/>
  <c r="K9" i="5"/>
  <c r="O33" i="5"/>
  <c r="D186" i="5"/>
  <c r="K13" i="5"/>
  <c r="O28" i="5"/>
  <c r="D116" i="5"/>
  <c r="K8" i="5"/>
  <c r="F230" i="4"/>
  <c r="F231" i="4" s="1"/>
  <c r="F88" i="12"/>
  <c r="F168" i="12"/>
  <c r="D115" i="5"/>
  <c r="D129" i="5" s="1"/>
  <c r="D143" i="5" s="1"/>
  <c r="F171" i="12"/>
  <c r="D157" i="5"/>
  <c r="D171" i="5" s="1"/>
  <c r="D185" i="5" s="1"/>
  <c r="P29" i="5"/>
  <c r="F186" i="11"/>
  <c r="F116" i="11"/>
  <c r="Q25" i="4"/>
  <c r="P33" i="5"/>
  <c r="E186" i="5"/>
  <c r="D188" i="5" s="1"/>
  <c r="D119" i="5"/>
  <c r="F158" i="11"/>
  <c r="F202" i="4"/>
  <c r="F203" i="4" s="1"/>
  <c r="D135" i="5"/>
  <c r="Q37" i="4"/>
  <c r="O32" i="5"/>
  <c r="K12" i="5"/>
  <c r="D172" i="5"/>
  <c r="F130" i="11"/>
  <c r="K234" i="4"/>
  <c r="M234" i="4" s="1"/>
  <c r="N234" i="4" s="1"/>
  <c r="P32" i="5"/>
  <c r="E172" i="5"/>
  <c r="D174" i="5" s="1"/>
  <c r="F172" i="11"/>
  <c r="D133" i="5"/>
  <c r="O31" i="5"/>
  <c r="D158" i="5"/>
  <c r="P28" i="5"/>
  <c r="D120" i="5"/>
  <c r="F144" i="11"/>
  <c r="P31" i="5"/>
  <c r="E158" i="5"/>
  <c r="D160" i="5" s="1"/>
  <c r="O161" i="11"/>
  <c r="M269" i="6"/>
  <c r="L265" i="6"/>
  <c r="K269" i="6" s="1"/>
  <c r="K270" i="6" s="1"/>
  <c r="L273" i="6" s="1"/>
  <c r="I18" i="6" s="1"/>
  <c r="T194" i="12" s="1"/>
  <c r="Q28" i="4"/>
  <c r="Q26" i="4"/>
  <c r="R37" i="4"/>
  <c r="G231" i="4"/>
  <c r="F233" i="4" s="1"/>
  <c r="F234" i="4" s="1"/>
  <c r="F216" i="4"/>
  <c r="F217" i="4" s="1"/>
  <c r="K206" i="4"/>
  <c r="M206" i="4" s="1"/>
  <c r="N206" i="4" s="1"/>
  <c r="K220" i="4"/>
  <c r="M220" i="4" s="1"/>
  <c r="O220" i="4" s="1"/>
  <c r="O235" i="4"/>
  <c r="N235" i="4"/>
  <c r="O233" i="4"/>
  <c r="N233" i="4"/>
  <c r="O219" i="4"/>
  <c r="N219" i="4"/>
  <c r="O221" i="4"/>
  <c r="N221" i="4"/>
  <c r="O205" i="4"/>
  <c r="N205" i="4"/>
  <c r="O207" i="4"/>
  <c r="N207" i="4"/>
  <c r="F208" i="4"/>
  <c r="F207" i="4"/>
  <c r="M6" i="4"/>
  <c r="M9" i="4"/>
  <c r="F119" i="4"/>
  <c r="M12" i="4"/>
  <c r="M11" i="4"/>
  <c r="C158" i="2"/>
  <c r="C157" i="2"/>
  <c r="C163" i="2"/>
  <c r="C162" i="2"/>
  <c r="C161" i="2"/>
  <c r="C167" i="2"/>
  <c r="C166" i="2"/>
  <c r="C165" i="2"/>
  <c r="C170" i="2"/>
  <c r="C169" i="2"/>
  <c r="C173" i="2"/>
  <c r="C174" i="2"/>
  <c r="C175" i="2"/>
  <c r="Q155" i="12"/>
  <c r="Q104" i="12"/>
  <c r="Q53" i="12"/>
  <c r="E198" i="12"/>
  <c r="J64" i="12"/>
  <c r="J63" i="12"/>
  <c r="J60" i="12"/>
  <c r="J59" i="12"/>
  <c r="J58" i="12"/>
  <c r="J57" i="12"/>
  <c r="H10" i="12"/>
  <c r="Q154" i="12"/>
  <c r="Q103" i="12"/>
  <c r="Q52" i="12"/>
  <c r="M20" i="12"/>
  <c r="H18" i="12"/>
  <c r="H16" i="12"/>
  <c r="H14" i="12"/>
  <c r="H12" i="12"/>
  <c r="R28" i="5" l="1" a="1"/>
  <c r="R28" i="5" s="1"/>
  <c r="Q28" i="5" a="1"/>
  <c r="Q28" i="5" s="1"/>
  <c r="T28" i="5" a="1"/>
  <c r="T28" i="5" s="1"/>
  <c r="R30" i="5" a="1"/>
  <c r="R30" i="5" s="1"/>
  <c r="Q30" i="5" a="1"/>
  <c r="Q30" i="5" s="1"/>
  <c r="T30" i="5" a="1"/>
  <c r="T30" i="5" s="1"/>
  <c r="R33" i="5" a="1"/>
  <c r="R33" i="5" s="1"/>
  <c r="Q33" i="5" a="1"/>
  <c r="Q33" i="5" s="1"/>
  <c r="E13" i="5" s="1"/>
  <c r="H13" i="5" s="1"/>
  <c r="O172" i="12" s="1"/>
  <c r="T33" i="5" a="1"/>
  <c r="T33" i="5" s="1"/>
  <c r="T31" i="5" a="1"/>
  <c r="T31" i="5" s="1"/>
  <c r="R31" i="5" a="1"/>
  <c r="R31" i="5" s="1"/>
  <c r="Q31" i="5" a="1"/>
  <c r="Q31" i="5" s="1"/>
  <c r="Q29" i="5" a="1"/>
  <c r="Q29" i="5" s="1"/>
  <c r="E9" i="5" s="1"/>
  <c r="H9" i="5" s="1"/>
  <c r="O168" i="12" s="1"/>
  <c r="R29" i="5" a="1"/>
  <c r="R29" i="5" s="1"/>
  <c r="T29" i="5" a="1"/>
  <c r="T29" i="5" s="1"/>
  <c r="Q32" i="5" a="1"/>
  <c r="Q32" i="5" s="1"/>
  <c r="E12" i="5" s="1"/>
  <c r="H12" i="5" s="1"/>
  <c r="O171" i="12" s="1"/>
  <c r="R32" i="5" a="1"/>
  <c r="R32" i="5" s="1"/>
  <c r="T32" i="5" a="1"/>
  <c r="T32" i="5" s="1"/>
  <c r="V37" i="4" a="1"/>
  <c r="V37" i="4" s="1"/>
  <c r="W37" i="4" a="1"/>
  <c r="W37" i="4" s="1"/>
  <c r="U38" i="4" a="1"/>
  <c r="U38" i="4" s="1"/>
  <c r="W38" i="4" a="1"/>
  <c r="W38" i="4" s="1"/>
  <c r="V38" i="4" a="1"/>
  <c r="V38" i="4" s="1"/>
  <c r="U39" i="4" a="1"/>
  <c r="U39" i="4" s="1"/>
  <c r="V39" i="4" a="1"/>
  <c r="V39" i="4" s="1"/>
  <c r="W39" i="4" a="1"/>
  <c r="W39" i="4" s="1"/>
  <c r="U37" i="4" a="1"/>
  <c r="U37" i="4" s="1"/>
  <c r="T39" i="4" a="1"/>
  <c r="T39" i="4" s="1"/>
  <c r="G16" i="4" s="1"/>
  <c r="J16" i="4" s="1"/>
  <c r="O89" i="12" s="1"/>
  <c r="T37" i="4" a="1"/>
  <c r="T37" i="4" s="1"/>
  <c r="T38" i="4" a="1"/>
  <c r="T38" i="4" s="1"/>
  <c r="G15" i="4" s="1"/>
  <c r="J15" i="4" s="1"/>
  <c r="O88" i="12" s="1"/>
  <c r="O234" i="4"/>
  <c r="F161" i="4"/>
  <c r="F220" i="4"/>
  <c r="M7" i="4"/>
  <c r="Q36" i="4"/>
  <c r="M13" i="4"/>
  <c r="F77" i="4"/>
  <c r="M5" i="4"/>
  <c r="N220" i="4"/>
  <c r="Q31" i="4"/>
  <c r="M8" i="4"/>
  <c r="F147" i="4"/>
  <c r="M10" i="4"/>
  <c r="F189" i="4"/>
  <c r="F222" i="4"/>
  <c r="D176" i="5"/>
  <c r="D177" i="5"/>
  <c r="D175" i="5"/>
  <c r="Q32" i="4"/>
  <c r="D190" i="5"/>
  <c r="D189" i="5"/>
  <c r="D191" i="5"/>
  <c r="E8" i="5"/>
  <c r="H8" i="5" s="1"/>
  <c r="O167" i="12" s="1"/>
  <c r="U28" i="5"/>
  <c r="F121" i="5" s="1"/>
  <c r="I121" i="5" s="1"/>
  <c r="K121" i="5" s="1"/>
  <c r="O206" i="4"/>
  <c r="Q34" i="4"/>
  <c r="Q31" i="11"/>
  <c r="M10" i="11"/>
  <c r="M9" i="11"/>
  <c r="Q30" i="11"/>
  <c r="Q33" i="4"/>
  <c r="D162" i="5"/>
  <c r="D163" i="5"/>
  <c r="D161" i="5"/>
  <c r="Q29" i="4"/>
  <c r="F91" i="4"/>
  <c r="F175" i="4"/>
  <c r="Q35" i="4"/>
  <c r="F133" i="4"/>
  <c r="Q34" i="11"/>
  <c r="M13" i="11"/>
  <c r="Q33" i="11"/>
  <c r="M12" i="11"/>
  <c r="Q32" i="11"/>
  <c r="M11" i="11"/>
  <c r="M8" i="11"/>
  <c r="Q29" i="11"/>
  <c r="U30" i="5"/>
  <c r="F149" i="5" s="1"/>
  <c r="I149" i="5" s="1"/>
  <c r="K149" i="5" s="1"/>
  <c r="E10" i="5"/>
  <c r="H10" i="5" s="1"/>
  <c r="O169" i="12" s="1"/>
  <c r="K271" i="6"/>
  <c r="K272" i="6" s="1"/>
  <c r="F235" i="4"/>
  <c r="F236" i="4"/>
  <c r="F252" i="6"/>
  <c r="F238" i="6"/>
  <c r="F168" i="6"/>
  <c r="F154" i="6"/>
  <c r="F112" i="6"/>
  <c r="G66" i="6"/>
  <c r="D68" i="6" s="1"/>
  <c r="F63" i="5"/>
  <c r="F68" i="3"/>
  <c r="F38" i="3"/>
  <c r="V65" i="12"/>
  <c r="G13" i="2"/>
  <c r="G12" i="2"/>
  <c r="U32" i="5" l="1"/>
  <c r="F177" i="5" s="1"/>
  <c r="I177" i="5" s="1"/>
  <c r="K177" i="5" s="1"/>
  <c r="U33" i="5"/>
  <c r="F191" i="5" s="1"/>
  <c r="I191" i="5" s="1"/>
  <c r="K191" i="5" s="1"/>
  <c r="U29" i="5"/>
  <c r="F135" i="5" s="1"/>
  <c r="I135" i="5" s="1"/>
  <c r="K135" i="5" s="1"/>
  <c r="M135" i="5" s="1"/>
  <c r="M137" i="5" s="1"/>
  <c r="E11" i="5"/>
  <c r="H11" i="5" s="1"/>
  <c r="O170" i="12" s="1"/>
  <c r="U31" i="5"/>
  <c r="F163" i="5" s="1"/>
  <c r="I163" i="5" s="1"/>
  <c r="K163" i="5" s="1"/>
  <c r="T32" i="11" a="1"/>
  <c r="T32" i="11" s="1"/>
  <c r="U32" i="11" a="1"/>
  <c r="U32" i="11" s="1"/>
  <c r="V32" i="11" a="1"/>
  <c r="V32" i="11" s="1"/>
  <c r="W32" i="11" a="1"/>
  <c r="W32" i="11" s="1"/>
  <c r="W33" i="11" a="1"/>
  <c r="W33" i="11" s="1"/>
  <c r="U33" i="11" a="1"/>
  <c r="U33" i="11" s="1"/>
  <c r="V33" i="11" a="1"/>
  <c r="V33" i="11" s="1"/>
  <c r="T33" i="11" a="1"/>
  <c r="T33" i="11" s="1"/>
  <c r="G12" i="11" s="1"/>
  <c r="J12" i="11" s="1"/>
  <c r="O142" i="12" s="1"/>
  <c r="U31" i="11" a="1"/>
  <c r="U31" i="11" s="1"/>
  <c r="V31" i="11" a="1"/>
  <c r="V31" i="11" s="1"/>
  <c r="T31" i="11" a="1"/>
  <c r="T31" i="11" s="1"/>
  <c r="G10" i="11" s="1"/>
  <c r="J10" i="11" s="1"/>
  <c r="O140" i="12" s="1"/>
  <c r="W31" i="11" a="1"/>
  <c r="W31" i="11" s="1"/>
  <c r="U29" i="11" a="1"/>
  <c r="U29" i="11" s="1"/>
  <c r="V29" i="11" a="1"/>
  <c r="V29" i="11" s="1"/>
  <c r="W29" i="11" a="1"/>
  <c r="W29" i="11" s="1"/>
  <c r="T29" i="11" a="1"/>
  <c r="T29" i="11" s="1"/>
  <c r="G8" i="11" s="1"/>
  <c r="J8" i="11" s="1"/>
  <c r="O138" i="12" s="1"/>
  <c r="W34" i="11" a="1"/>
  <c r="W34" i="11" s="1"/>
  <c r="U34" i="11" a="1"/>
  <c r="U34" i="11" s="1"/>
  <c r="V34" i="11" a="1"/>
  <c r="V34" i="11" s="1"/>
  <c r="T34" i="11" a="1"/>
  <c r="T34" i="11" s="1"/>
  <c r="G13" i="11" s="1"/>
  <c r="J13" i="11" s="1"/>
  <c r="O143" i="12" s="1"/>
  <c r="T30" i="11" a="1"/>
  <c r="T30" i="11" s="1"/>
  <c r="G9" i="11" s="1"/>
  <c r="J9" i="11" s="1"/>
  <c r="O139" i="12" s="1"/>
  <c r="U30" i="11" a="1"/>
  <c r="U30" i="11" s="1"/>
  <c r="V30" i="11" a="1"/>
  <c r="V30" i="11" s="1"/>
  <c r="W30" i="11" a="1"/>
  <c r="W30" i="11" s="1"/>
  <c r="X39" i="4"/>
  <c r="H236" i="4" s="1"/>
  <c r="K236" i="4" s="1"/>
  <c r="M236" i="4" s="1"/>
  <c r="N236" i="4" s="1"/>
  <c r="M238" i="4" s="1"/>
  <c r="M239" i="4" s="1"/>
  <c r="N242" i="4" s="1"/>
  <c r="K16" i="4" s="1"/>
  <c r="T89" i="12" s="1"/>
  <c r="G14" i="4"/>
  <c r="J14" i="4" s="1"/>
  <c r="O87" i="12" s="1"/>
  <c r="X37" i="4"/>
  <c r="H208" i="4" s="1"/>
  <c r="K208" i="4" s="1"/>
  <c r="M208" i="4" s="1"/>
  <c r="X38" i="4"/>
  <c r="H222" i="4" s="1"/>
  <c r="K222" i="4" s="1"/>
  <c r="M222" i="4" s="1"/>
  <c r="N222" i="4" s="1"/>
  <c r="M224" i="4" s="1"/>
  <c r="M225" i="4" s="1"/>
  <c r="N228" i="4" s="1"/>
  <c r="K15" i="4" s="1"/>
  <c r="T88" i="12" s="1"/>
  <c r="F105" i="4"/>
  <c r="Q30" i="4"/>
  <c r="G14" i="2"/>
  <c r="V64" i="12" s="1"/>
  <c r="M121" i="5"/>
  <c r="M123" i="5" s="1"/>
  <c r="L121" i="5"/>
  <c r="K123" i="5" s="1"/>
  <c r="K124" i="5" s="1"/>
  <c r="K273" i="6"/>
  <c r="J18" i="6"/>
  <c r="M149" i="5"/>
  <c r="M151" i="5" s="1"/>
  <c r="L149" i="5"/>
  <c r="K151" i="5" s="1"/>
  <c r="K152" i="5" s="1"/>
  <c r="L191" i="5"/>
  <c r="K193" i="5" s="1"/>
  <c r="K194" i="5" s="1"/>
  <c r="M191" i="5"/>
  <c r="M193" i="5" s="1"/>
  <c r="M177" i="5"/>
  <c r="M179" i="5" s="1"/>
  <c r="L177" i="5"/>
  <c r="K179" i="5" s="1"/>
  <c r="K180" i="5" s="1"/>
  <c r="L183" i="5" s="1"/>
  <c r="I12" i="5" s="1"/>
  <c r="T171" i="12" s="1"/>
  <c r="O4" i="12"/>
  <c r="L135" i="5" l="1"/>
  <c r="K137" i="5" s="1"/>
  <c r="K138" i="5" s="1"/>
  <c r="M163" i="5"/>
  <c r="M165" i="5" s="1"/>
  <c r="L163" i="5"/>
  <c r="K165" i="5" s="1"/>
  <c r="K166" i="5" s="1"/>
  <c r="X30" i="11"/>
  <c r="H135" i="11" s="1"/>
  <c r="K135" i="11" s="1"/>
  <c r="M135" i="11" s="1"/>
  <c r="X33" i="11"/>
  <c r="H177" i="11" s="1"/>
  <c r="K177" i="11" s="1"/>
  <c r="M177" i="11" s="1"/>
  <c r="X29" i="11"/>
  <c r="H121" i="11" s="1"/>
  <c r="K121" i="11" s="1"/>
  <c r="M121" i="11" s="1"/>
  <c r="O121" i="11" s="1"/>
  <c r="O123" i="11" s="1"/>
  <c r="X34" i="11"/>
  <c r="H191" i="11" s="1"/>
  <c r="K191" i="11" s="1"/>
  <c r="M191" i="11" s="1"/>
  <c r="O191" i="11" s="1"/>
  <c r="O193" i="11" s="1"/>
  <c r="X31" i="11"/>
  <c r="H149" i="11" s="1"/>
  <c r="K149" i="11" s="1"/>
  <c r="M149" i="11" s="1"/>
  <c r="N149" i="11" s="1"/>
  <c r="M151" i="11" s="1"/>
  <c r="M152" i="11" s="1"/>
  <c r="N155" i="11" s="1"/>
  <c r="K10" i="11" s="1"/>
  <c r="T140" i="12" s="1"/>
  <c r="G11" i="11"/>
  <c r="J11" i="11" s="1"/>
  <c r="O141" i="12" s="1"/>
  <c r="X32" i="11"/>
  <c r="H163" i="11" s="1"/>
  <c r="K163" i="11" s="1"/>
  <c r="M163" i="11" s="1"/>
  <c r="O236" i="4"/>
  <c r="O238" i="4" s="1"/>
  <c r="M240" i="4" s="1"/>
  <c r="M241" i="4" s="1"/>
  <c r="M242" i="4" s="1"/>
  <c r="O208" i="4"/>
  <c r="O210" i="4" s="1"/>
  <c r="N208" i="4"/>
  <c r="M210" i="4" s="1"/>
  <c r="M211" i="4" s="1"/>
  <c r="O222" i="4"/>
  <c r="O224" i="4" s="1"/>
  <c r="M226" i="4" s="1"/>
  <c r="M227" i="4" s="1"/>
  <c r="M228" i="4" s="1"/>
  <c r="K195" i="5"/>
  <c r="K196" i="5" s="1"/>
  <c r="K197" i="5" s="1"/>
  <c r="L197" i="5"/>
  <c r="I13" i="5" s="1"/>
  <c r="T172" i="12" s="1"/>
  <c r="K125" i="5"/>
  <c r="K126" i="5" s="1"/>
  <c r="J8" i="5" s="1"/>
  <c r="L127" i="5"/>
  <c r="I8" i="5" s="1"/>
  <c r="T167" i="12" s="1"/>
  <c r="K153" i="5"/>
  <c r="K154" i="5" s="1"/>
  <c r="K155" i="5" s="1"/>
  <c r="L155" i="5"/>
  <c r="I10" i="5" s="1"/>
  <c r="T169" i="12" s="1"/>
  <c r="K139" i="5"/>
  <c r="K140" i="5" s="1"/>
  <c r="J9" i="5" s="1"/>
  <c r="L141" i="5"/>
  <c r="I9" i="5" s="1"/>
  <c r="T168" i="12" s="1"/>
  <c r="K181" i="5"/>
  <c r="K182" i="5" s="1"/>
  <c r="O177" i="11"/>
  <c r="O179" i="11" s="1"/>
  <c r="N177" i="11"/>
  <c r="M179" i="11" s="1"/>
  <c r="M180" i="11" s="1"/>
  <c r="N183" i="11" s="1"/>
  <c r="K12" i="11" s="1"/>
  <c r="T142" i="12" s="1"/>
  <c r="N121" i="11"/>
  <c r="M123" i="11" s="1"/>
  <c r="M124" i="11" s="1"/>
  <c r="N127" i="11" s="1"/>
  <c r="K8" i="11" s="1"/>
  <c r="T138" i="12" s="1"/>
  <c r="N191" i="11"/>
  <c r="M193" i="11" s="1"/>
  <c r="M194" i="11" s="1"/>
  <c r="O135" i="11"/>
  <c r="O137" i="11" s="1"/>
  <c r="N135" i="11"/>
  <c r="M137" i="11" s="1"/>
  <c r="M138" i="11" s="1"/>
  <c r="Q153" i="12"/>
  <c r="Q102" i="12"/>
  <c r="Q51" i="12"/>
  <c r="L169" i="5" l="1"/>
  <c r="I11" i="5" s="1"/>
  <c r="T170" i="12" s="1"/>
  <c r="K167" i="5"/>
  <c r="K168" i="5" s="1"/>
  <c r="O149" i="11"/>
  <c r="O151" i="11" s="1"/>
  <c r="M153" i="11" s="1"/>
  <c r="M154" i="11" s="1"/>
  <c r="N163" i="11"/>
  <c r="M165" i="11" s="1"/>
  <c r="M166" i="11" s="1"/>
  <c r="N169" i="11" s="1"/>
  <c r="K11" i="11" s="1"/>
  <c r="T141" i="12" s="1"/>
  <c r="O163" i="11"/>
  <c r="O165" i="11" s="1"/>
  <c r="M167" i="11" s="1"/>
  <c r="M168" i="11" s="1"/>
  <c r="K127" i="5"/>
  <c r="J13" i="5"/>
  <c r="L16" i="4"/>
  <c r="J10" i="5"/>
  <c r="N214" i="4"/>
  <c r="K14" i="4" s="1"/>
  <c r="T87" i="12" s="1"/>
  <c r="M212" i="4"/>
  <c r="M213" i="4" s="1"/>
  <c r="L15" i="4"/>
  <c r="K141" i="5"/>
  <c r="M195" i="11"/>
  <c r="M196" i="11" s="1"/>
  <c r="M197" i="11" s="1"/>
  <c r="N197" i="11"/>
  <c r="M139" i="11"/>
  <c r="M140" i="11" s="1"/>
  <c r="M141" i="11" s="1"/>
  <c r="N141" i="11"/>
  <c r="K9" i="11" s="1"/>
  <c r="T139" i="12" s="1"/>
  <c r="K183" i="5"/>
  <c r="J12" i="5"/>
  <c r="M125" i="11"/>
  <c r="M126" i="11" s="1"/>
  <c r="M181" i="11"/>
  <c r="M182" i="11" s="1"/>
  <c r="H52" i="4"/>
  <c r="K13" i="11" l="1"/>
  <c r="T143" i="12" s="1"/>
  <c r="K169" i="5"/>
  <c r="J11" i="5"/>
  <c r="M169" i="11"/>
  <c r="L11" i="11"/>
  <c r="L9" i="11"/>
  <c r="M214" i="4"/>
  <c r="L14" i="4"/>
  <c r="L13" i="11"/>
  <c r="M155" i="11"/>
  <c r="L10" i="11"/>
  <c r="M127" i="11"/>
  <c r="L8" i="11"/>
  <c r="M183" i="11"/>
  <c r="L12" i="11"/>
  <c r="AE27" i="5"/>
  <c r="AE26" i="5"/>
  <c r="AE25" i="5"/>
  <c r="AE24" i="5"/>
  <c r="AE23" i="5"/>
  <c r="AE22" i="5"/>
  <c r="AA27" i="5"/>
  <c r="AA26" i="5"/>
  <c r="AA25" i="5"/>
  <c r="AA24" i="5"/>
  <c r="AA23" i="5"/>
  <c r="AA22" i="5"/>
  <c r="R40" i="6" l="1"/>
  <c r="F105" i="5"/>
  <c r="G80" i="3"/>
  <c r="D82" i="3" s="1"/>
  <c r="F86" i="3"/>
  <c r="N3" i="4"/>
  <c r="N4" i="4"/>
  <c r="N5" i="4"/>
  <c r="N6" i="4"/>
  <c r="N7" i="4"/>
  <c r="N8" i="4"/>
  <c r="N9" i="4"/>
  <c r="N10" i="4"/>
  <c r="N11" i="4"/>
  <c r="N12" i="4"/>
  <c r="N13" i="4"/>
  <c r="N2" i="4"/>
  <c r="L7" i="5"/>
  <c r="N3" i="11"/>
  <c r="N4" i="11"/>
  <c r="N5" i="11"/>
  <c r="N7" i="11"/>
  <c r="N2" i="11"/>
  <c r="L3" i="6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2" i="6"/>
  <c r="M247" i="6"/>
  <c r="M233" i="6"/>
  <c r="M219" i="6"/>
  <c r="M205" i="6"/>
  <c r="M191" i="6"/>
  <c r="M177" i="6"/>
  <c r="M163" i="6"/>
  <c r="M149" i="6"/>
  <c r="M135" i="6"/>
  <c r="M121" i="6"/>
  <c r="M107" i="6"/>
  <c r="M93" i="6"/>
  <c r="M79" i="6"/>
  <c r="M65" i="6"/>
  <c r="M51" i="6"/>
  <c r="O101" i="11"/>
  <c r="O87" i="11"/>
  <c r="O73" i="11"/>
  <c r="O59" i="11"/>
  <c r="O45" i="11"/>
  <c r="M101" i="5"/>
  <c r="M87" i="5"/>
  <c r="M73" i="5"/>
  <c r="M59" i="5"/>
  <c r="M45" i="5"/>
  <c r="O188" i="4"/>
  <c r="O174" i="4"/>
  <c r="O160" i="4"/>
  <c r="O146" i="4"/>
  <c r="O132" i="4"/>
  <c r="O118" i="4"/>
  <c r="O104" i="4"/>
  <c r="O90" i="4"/>
  <c r="O76" i="4"/>
  <c r="O62" i="4"/>
  <c r="O48" i="4"/>
  <c r="M244" i="3"/>
  <c r="M229" i="3"/>
  <c r="M214" i="3"/>
  <c r="M199" i="3"/>
  <c r="M184" i="3"/>
  <c r="M169" i="3"/>
  <c r="M154" i="3"/>
  <c r="M139" i="3"/>
  <c r="M124" i="3"/>
  <c r="M109" i="3"/>
  <c r="M94" i="3"/>
  <c r="M79" i="3"/>
  <c r="M64" i="3"/>
  <c r="M49" i="3"/>
  <c r="F56" i="3" l="1"/>
  <c r="F71" i="3"/>
  <c r="F206" i="3"/>
  <c r="F101" i="3"/>
  <c r="F161" i="3"/>
  <c r="F191" i="3"/>
  <c r="F176" i="3"/>
  <c r="F251" i="3"/>
  <c r="F131" i="3"/>
  <c r="F236" i="3"/>
  <c r="F116" i="3"/>
  <c r="F221" i="3"/>
  <c r="F146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2" i="3"/>
  <c r="F237" i="6" l="1"/>
  <c r="F223" i="6"/>
  <c r="F209" i="6"/>
  <c r="F195" i="6"/>
  <c r="F181" i="6"/>
  <c r="F153" i="6"/>
  <c r="F125" i="6"/>
  <c r="F111" i="6"/>
  <c r="F97" i="6"/>
  <c r="F83" i="6"/>
  <c r="F55" i="6"/>
  <c r="T43" i="6"/>
  <c r="T42" i="6"/>
  <c r="T41" i="6"/>
  <c r="T40" i="6"/>
  <c r="T39" i="6"/>
  <c r="T38" i="6"/>
  <c r="T37" i="6"/>
  <c r="T36" i="6"/>
  <c r="T35" i="6"/>
  <c r="T34" i="6"/>
  <c r="T33" i="6"/>
  <c r="T32" i="6"/>
  <c r="T31" i="6"/>
  <c r="T30" i="6"/>
  <c r="T29" i="6"/>
  <c r="T28" i="6"/>
  <c r="S43" i="6"/>
  <c r="S42" i="6"/>
  <c r="S41" i="6"/>
  <c r="S40" i="6"/>
  <c r="S39" i="6"/>
  <c r="S38" i="6"/>
  <c r="S37" i="6"/>
  <c r="S36" i="6"/>
  <c r="S35" i="6"/>
  <c r="S34" i="6"/>
  <c r="S33" i="6"/>
  <c r="S32" i="6"/>
  <c r="S31" i="6"/>
  <c r="S30" i="6"/>
  <c r="S29" i="6"/>
  <c r="S28" i="6"/>
  <c r="H105" i="11" l="1"/>
  <c r="H91" i="11"/>
  <c r="I102" i="11"/>
  <c r="F104" i="11" s="1"/>
  <c r="F91" i="5"/>
  <c r="S27" i="5"/>
  <c r="S26" i="5"/>
  <c r="S25" i="5"/>
  <c r="S24" i="5"/>
  <c r="H192" i="4"/>
  <c r="H108" i="4"/>
  <c r="H94" i="4"/>
  <c r="H80" i="4"/>
  <c r="F248" i="3"/>
  <c r="F233" i="3"/>
  <c r="F203" i="3"/>
  <c r="F188" i="3"/>
  <c r="F173" i="3"/>
  <c r="F143" i="3"/>
  <c r="F128" i="3"/>
  <c r="F113" i="3"/>
  <c r="F98" i="3"/>
  <c r="F69" i="6"/>
  <c r="H77" i="11" l="1"/>
  <c r="H178" i="4"/>
  <c r="H164" i="4"/>
  <c r="H150" i="4"/>
  <c r="H136" i="4"/>
  <c r="H122" i="4"/>
  <c r="G253" i="6" l="1"/>
  <c r="I252" i="6"/>
  <c r="K252" i="6" s="1"/>
  <c r="G251" i="6"/>
  <c r="F251" i="6"/>
  <c r="I251" i="6" s="1"/>
  <c r="K251" i="6" s="1"/>
  <c r="H250" i="6"/>
  <c r="G237" i="6"/>
  <c r="G223" i="6"/>
  <c r="G209" i="6"/>
  <c r="G195" i="6"/>
  <c r="G181" i="6"/>
  <c r="G167" i="6"/>
  <c r="G192" i="6"/>
  <c r="D194" i="6" s="1"/>
  <c r="G153" i="6"/>
  <c r="G139" i="6"/>
  <c r="G125" i="6"/>
  <c r="G111" i="6"/>
  <c r="G97" i="6"/>
  <c r="G83" i="6"/>
  <c r="G69" i="6"/>
  <c r="G55" i="6"/>
  <c r="G41" i="6"/>
  <c r="F15" i="6"/>
  <c r="J191" i="12" s="1"/>
  <c r="F16" i="6"/>
  <c r="J192" i="12" s="1"/>
  <c r="F12" i="6"/>
  <c r="J188" i="12" s="1"/>
  <c r="F13" i="6"/>
  <c r="J189" i="12" s="1"/>
  <c r="F9" i="6"/>
  <c r="J185" i="12" s="1"/>
  <c r="F10" i="6"/>
  <c r="J186" i="12" s="1"/>
  <c r="F6" i="6"/>
  <c r="J182" i="12" s="1"/>
  <c r="F7" i="6"/>
  <c r="J183" i="12" s="1"/>
  <c r="F3" i="6"/>
  <c r="J179" i="12" s="1"/>
  <c r="F4" i="6"/>
  <c r="J180" i="12" s="1"/>
  <c r="F17" i="6"/>
  <c r="J193" i="12" s="1"/>
  <c r="F14" i="6"/>
  <c r="J190" i="12" s="1"/>
  <c r="F11" i="6"/>
  <c r="J187" i="12" s="1"/>
  <c r="F8" i="6"/>
  <c r="J184" i="12" s="1"/>
  <c r="F5" i="6"/>
  <c r="J181" i="12" s="1"/>
  <c r="F2" i="6"/>
  <c r="J178" i="12" s="1"/>
  <c r="D17" i="6"/>
  <c r="P43" i="6" s="1"/>
  <c r="C15" i="6"/>
  <c r="D15" i="6"/>
  <c r="P41" i="6" s="1"/>
  <c r="C16" i="6"/>
  <c r="D16" i="6"/>
  <c r="P42" i="6" s="1"/>
  <c r="D14" i="6"/>
  <c r="P40" i="6" s="1"/>
  <c r="C12" i="6"/>
  <c r="D12" i="6"/>
  <c r="P38" i="6" s="1"/>
  <c r="C13" i="6"/>
  <c r="D13" i="6"/>
  <c r="P39" i="6" s="1"/>
  <c r="D11" i="6"/>
  <c r="P37" i="6" s="1"/>
  <c r="C9" i="6"/>
  <c r="D9" i="6"/>
  <c r="P35" i="6" s="1"/>
  <c r="C10" i="6"/>
  <c r="D10" i="6"/>
  <c r="P36" i="6" s="1"/>
  <c r="D8" i="6"/>
  <c r="P34" i="6" s="1"/>
  <c r="C6" i="6"/>
  <c r="D6" i="6"/>
  <c r="P32" i="6" s="1"/>
  <c r="C7" i="6"/>
  <c r="D7" i="6"/>
  <c r="P33" i="6" s="1"/>
  <c r="D5" i="6"/>
  <c r="P31" i="6" s="1"/>
  <c r="C3" i="6"/>
  <c r="D3" i="6"/>
  <c r="P29" i="6" s="1"/>
  <c r="C4" i="6"/>
  <c r="K4" i="6" s="1"/>
  <c r="D4" i="6"/>
  <c r="P30" i="6" s="1"/>
  <c r="D2" i="6"/>
  <c r="C17" i="6"/>
  <c r="K17" i="6" s="1"/>
  <c r="C14" i="6"/>
  <c r="C11" i="6"/>
  <c r="C8" i="6"/>
  <c r="C5" i="6"/>
  <c r="C2" i="6"/>
  <c r="K2" i="6" s="1"/>
  <c r="B17" i="6"/>
  <c r="E261" i="6" s="1"/>
  <c r="A17" i="6"/>
  <c r="J136" i="12"/>
  <c r="J137" i="12"/>
  <c r="J133" i="12"/>
  <c r="J134" i="12"/>
  <c r="J135" i="12"/>
  <c r="J132" i="12"/>
  <c r="M6" i="11"/>
  <c r="R28" i="11"/>
  <c r="R26" i="11"/>
  <c r="R24" i="11"/>
  <c r="G60" i="11"/>
  <c r="F62" i="11" s="1"/>
  <c r="G32" i="11"/>
  <c r="F34" i="11" s="1"/>
  <c r="G101" i="11"/>
  <c r="H31" i="11"/>
  <c r="G45" i="11"/>
  <c r="I107" i="11"/>
  <c r="I105" i="11"/>
  <c r="J104" i="11"/>
  <c r="K104" i="11"/>
  <c r="M104" i="11" s="1"/>
  <c r="I93" i="11"/>
  <c r="K92" i="11"/>
  <c r="M92" i="11" s="1"/>
  <c r="I91" i="11"/>
  <c r="J90" i="11"/>
  <c r="I79" i="11"/>
  <c r="K78" i="11"/>
  <c r="M78" i="11" s="1"/>
  <c r="I77" i="11"/>
  <c r="J76" i="11"/>
  <c r="O76" i="11" s="1"/>
  <c r="I65" i="11"/>
  <c r="I63" i="11"/>
  <c r="K63" i="11" s="1"/>
  <c r="M63" i="11" s="1"/>
  <c r="J62" i="11"/>
  <c r="O62" i="11" s="1"/>
  <c r="I51" i="11"/>
  <c r="K50" i="11"/>
  <c r="M50" i="11" s="1"/>
  <c r="I49" i="11"/>
  <c r="J48" i="11"/>
  <c r="I37" i="11"/>
  <c r="I35" i="11"/>
  <c r="H35" i="11"/>
  <c r="J34" i="11"/>
  <c r="D261" i="6" l="1"/>
  <c r="F193" i="12"/>
  <c r="O63" i="11"/>
  <c r="N63" i="11"/>
  <c r="R27" i="11"/>
  <c r="G88" i="11"/>
  <c r="F90" i="11" s="1"/>
  <c r="I157" i="11"/>
  <c r="I143" i="11"/>
  <c r="I115" i="11"/>
  <c r="I185" i="11"/>
  <c r="I171" i="11"/>
  <c r="I101" i="11"/>
  <c r="I73" i="11"/>
  <c r="I87" i="11"/>
  <c r="I129" i="11"/>
  <c r="F101" i="11"/>
  <c r="F136" i="12"/>
  <c r="H129" i="11"/>
  <c r="H157" i="11"/>
  <c r="H143" i="11"/>
  <c r="H115" i="11"/>
  <c r="H185" i="11"/>
  <c r="H171" i="11"/>
  <c r="H101" i="11"/>
  <c r="H73" i="11"/>
  <c r="H87" i="11"/>
  <c r="F63" i="11"/>
  <c r="F65" i="11"/>
  <c r="F64" i="11"/>
  <c r="Q27" i="11"/>
  <c r="F88" i="11"/>
  <c r="F133" i="12"/>
  <c r="F60" i="11"/>
  <c r="M4" i="11"/>
  <c r="Q24" i="11"/>
  <c r="M3" i="11"/>
  <c r="Q23" i="11"/>
  <c r="M2" i="11"/>
  <c r="M7" i="11"/>
  <c r="F74" i="11"/>
  <c r="M5" i="11"/>
  <c r="O29" i="6"/>
  <c r="Q29" i="6" s="1"/>
  <c r="U29" i="6" s="1"/>
  <c r="K3" i="6"/>
  <c r="O30" i="6"/>
  <c r="Q30" i="6" s="1"/>
  <c r="U30" i="6" s="1"/>
  <c r="O31" i="6"/>
  <c r="Q31" i="6" s="1"/>
  <c r="K5" i="6"/>
  <c r="O33" i="6"/>
  <c r="Q33" i="6" s="1"/>
  <c r="K7" i="6"/>
  <c r="O32" i="6"/>
  <c r="Q32" i="6" s="1"/>
  <c r="K6" i="6"/>
  <c r="O36" i="6"/>
  <c r="Q36" i="6" s="1"/>
  <c r="K10" i="6"/>
  <c r="O35" i="6"/>
  <c r="Q35" i="6" s="1"/>
  <c r="K9" i="6"/>
  <c r="O34" i="6"/>
  <c r="Q34" i="6" s="1"/>
  <c r="K8" i="6"/>
  <c r="O39" i="6"/>
  <c r="Q39" i="6" s="1"/>
  <c r="K13" i="6"/>
  <c r="O37" i="6"/>
  <c r="Q37" i="6" s="1"/>
  <c r="K11" i="6"/>
  <c r="O38" i="6"/>
  <c r="Q38" i="6" s="1"/>
  <c r="K12" i="6"/>
  <c r="O40" i="6"/>
  <c r="Q40" i="6" s="1"/>
  <c r="K14" i="6"/>
  <c r="O41" i="6"/>
  <c r="Q41" i="6" s="1"/>
  <c r="K15" i="6"/>
  <c r="O42" i="6"/>
  <c r="Q42" i="6" s="1"/>
  <c r="K16" i="6"/>
  <c r="F66" i="6"/>
  <c r="K34" i="11"/>
  <c r="M34" i="11" s="1"/>
  <c r="N34" i="11" s="1"/>
  <c r="I250" i="6"/>
  <c r="K250" i="6" s="1"/>
  <c r="M250" i="6" s="1"/>
  <c r="O44" i="6"/>
  <c r="H102" i="11"/>
  <c r="P44" i="6"/>
  <c r="D247" i="6"/>
  <c r="E247" i="6"/>
  <c r="D248" i="6"/>
  <c r="E248" i="6"/>
  <c r="D250" i="6" s="1"/>
  <c r="D251" i="6" s="1"/>
  <c r="O43" i="6"/>
  <c r="Q43" i="6" s="1"/>
  <c r="M251" i="6"/>
  <c r="L251" i="6"/>
  <c r="M252" i="6"/>
  <c r="L252" i="6"/>
  <c r="F192" i="6"/>
  <c r="K48" i="11"/>
  <c r="M48" i="11" s="1"/>
  <c r="N48" i="11" s="1"/>
  <c r="H45" i="11"/>
  <c r="K91" i="11"/>
  <c r="M91" i="11" s="1"/>
  <c r="O91" i="11" s="1"/>
  <c r="R25" i="11"/>
  <c r="K35" i="11"/>
  <c r="M35" i="11" s="1"/>
  <c r="O35" i="11" s="1"/>
  <c r="K105" i="11"/>
  <c r="M105" i="11" s="1"/>
  <c r="O105" i="11" s="1"/>
  <c r="G74" i="11"/>
  <c r="F76" i="11" s="1"/>
  <c r="F32" i="11"/>
  <c r="K49" i="11"/>
  <c r="M49" i="11" s="1"/>
  <c r="N49" i="11" s="1"/>
  <c r="K77" i="11"/>
  <c r="M77" i="11" s="1"/>
  <c r="O77" i="11" s="1"/>
  <c r="N92" i="11"/>
  <c r="O92" i="11"/>
  <c r="K90" i="11"/>
  <c r="M90" i="11" s="1"/>
  <c r="O90" i="11" s="1"/>
  <c r="G46" i="11"/>
  <c r="G102" i="11"/>
  <c r="F105" i="11" s="1"/>
  <c r="Q26" i="11"/>
  <c r="G87" i="11"/>
  <c r="G73" i="11"/>
  <c r="G31" i="11"/>
  <c r="O50" i="11"/>
  <c r="N50" i="11"/>
  <c r="R23" i="11"/>
  <c r="F45" i="11"/>
  <c r="F31" i="11"/>
  <c r="F59" i="11"/>
  <c r="I59" i="11"/>
  <c r="I45" i="11"/>
  <c r="I31" i="11"/>
  <c r="O78" i="11"/>
  <c r="N78" i="11"/>
  <c r="O104" i="11"/>
  <c r="N104" i="11"/>
  <c r="F35" i="11"/>
  <c r="F36" i="11"/>
  <c r="F37" i="11"/>
  <c r="F102" i="11"/>
  <c r="Q28" i="11"/>
  <c r="G59" i="11"/>
  <c r="Q25" i="11"/>
  <c r="F46" i="11"/>
  <c r="H59" i="11"/>
  <c r="F73" i="11"/>
  <c r="F87" i="11"/>
  <c r="V24" i="11" l="1" a="1"/>
  <c r="V24" i="11" s="1"/>
  <c r="W24" i="11" a="1"/>
  <c r="W24" i="11" s="1"/>
  <c r="U24" i="11" a="1"/>
  <c r="U24" i="11" s="1"/>
  <c r="T24" i="11" a="1"/>
  <c r="T24" i="11" s="1"/>
  <c r="X24" i="11" s="1"/>
  <c r="H51" i="11" s="1"/>
  <c r="K51" i="11" s="1"/>
  <c r="M51" i="11" s="1"/>
  <c r="W25" i="11" a="1"/>
  <c r="W25" i="11" s="1"/>
  <c r="U25" i="11" a="1"/>
  <c r="U25" i="11" s="1"/>
  <c r="V25" i="11" a="1"/>
  <c r="V25" i="11" s="1"/>
  <c r="T25" i="11" a="1"/>
  <c r="T25" i="11" s="1"/>
  <c r="W23" i="11" a="1"/>
  <c r="W23" i="11" s="1"/>
  <c r="U23" i="11" a="1"/>
  <c r="U23" i="11" s="1"/>
  <c r="V23" i="11" a="1"/>
  <c r="V23" i="11" s="1"/>
  <c r="T23" i="11" a="1"/>
  <c r="T23" i="11" s="1"/>
  <c r="G2" i="11" s="1"/>
  <c r="W26" i="11" a="1"/>
  <c r="W26" i="11" s="1"/>
  <c r="U26" i="11" a="1"/>
  <c r="U26" i="11" s="1"/>
  <c r="V26" i="11" a="1"/>
  <c r="V26" i="11" s="1"/>
  <c r="T26" i="11" a="1"/>
  <c r="T26" i="11" s="1"/>
  <c r="G5" i="11" s="1"/>
  <c r="J5" i="11" s="1"/>
  <c r="O135" i="12" s="1"/>
  <c r="U27" i="11" a="1"/>
  <c r="U27" i="11" s="1"/>
  <c r="V27" i="11" a="1"/>
  <c r="V27" i="11" s="1"/>
  <c r="W27" i="11" a="1"/>
  <c r="W27" i="11" s="1"/>
  <c r="T27" i="11" a="1"/>
  <c r="T27" i="11" s="1"/>
  <c r="U28" i="11" a="1"/>
  <c r="U28" i="11" s="1"/>
  <c r="V28" i="11" a="1"/>
  <c r="V28" i="11" s="1"/>
  <c r="W28" i="11" a="1"/>
  <c r="W28" i="11" s="1"/>
  <c r="T28" i="11" a="1"/>
  <c r="T28" i="11" s="1"/>
  <c r="G7" i="11" s="1"/>
  <c r="F91" i="11"/>
  <c r="F93" i="11"/>
  <c r="F92" i="11"/>
  <c r="F78" i="11"/>
  <c r="F77" i="11"/>
  <c r="F79" i="11"/>
  <c r="F48" i="11"/>
  <c r="F50" i="11" s="1"/>
  <c r="O49" i="11"/>
  <c r="E3" i="6"/>
  <c r="H3" i="6" s="1"/>
  <c r="O179" i="12" s="1"/>
  <c r="F57" i="6"/>
  <c r="F71" i="6"/>
  <c r="E4" i="6"/>
  <c r="H4" i="6" s="1"/>
  <c r="O180" i="12" s="1"/>
  <c r="E6" i="6"/>
  <c r="H6" i="6" s="1"/>
  <c r="O182" i="12" s="1"/>
  <c r="U32" i="6"/>
  <c r="F99" i="6" s="1"/>
  <c r="U33" i="6"/>
  <c r="F113" i="6" s="1"/>
  <c r="E7" i="6"/>
  <c r="H7" i="6" s="1"/>
  <c r="O183" i="12" s="1"/>
  <c r="U31" i="6"/>
  <c r="F85" i="6" s="1"/>
  <c r="E5" i="6"/>
  <c r="H5" i="6" s="1"/>
  <c r="O181" i="12" s="1"/>
  <c r="E8" i="6"/>
  <c r="H8" i="6" s="1"/>
  <c r="O184" i="12" s="1"/>
  <c r="U34" i="6"/>
  <c r="F127" i="6" s="1"/>
  <c r="E9" i="6"/>
  <c r="H9" i="6" s="1"/>
  <c r="O185" i="12" s="1"/>
  <c r="U35" i="6"/>
  <c r="F141" i="6" s="1"/>
  <c r="U36" i="6"/>
  <c r="F155" i="6" s="1"/>
  <c r="E10" i="6"/>
  <c r="H10" i="6" s="1"/>
  <c r="O186" i="12" s="1"/>
  <c r="U38" i="6"/>
  <c r="F183" i="6" s="1"/>
  <c r="E12" i="6"/>
  <c r="H12" i="6" s="1"/>
  <c r="O188" i="12" s="1"/>
  <c r="E13" i="6"/>
  <c r="H13" i="6" s="1"/>
  <c r="O189" i="12" s="1"/>
  <c r="U39" i="6"/>
  <c r="F197" i="6" s="1"/>
  <c r="U37" i="6"/>
  <c r="F169" i="6" s="1"/>
  <c r="E11" i="6"/>
  <c r="H11" i="6" s="1"/>
  <c r="O187" i="12" s="1"/>
  <c r="E14" i="6"/>
  <c r="H14" i="6" s="1"/>
  <c r="O190" i="12" s="1"/>
  <c r="U40" i="6"/>
  <c r="F211" i="6" s="1"/>
  <c r="E15" i="6"/>
  <c r="H15" i="6" s="1"/>
  <c r="O191" i="12" s="1"/>
  <c r="U41" i="6"/>
  <c r="F225" i="6" s="1"/>
  <c r="E16" i="6"/>
  <c r="H16" i="6" s="1"/>
  <c r="O192" i="12" s="1"/>
  <c r="U42" i="6"/>
  <c r="F239" i="6" s="1"/>
  <c r="E17" i="6"/>
  <c r="H17" i="6" s="1"/>
  <c r="O193" i="12" s="1"/>
  <c r="U43" i="6"/>
  <c r="F253" i="6" s="1"/>
  <c r="I253" i="6" s="1"/>
  <c r="K253" i="6" s="1"/>
  <c r="L250" i="6"/>
  <c r="O34" i="11"/>
  <c r="D253" i="6"/>
  <c r="D252" i="6"/>
  <c r="O48" i="11"/>
  <c r="N105" i="11"/>
  <c r="N77" i="11"/>
  <c r="N91" i="11"/>
  <c r="N35" i="11"/>
  <c r="N90" i="11"/>
  <c r="F107" i="11"/>
  <c r="F106" i="11"/>
  <c r="G3" i="11" l="1"/>
  <c r="J3" i="11" s="1"/>
  <c r="O133" i="12" s="1"/>
  <c r="X25" i="11"/>
  <c r="H65" i="11" s="1"/>
  <c r="K65" i="11" s="1"/>
  <c r="M65" i="11" s="1"/>
  <c r="X23" i="11"/>
  <c r="H37" i="11" s="1"/>
  <c r="K37" i="11" s="1"/>
  <c r="M37" i="11" s="1"/>
  <c r="N37" i="11" s="1"/>
  <c r="M39" i="11" s="1"/>
  <c r="M40" i="11" s="1"/>
  <c r="N43" i="11" s="1"/>
  <c r="K2" i="11" s="1"/>
  <c r="T132" i="12" s="1"/>
  <c r="F51" i="11"/>
  <c r="J2" i="11"/>
  <c r="O132" i="12" s="1"/>
  <c r="G4" i="11"/>
  <c r="J4" i="11" s="1"/>
  <c r="O134" i="12" s="1"/>
  <c r="F49" i="11"/>
  <c r="X27" i="11"/>
  <c r="H93" i="11" s="1"/>
  <c r="K93" i="11" s="1"/>
  <c r="M93" i="11" s="1"/>
  <c r="N93" i="11" s="1"/>
  <c r="M95" i="11" s="1"/>
  <c r="M96" i="11" s="1"/>
  <c r="N99" i="11" s="1"/>
  <c r="K6" i="11" s="1"/>
  <c r="T136" i="12" s="1"/>
  <c r="X28" i="11"/>
  <c r="H107" i="11" s="1"/>
  <c r="K107" i="11" s="1"/>
  <c r="M107" i="11" s="1"/>
  <c r="O107" i="11" s="1"/>
  <c r="O109" i="11" s="1"/>
  <c r="G6" i="11"/>
  <c r="X26" i="11"/>
  <c r="H79" i="11" s="1"/>
  <c r="K79" i="11" s="1"/>
  <c r="M79" i="11" s="1"/>
  <c r="O79" i="11" s="1"/>
  <c r="O81" i="11" s="1"/>
  <c r="J7" i="11"/>
  <c r="O137" i="12" s="1"/>
  <c r="O65" i="11"/>
  <c r="O67" i="11" s="1"/>
  <c r="N65" i="11"/>
  <c r="M67" i="11" s="1"/>
  <c r="M68" i="11" s="1"/>
  <c r="J6" i="11"/>
  <c r="O136" i="12" s="1"/>
  <c r="M253" i="6"/>
  <c r="M255" i="6" s="1"/>
  <c r="L253" i="6"/>
  <c r="K255" i="6" s="1"/>
  <c r="K256" i="6" s="1"/>
  <c r="L259" i="6" s="1"/>
  <c r="I17" i="6" s="1"/>
  <c r="T193" i="12" s="1"/>
  <c r="N51" i="11"/>
  <c r="M53" i="11" s="1"/>
  <c r="M54" i="11" s="1"/>
  <c r="N57" i="11" s="1"/>
  <c r="K3" i="11" s="1"/>
  <c r="T133" i="12" s="1"/>
  <c r="O51" i="11"/>
  <c r="O53" i="11" s="1"/>
  <c r="O37" i="11" l="1"/>
  <c r="O39" i="11" s="1"/>
  <c r="M41" i="11" s="1"/>
  <c r="M42" i="11" s="1"/>
  <c r="M43" i="11" s="1"/>
  <c r="O93" i="11"/>
  <c r="O95" i="11" s="1"/>
  <c r="M97" i="11" s="1"/>
  <c r="M98" i="11" s="1"/>
  <c r="M99" i="11" s="1"/>
  <c r="M69" i="11"/>
  <c r="M70" i="11" s="1"/>
  <c r="M71" i="11" s="1"/>
  <c r="N71" i="11"/>
  <c r="K4" i="11" s="1"/>
  <c r="T134" i="12" s="1"/>
  <c r="N79" i="11"/>
  <c r="M81" i="11" s="1"/>
  <c r="M82" i="11" s="1"/>
  <c r="N85" i="11" s="1"/>
  <c r="K5" i="11" s="1"/>
  <c r="T135" i="12" s="1"/>
  <c r="N107" i="11"/>
  <c r="M109" i="11" s="1"/>
  <c r="M110" i="11" s="1"/>
  <c r="K257" i="6"/>
  <c r="K258" i="6" s="1"/>
  <c r="K259" i="6" s="1"/>
  <c r="M55" i="11"/>
  <c r="M56" i="11" s="1"/>
  <c r="L4" i="11" l="1"/>
  <c r="M111" i="11"/>
  <c r="M112" i="11" s="1"/>
  <c r="M113" i="11" s="1"/>
  <c r="N113" i="11"/>
  <c r="K7" i="11" s="1"/>
  <c r="T137" i="12" s="1"/>
  <c r="L3" i="11"/>
  <c r="M57" i="11"/>
  <c r="M83" i="11"/>
  <c r="M84" i="11" s="1"/>
  <c r="J17" i="6"/>
  <c r="G105" i="5"/>
  <c r="G91" i="5"/>
  <c r="G77" i="5"/>
  <c r="G63" i="5"/>
  <c r="G49" i="5"/>
  <c r="G35" i="5"/>
  <c r="J165" i="12"/>
  <c r="J166" i="12"/>
  <c r="J162" i="12"/>
  <c r="J163" i="12"/>
  <c r="J164" i="12"/>
  <c r="J161" i="12"/>
  <c r="K6" i="5"/>
  <c r="K7" i="5"/>
  <c r="K3" i="5"/>
  <c r="K4" i="5"/>
  <c r="K5" i="5"/>
  <c r="K2" i="5"/>
  <c r="I192" i="4"/>
  <c r="I178" i="4"/>
  <c r="I164" i="4"/>
  <c r="I150" i="4"/>
  <c r="I136" i="4"/>
  <c r="I122" i="4"/>
  <c r="I108" i="4"/>
  <c r="I94" i="4"/>
  <c r="I80" i="4"/>
  <c r="I66" i="4"/>
  <c r="I52" i="4"/>
  <c r="I38" i="4"/>
  <c r="J85" i="12"/>
  <c r="J86" i="12"/>
  <c r="J82" i="12"/>
  <c r="J83" i="12"/>
  <c r="J79" i="12"/>
  <c r="J80" i="12"/>
  <c r="J76" i="12"/>
  <c r="J84" i="12"/>
  <c r="J81" i="12"/>
  <c r="J78" i="12"/>
  <c r="J75" i="12"/>
  <c r="G248" i="3"/>
  <c r="G233" i="3"/>
  <c r="G218" i="3"/>
  <c r="G203" i="3"/>
  <c r="G188" i="3"/>
  <c r="G173" i="3"/>
  <c r="G158" i="3"/>
  <c r="G143" i="3"/>
  <c r="G128" i="3"/>
  <c r="G113" i="3"/>
  <c r="G98" i="3"/>
  <c r="G83" i="3"/>
  <c r="F83" i="3"/>
  <c r="G68" i="3"/>
  <c r="G53" i="3"/>
  <c r="L7" i="11" l="1"/>
  <c r="J77" i="12"/>
  <c r="J4" i="4"/>
  <c r="O77" i="12" s="1"/>
  <c r="L2" i="11"/>
  <c r="G38" i="3"/>
  <c r="J124" i="12"/>
  <c r="J125" i="12"/>
  <c r="J121" i="12"/>
  <c r="J122" i="12"/>
  <c r="J118" i="12"/>
  <c r="J119" i="12"/>
  <c r="J115" i="12"/>
  <c r="J116" i="12"/>
  <c r="J112" i="12"/>
  <c r="J113" i="12"/>
  <c r="J123" i="12"/>
  <c r="J120" i="12"/>
  <c r="J117" i="12"/>
  <c r="J114" i="12"/>
  <c r="J111" i="12"/>
  <c r="K16" i="3"/>
  <c r="K7" i="3"/>
  <c r="O29" i="3" l="1"/>
  <c r="K6" i="3"/>
  <c r="K8" i="3"/>
  <c r="K4" i="3"/>
  <c r="K10" i="3"/>
  <c r="K9" i="3"/>
  <c r="K11" i="3"/>
  <c r="K15" i="3"/>
  <c r="K5" i="3"/>
  <c r="K12" i="3"/>
  <c r="K13" i="3"/>
  <c r="K14" i="3"/>
  <c r="K2" i="3"/>
  <c r="K3" i="3"/>
  <c r="L5" i="11"/>
  <c r="M85" i="11"/>
  <c r="F80" i="3"/>
  <c r="G239" i="6"/>
  <c r="I239" i="6" s="1"/>
  <c r="K239" i="6" s="1"/>
  <c r="I238" i="6"/>
  <c r="K238" i="6" s="1"/>
  <c r="M238" i="6" s="1"/>
  <c r="I237" i="6"/>
  <c r="K237" i="6" s="1"/>
  <c r="H236" i="6"/>
  <c r="E234" i="6"/>
  <c r="D236" i="6" s="1"/>
  <c r="G225" i="6"/>
  <c r="I224" i="6"/>
  <c r="K224" i="6" s="1"/>
  <c r="H222" i="6"/>
  <c r="E220" i="6"/>
  <c r="D222" i="6" s="1"/>
  <c r="G211" i="6"/>
  <c r="I210" i="6"/>
  <c r="K210" i="6" s="1"/>
  <c r="H208" i="6"/>
  <c r="I208" i="6"/>
  <c r="K208" i="6" s="1"/>
  <c r="E206" i="6"/>
  <c r="D208" i="6" s="1"/>
  <c r="G197" i="6"/>
  <c r="I196" i="6"/>
  <c r="K196" i="6" s="1"/>
  <c r="H194" i="6"/>
  <c r="E192" i="6"/>
  <c r="G183" i="6"/>
  <c r="I182" i="6"/>
  <c r="K182" i="6" s="1"/>
  <c r="H180" i="6"/>
  <c r="I180" i="6"/>
  <c r="K180" i="6" s="1"/>
  <c r="E178" i="6"/>
  <c r="D180" i="6" s="1"/>
  <c r="G169" i="6"/>
  <c r="I168" i="6"/>
  <c r="K168" i="6" s="1"/>
  <c r="F167" i="6"/>
  <c r="I167" i="6" s="1"/>
  <c r="K167" i="6" s="1"/>
  <c r="H166" i="6"/>
  <c r="E164" i="6"/>
  <c r="D166" i="6" s="1"/>
  <c r="G155" i="6"/>
  <c r="I154" i="6"/>
  <c r="K154" i="6" s="1"/>
  <c r="H152" i="6"/>
  <c r="E150" i="6"/>
  <c r="D152" i="6" s="1"/>
  <c r="G141" i="6"/>
  <c r="I140" i="6"/>
  <c r="K140" i="6" s="1"/>
  <c r="M140" i="6" s="1"/>
  <c r="F139" i="6"/>
  <c r="I139" i="6" s="1"/>
  <c r="K139" i="6" s="1"/>
  <c r="H138" i="6"/>
  <c r="I138" i="6"/>
  <c r="K138" i="6" s="1"/>
  <c r="E136" i="6"/>
  <c r="D138" i="6" s="1"/>
  <c r="G127" i="6"/>
  <c r="I126" i="6"/>
  <c r="K126" i="6" s="1"/>
  <c r="I125" i="6"/>
  <c r="K125" i="6" s="1"/>
  <c r="M125" i="6" s="1"/>
  <c r="H124" i="6"/>
  <c r="E122" i="6"/>
  <c r="D124" i="6" s="1"/>
  <c r="G113" i="6"/>
  <c r="I112" i="6"/>
  <c r="K112" i="6" s="1"/>
  <c r="I111" i="6"/>
  <c r="K111" i="6" s="1"/>
  <c r="H110" i="6"/>
  <c r="I110" i="6"/>
  <c r="K110" i="6" s="1"/>
  <c r="E108" i="6"/>
  <c r="D110" i="6" s="1"/>
  <c r="G99" i="6"/>
  <c r="I98" i="6"/>
  <c r="K98" i="6" s="1"/>
  <c r="H96" i="6"/>
  <c r="E94" i="6"/>
  <c r="D96" i="6" s="1"/>
  <c r="G85" i="6"/>
  <c r="I84" i="6"/>
  <c r="K84" i="6" s="1"/>
  <c r="I83" i="6"/>
  <c r="K83" i="6" s="1"/>
  <c r="H82" i="6"/>
  <c r="E80" i="6"/>
  <c r="D82" i="6" s="1"/>
  <c r="G71" i="6"/>
  <c r="I71" i="6" s="1"/>
  <c r="K71" i="6" s="1"/>
  <c r="I70" i="6"/>
  <c r="K70" i="6" s="1"/>
  <c r="H68" i="6"/>
  <c r="I68" i="6"/>
  <c r="K68" i="6" s="1"/>
  <c r="E66" i="6"/>
  <c r="G57" i="6"/>
  <c r="I56" i="6"/>
  <c r="K56" i="6" s="1"/>
  <c r="H54" i="6"/>
  <c r="E52" i="6"/>
  <c r="D54" i="6" s="1"/>
  <c r="G43" i="6"/>
  <c r="I42" i="6"/>
  <c r="K42" i="6" s="1"/>
  <c r="I225" i="6"/>
  <c r="K225" i="6" s="1"/>
  <c r="F41" i="6"/>
  <c r="H40" i="6"/>
  <c r="E38" i="6"/>
  <c r="D40" i="6" s="1"/>
  <c r="D41" i="6" s="1"/>
  <c r="P28" i="6"/>
  <c r="B14" i="6"/>
  <c r="A14" i="6"/>
  <c r="F191" i="12" s="1"/>
  <c r="D178" i="6"/>
  <c r="D164" i="6"/>
  <c r="B11" i="6"/>
  <c r="A11" i="6"/>
  <c r="D150" i="6"/>
  <c r="D136" i="6"/>
  <c r="D122" i="6"/>
  <c r="B8" i="6"/>
  <c r="E135" i="6" s="1"/>
  <c r="A8" i="6"/>
  <c r="B5" i="6"/>
  <c r="A5" i="6"/>
  <c r="D38" i="6"/>
  <c r="B2" i="6"/>
  <c r="E51" i="6" s="1"/>
  <c r="A2" i="6"/>
  <c r="G107" i="5"/>
  <c r="I106" i="5"/>
  <c r="K106" i="5" s="1"/>
  <c r="H104" i="5"/>
  <c r="I104" i="5"/>
  <c r="K104" i="5" s="1"/>
  <c r="E102" i="5"/>
  <c r="G93" i="5"/>
  <c r="I92" i="5"/>
  <c r="K92" i="5" s="1"/>
  <c r="I91" i="5"/>
  <c r="K91" i="5" s="1"/>
  <c r="M91" i="5" s="1"/>
  <c r="H90" i="5"/>
  <c r="E88" i="5"/>
  <c r="D90" i="5" s="1"/>
  <c r="G79" i="5"/>
  <c r="I78" i="5"/>
  <c r="K78" i="5" s="1"/>
  <c r="F77" i="5"/>
  <c r="H76" i="5"/>
  <c r="E74" i="5"/>
  <c r="D76" i="5" s="1"/>
  <c r="G65" i="5"/>
  <c r="I64" i="5"/>
  <c r="K64" i="5" s="1"/>
  <c r="H62" i="5"/>
  <c r="G51" i="5"/>
  <c r="I50" i="5"/>
  <c r="K50" i="5" s="1"/>
  <c r="H48" i="5"/>
  <c r="G37" i="5"/>
  <c r="I36" i="5"/>
  <c r="K36" i="5" s="1"/>
  <c r="F35" i="5"/>
  <c r="H34" i="5"/>
  <c r="P27" i="5"/>
  <c r="P26" i="5"/>
  <c r="P25" i="5"/>
  <c r="AD27" i="5"/>
  <c r="AC27" i="5"/>
  <c r="AB27" i="5"/>
  <c r="F102" i="5"/>
  <c r="O26" i="5"/>
  <c r="O25" i="5"/>
  <c r="E73" i="5"/>
  <c r="M163" i="12"/>
  <c r="R163" i="12" s="1"/>
  <c r="W163" i="12" s="1"/>
  <c r="M162" i="12"/>
  <c r="R162" i="12" s="1"/>
  <c r="W162" i="12" s="1"/>
  <c r="P23" i="5"/>
  <c r="D46" i="5"/>
  <c r="M161" i="12"/>
  <c r="R161" i="12" s="1"/>
  <c r="W161" i="12" s="1"/>
  <c r="P22" i="5"/>
  <c r="E45" i="5"/>
  <c r="I194" i="4"/>
  <c r="K193" i="4"/>
  <c r="M193" i="4" s="1"/>
  <c r="K192" i="4"/>
  <c r="M192" i="4" s="1"/>
  <c r="J191" i="4"/>
  <c r="K191" i="4"/>
  <c r="M191" i="4" s="1"/>
  <c r="N191" i="4" s="1"/>
  <c r="G189" i="4"/>
  <c r="F191" i="4" s="1"/>
  <c r="I180" i="4"/>
  <c r="K179" i="4"/>
  <c r="M179" i="4" s="1"/>
  <c r="J177" i="4"/>
  <c r="G175" i="4"/>
  <c r="F177" i="4" s="1"/>
  <c r="I166" i="4"/>
  <c r="K165" i="4"/>
  <c r="M165" i="4" s="1"/>
  <c r="J163" i="4"/>
  <c r="K163" i="4"/>
  <c r="M163" i="4" s="1"/>
  <c r="G161" i="4"/>
  <c r="F163" i="4" s="1"/>
  <c r="I152" i="4"/>
  <c r="K151" i="4"/>
  <c r="M151" i="4" s="1"/>
  <c r="K150" i="4"/>
  <c r="M150" i="4" s="1"/>
  <c r="J149" i="4"/>
  <c r="G147" i="4"/>
  <c r="F149" i="4" s="1"/>
  <c r="I138" i="4"/>
  <c r="K137" i="4"/>
  <c r="M137" i="4" s="1"/>
  <c r="N137" i="4" s="1"/>
  <c r="K136" i="4"/>
  <c r="M136" i="4" s="1"/>
  <c r="O136" i="4" s="1"/>
  <c r="J135" i="4"/>
  <c r="G133" i="4"/>
  <c r="F135" i="4" s="1"/>
  <c r="I124" i="4"/>
  <c r="K123" i="4"/>
  <c r="M123" i="4" s="1"/>
  <c r="J121" i="4"/>
  <c r="K121" i="4"/>
  <c r="M121" i="4" s="1"/>
  <c r="N121" i="4" s="1"/>
  <c r="G119" i="4"/>
  <c r="F121" i="4" s="1"/>
  <c r="I110" i="4"/>
  <c r="K109" i="4"/>
  <c r="M109" i="4" s="1"/>
  <c r="K108" i="4"/>
  <c r="M108" i="4" s="1"/>
  <c r="J107" i="4"/>
  <c r="K107" i="4"/>
  <c r="M107" i="4" s="1"/>
  <c r="G105" i="4"/>
  <c r="F107" i="4" s="1"/>
  <c r="I96" i="4"/>
  <c r="K95" i="4"/>
  <c r="M95" i="4" s="1"/>
  <c r="K94" i="4"/>
  <c r="M94" i="4" s="1"/>
  <c r="J93" i="4"/>
  <c r="G91" i="4"/>
  <c r="F93" i="4" s="1"/>
  <c r="I82" i="4"/>
  <c r="K81" i="4"/>
  <c r="M81" i="4" s="1"/>
  <c r="K80" i="4"/>
  <c r="M80" i="4" s="1"/>
  <c r="J79" i="4"/>
  <c r="K79" i="4"/>
  <c r="M79" i="4" s="1"/>
  <c r="G77" i="4"/>
  <c r="F79" i="4" s="1"/>
  <c r="I68" i="4"/>
  <c r="K67" i="4"/>
  <c r="M67" i="4" s="1"/>
  <c r="O67" i="4" s="1"/>
  <c r="H66" i="4"/>
  <c r="K66" i="4" s="1"/>
  <c r="M66" i="4" s="1"/>
  <c r="O66" i="4" s="1"/>
  <c r="J65" i="4"/>
  <c r="G63" i="4"/>
  <c r="I54" i="4"/>
  <c r="K53" i="4"/>
  <c r="M53" i="4" s="1"/>
  <c r="K52" i="4"/>
  <c r="M52" i="4" s="1"/>
  <c r="J51" i="4"/>
  <c r="G49" i="4"/>
  <c r="F51" i="4" s="1"/>
  <c r="I40" i="4"/>
  <c r="K39" i="4"/>
  <c r="M39" i="4" s="1"/>
  <c r="H38" i="4"/>
  <c r="R36" i="4"/>
  <c r="J37" i="4"/>
  <c r="K37" i="4"/>
  <c r="M37" i="4" s="1"/>
  <c r="R35" i="4"/>
  <c r="R34" i="4"/>
  <c r="G35" i="4"/>
  <c r="F37" i="4" s="1"/>
  <c r="R33" i="4"/>
  <c r="R32" i="4"/>
  <c r="R31" i="4"/>
  <c r="R30" i="4"/>
  <c r="R29" i="4"/>
  <c r="R28" i="4"/>
  <c r="R27" i="4"/>
  <c r="R26" i="4"/>
  <c r="R25" i="4"/>
  <c r="I118" i="4"/>
  <c r="H146" i="4"/>
  <c r="G146" i="4"/>
  <c r="F82" i="12"/>
  <c r="H90" i="4"/>
  <c r="G76" i="4"/>
  <c r="H48" i="4"/>
  <c r="G62" i="4"/>
  <c r="F65" i="4" s="1"/>
  <c r="G251" i="3"/>
  <c r="G250" i="3"/>
  <c r="I249" i="3"/>
  <c r="K249" i="3" s="1"/>
  <c r="H247" i="3"/>
  <c r="E245" i="3"/>
  <c r="D247" i="3" s="1"/>
  <c r="G236" i="3"/>
  <c r="G235" i="3"/>
  <c r="I234" i="3"/>
  <c r="K234" i="3" s="1"/>
  <c r="H232" i="3"/>
  <c r="E230" i="3"/>
  <c r="D232" i="3" s="1"/>
  <c r="G221" i="3"/>
  <c r="I221" i="3" s="1"/>
  <c r="K221" i="3" s="1"/>
  <c r="G220" i="3"/>
  <c r="I219" i="3"/>
  <c r="K219" i="3" s="1"/>
  <c r="F218" i="3"/>
  <c r="H217" i="3"/>
  <c r="I217" i="3"/>
  <c r="K217" i="3" s="1"/>
  <c r="L217" i="3" s="1"/>
  <c r="E215" i="3"/>
  <c r="D217" i="3" s="1"/>
  <c r="G206" i="3"/>
  <c r="I206" i="3" s="1"/>
  <c r="K206" i="3" s="1"/>
  <c r="G205" i="3"/>
  <c r="I204" i="3"/>
  <c r="K204" i="3" s="1"/>
  <c r="H202" i="3"/>
  <c r="E200" i="3"/>
  <c r="D202" i="3" s="1"/>
  <c r="G191" i="3"/>
  <c r="I191" i="3" s="1"/>
  <c r="K191" i="3" s="1"/>
  <c r="G190" i="3"/>
  <c r="I189" i="3"/>
  <c r="K189" i="3" s="1"/>
  <c r="I188" i="3"/>
  <c r="K188" i="3" s="1"/>
  <c r="H187" i="3"/>
  <c r="I187" i="3"/>
  <c r="K187" i="3" s="1"/>
  <c r="E185" i="3"/>
  <c r="D187" i="3" s="1"/>
  <c r="D188" i="3" s="1"/>
  <c r="G176" i="3"/>
  <c r="G175" i="3"/>
  <c r="I174" i="3"/>
  <c r="K174" i="3" s="1"/>
  <c r="I173" i="3"/>
  <c r="K173" i="3" s="1"/>
  <c r="H172" i="3"/>
  <c r="I172" i="3"/>
  <c r="K172" i="3" s="1"/>
  <c r="E170" i="3"/>
  <c r="D172" i="3" s="1"/>
  <c r="D173" i="3" s="1"/>
  <c r="G161" i="3"/>
  <c r="I161" i="3" s="1"/>
  <c r="K161" i="3" s="1"/>
  <c r="G160" i="3"/>
  <c r="I159" i="3"/>
  <c r="K159" i="3" s="1"/>
  <c r="F158" i="3"/>
  <c r="I158" i="3" s="1"/>
  <c r="K158" i="3" s="1"/>
  <c r="H157" i="3"/>
  <c r="I157" i="3"/>
  <c r="K157" i="3" s="1"/>
  <c r="E155" i="3"/>
  <c r="D157" i="3" s="1"/>
  <c r="G146" i="3"/>
  <c r="I146" i="3" s="1"/>
  <c r="K146" i="3" s="1"/>
  <c r="G145" i="3"/>
  <c r="I144" i="3"/>
  <c r="K144" i="3" s="1"/>
  <c r="I143" i="3"/>
  <c r="K143" i="3" s="1"/>
  <c r="H142" i="3"/>
  <c r="E140" i="3"/>
  <c r="D142" i="3" s="1"/>
  <c r="G131" i="3"/>
  <c r="G130" i="3"/>
  <c r="I129" i="3"/>
  <c r="K129" i="3" s="1"/>
  <c r="I128" i="3"/>
  <c r="K128" i="3" s="1"/>
  <c r="H127" i="3"/>
  <c r="E125" i="3"/>
  <c r="D127" i="3" s="1"/>
  <c r="G116" i="3"/>
  <c r="I116" i="3" s="1"/>
  <c r="K116" i="3" s="1"/>
  <c r="L116" i="3" s="1"/>
  <c r="G115" i="3"/>
  <c r="I114" i="3"/>
  <c r="K114" i="3" s="1"/>
  <c r="I113" i="3"/>
  <c r="K113" i="3" s="1"/>
  <c r="M113" i="3" s="1"/>
  <c r="H112" i="3"/>
  <c r="I112" i="3"/>
  <c r="K112" i="3" s="1"/>
  <c r="E110" i="3"/>
  <c r="D112" i="3" s="1"/>
  <c r="D116" i="3" s="1"/>
  <c r="G101" i="3"/>
  <c r="I101" i="3" s="1"/>
  <c r="K101" i="3" s="1"/>
  <c r="G100" i="3"/>
  <c r="I99" i="3"/>
  <c r="K99" i="3" s="1"/>
  <c r="M99" i="3" s="1"/>
  <c r="I98" i="3"/>
  <c r="K98" i="3" s="1"/>
  <c r="H97" i="3"/>
  <c r="E95" i="3"/>
  <c r="D97" i="3" s="1"/>
  <c r="D101" i="3" s="1"/>
  <c r="G86" i="3"/>
  <c r="G85" i="3"/>
  <c r="I84" i="3"/>
  <c r="K84" i="3" s="1"/>
  <c r="M84" i="3" s="1"/>
  <c r="H82" i="3"/>
  <c r="E80" i="3"/>
  <c r="G71" i="3"/>
  <c r="I71" i="3" s="1"/>
  <c r="K71" i="3" s="1"/>
  <c r="M71" i="3" s="1"/>
  <c r="G70" i="3"/>
  <c r="I69" i="3"/>
  <c r="K69" i="3" s="1"/>
  <c r="I68" i="3"/>
  <c r="K68" i="3" s="1"/>
  <c r="H67" i="3"/>
  <c r="I67" i="3"/>
  <c r="K67" i="3" s="1"/>
  <c r="E65" i="3"/>
  <c r="G56" i="3"/>
  <c r="G55" i="3"/>
  <c r="I54" i="3"/>
  <c r="K54" i="3" s="1"/>
  <c r="F53" i="3"/>
  <c r="I53" i="3" s="1"/>
  <c r="K53" i="3" s="1"/>
  <c r="H52" i="3"/>
  <c r="I52" i="3"/>
  <c r="K52" i="3" s="1"/>
  <c r="E50" i="3"/>
  <c r="D52" i="3" s="1"/>
  <c r="G41" i="3"/>
  <c r="G40" i="3"/>
  <c r="P39" i="3"/>
  <c r="I39" i="3"/>
  <c r="K39" i="3" s="1"/>
  <c r="P38" i="3"/>
  <c r="P37" i="3"/>
  <c r="H37" i="3"/>
  <c r="I37" i="3"/>
  <c r="K37" i="3" s="1"/>
  <c r="P36" i="3"/>
  <c r="P35" i="3"/>
  <c r="E35" i="3"/>
  <c r="D37" i="3" s="1"/>
  <c r="D39" i="3" s="1"/>
  <c r="P34" i="3"/>
  <c r="P33" i="3"/>
  <c r="P32" i="3"/>
  <c r="P31" i="3"/>
  <c r="P30" i="3"/>
  <c r="P28" i="3"/>
  <c r="E4" i="3"/>
  <c r="P26" i="3"/>
  <c r="P25" i="3"/>
  <c r="E214" i="3"/>
  <c r="D200" i="3"/>
  <c r="D185" i="3"/>
  <c r="D170" i="3"/>
  <c r="E199" i="3"/>
  <c r="D155" i="3"/>
  <c r="D140" i="3"/>
  <c r="D125" i="3"/>
  <c r="O28" i="3"/>
  <c r="E94" i="3"/>
  <c r="G65" i="3"/>
  <c r="D67" i="3" s="1"/>
  <c r="D70" i="3" s="1"/>
  <c r="F65" i="3"/>
  <c r="M112" i="12"/>
  <c r="R112" i="12" s="1"/>
  <c r="W112" i="12" s="1"/>
  <c r="R25" i="5" l="1" a="1"/>
  <c r="R25" i="5" s="1"/>
  <c r="T25" i="5" a="1"/>
  <c r="T25" i="5" s="1"/>
  <c r="Q25" i="5" a="1"/>
  <c r="Q25" i="5" s="1"/>
  <c r="E5" i="5" s="1"/>
  <c r="H5" i="5" s="1"/>
  <c r="O164" i="12" s="1"/>
  <c r="Q26" i="5" a="1"/>
  <c r="Q26" i="5" s="1"/>
  <c r="R26" i="5" a="1"/>
  <c r="R26" i="5" s="1"/>
  <c r="T26" i="5" a="1"/>
  <c r="T26" i="5" s="1"/>
  <c r="W25" i="4" a="1"/>
  <c r="W25" i="4" s="1"/>
  <c r="U25" i="4" a="1"/>
  <c r="U25" i="4" s="1"/>
  <c r="V32" i="4" a="1"/>
  <c r="V32" i="4" s="1"/>
  <c r="W32" i="4" a="1"/>
  <c r="W32" i="4" s="1"/>
  <c r="V31" i="4" a="1"/>
  <c r="V31" i="4" s="1"/>
  <c r="W31" i="4" a="1"/>
  <c r="W31" i="4" s="1"/>
  <c r="W33" i="4" a="1"/>
  <c r="W33" i="4" s="1"/>
  <c r="V33" i="4" a="1"/>
  <c r="V33" i="4" s="1"/>
  <c r="V34" i="4" a="1"/>
  <c r="V34" i="4" s="1"/>
  <c r="W34" i="4" a="1"/>
  <c r="W34" i="4" s="1"/>
  <c r="W35" i="4" a="1"/>
  <c r="W35" i="4" s="1"/>
  <c r="V35" i="4" a="1"/>
  <c r="V35" i="4" s="1"/>
  <c r="V36" i="4" a="1"/>
  <c r="V36" i="4" s="1"/>
  <c r="W36" i="4" a="1"/>
  <c r="W36" i="4" s="1"/>
  <c r="V26" i="4" a="1"/>
  <c r="V26" i="4" s="1"/>
  <c r="W26" i="4" a="1"/>
  <c r="W26" i="4" s="1"/>
  <c r="V27" i="4" a="1"/>
  <c r="V27" i="4" s="1"/>
  <c r="W27" i="4" a="1"/>
  <c r="W27" i="4" s="1"/>
  <c r="V29" i="4" a="1"/>
  <c r="V29" i="4" s="1"/>
  <c r="W29" i="4" a="1"/>
  <c r="W29" i="4" s="1"/>
  <c r="V30" i="4" a="1"/>
  <c r="V30" i="4" s="1"/>
  <c r="W30" i="4" a="1"/>
  <c r="W30" i="4" s="1"/>
  <c r="V28" i="4" a="1"/>
  <c r="V28" i="4" s="1"/>
  <c r="W28" i="4" a="1"/>
  <c r="W28" i="4" s="1"/>
  <c r="T30" i="4" a="1"/>
  <c r="T30" i="4" s="1"/>
  <c r="U30" i="4" a="1"/>
  <c r="U30" i="4" s="1"/>
  <c r="T35" i="4" a="1"/>
  <c r="T35" i="4" s="1"/>
  <c r="U35" i="4" a="1"/>
  <c r="U35" i="4" s="1"/>
  <c r="T36" i="4" a="1"/>
  <c r="T36" i="4" s="1"/>
  <c r="G13" i="4" s="1"/>
  <c r="J13" i="4" s="1"/>
  <c r="O86" i="12" s="1"/>
  <c r="U36" i="4" a="1"/>
  <c r="U36" i="4" s="1"/>
  <c r="T33" i="4" a="1"/>
  <c r="T33" i="4" s="1"/>
  <c r="G10" i="4" s="1"/>
  <c r="J10" i="4" s="1"/>
  <c r="O83" i="12" s="1"/>
  <c r="U33" i="4" a="1"/>
  <c r="U33" i="4" s="1"/>
  <c r="T29" i="4" a="1"/>
  <c r="T29" i="4" s="1"/>
  <c r="G6" i="4" s="1"/>
  <c r="J6" i="4" s="1"/>
  <c r="O79" i="12" s="1"/>
  <c r="U29" i="4" a="1"/>
  <c r="U29" i="4" s="1"/>
  <c r="V25" i="4" a="1"/>
  <c r="V25" i="4" s="1"/>
  <c r="T32" i="4" a="1"/>
  <c r="T32" i="4" s="1"/>
  <c r="U32" i="4" a="1"/>
  <c r="U32" i="4" s="1"/>
  <c r="T26" i="4" a="1"/>
  <c r="T26" i="4" s="1"/>
  <c r="G3" i="4" s="1"/>
  <c r="U26" i="4" a="1"/>
  <c r="U26" i="4" s="1"/>
  <c r="T27" i="4" a="1"/>
  <c r="T27" i="4" s="1"/>
  <c r="U27" i="4" a="1"/>
  <c r="U27" i="4" s="1"/>
  <c r="T31" i="4" a="1"/>
  <c r="T31" i="4" s="1"/>
  <c r="U31" i="4" a="1"/>
  <c r="U31" i="4" s="1"/>
  <c r="T34" i="4" a="1"/>
  <c r="T34" i="4" s="1"/>
  <c r="U34" i="4" a="1"/>
  <c r="U34" i="4" s="1"/>
  <c r="T28" i="4" a="1"/>
  <c r="T28" i="4" s="1"/>
  <c r="U28" i="4" a="1"/>
  <c r="U28" i="4" s="1"/>
  <c r="F118" i="12"/>
  <c r="T25" i="4" a="1"/>
  <c r="T25" i="4" s="1"/>
  <c r="G2" i="4" s="1"/>
  <c r="Q26" i="3" a="1"/>
  <c r="Q26" i="3" s="1"/>
  <c r="E3" i="3" s="1"/>
  <c r="T26" i="3" a="1"/>
  <c r="T26" i="3" s="1"/>
  <c r="S26" i="3" a="1"/>
  <c r="S26" i="3" s="1"/>
  <c r="R26" i="3" a="1"/>
  <c r="R26" i="3" s="1"/>
  <c r="F124" i="12"/>
  <c r="R28" i="3" a="1"/>
  <c r="R28" i="3" s="1"/>
  <c r="T28" i="3" a="1"/>
  <c r="T28" i="3" s="1"/>
  <c r="Q28" i="3" a="1"/>
  <c r="Q28" i="3" s="1"/>
  <c r="E5" i="3" s="1"/>
  <c r="S28" i="3" a="1"/>
  <c r="S28" i="3" s="1"/>
  <c r="X15" i="3" a="1"/>
  <c r="X15" i="3" s="1"/>
  <c r="V15" i="3" a="1"/>
  <c r="V15" i="3" s="1"/>
  <c r="T29" i="3" a="1"/>
  <c r="T29" i="3" s="1"/>
  <c r="S29" i="3" a="1"/>
  <c r="S29" i="3" s="1"/>
  <c r="R29" i="3" a="1"/>
  <c r="R29" i="3" s="1"/>
  <c r="Q29" i="3" a="1"/>
  <c r="Q29" i="3" s="1"/>
  <c r="D191" i="6"/>
  <c r="F188" i="12"/>
  <c r="D37" i="6"/>
  <c r="F179" i="12"/>
  <c r="D79" i="6"/>
  <c r="F182" i="12"/>
  <c r="D121" i="6"/>
  <c r="F185" i="12"/>
  <c r="M67" i="3"/>
  <c r="L5" i="5"/>
  <c r="M164" i="12"/>
  <c r="R164" i="12" s="1"/>
  <c r="W164" i="12" s="1"/>
  <c r="F34" i="4"/>
  <c r="F76" i="12"/>
  <c r="E6" i="5"/>
  <c r="H6" i="5" s="1"/>
  <c r="O165" i="12" s="1"/>
  <c r="L6" i="5"/>
  <c r="M165" i="12"/>
  <c r="R165" i="12" s="1"/>
  <c r="W165" i="12" s="1"/>
  <c r="F115" i="12"/>
  <c r="D184" i="3"/>
  <c r="F121" i="12"/>
  <c r="F90" i="4"/>
  <c r="F79" i="12"/>
  <c r="F188" i="4"/>
  <c r="F85" i="12"/>
  <c r="D59" i="5"/>
  <c r="F162" i="12"/>
  <c r="F165" i="12"/>
  <c r="D34" i="3"/>
  <c r="F112" i="12"/>
  <c r="H202" i="4"/>
  <c r="H230" i="4"/>
  <c r="H216" i="4"/>
  <c r="G160" i="4"/>
  <c r="G230" i="4"/>
  <c r="G216" i="4"/>
  <c r="G202" i="4"/>
  <c r="I202" i="4"/>
  <c r="I230" i="4"/>
  <c r="I216" i="4"/>
  <c r="U27" i="3"/>
  <c r="F70" i="3" s="1"/>
  <c r="H4" i="3"/>
  <c r="U25" i="5"/>
  <c r="F79" i="5" s="1"/>
  <c r="K65" i="4"/>
  <c r="M65" i="4" s="1"/>
  <c r="N65" i="4" s="1"/>
  <c r="K93" i="4"/>
  <c r="M93" i="4" s="1"/>
  <c r="N93" i="4" s="1"/>
  <c r="K51" i="4"/>
  <c r="M51" i="4" s="1"/>
  <c r="N51" i="4" s="1"/>
  <c r="O81" i="4"/>
  <c r="N81" i="4"/>
  <c r="O165" i="4"/>
  <c r="N165" i="4"/>
  <c r="N67" i="4"/>
  <c r="K135" i="4"/>
  <c r="M135" i="4" s="1"/>
  <c r="N135" i="4" s="1"/>
  <c r="K149" i="4"/>
  <c r="M149" i="4" s="1"/>
  <c r="N149" i="4" s="1"/>
  <c r="O137" i="4"/>
  <c r="I124" i="6"/>
  <c r="K124" i="6" s="1"/>
  <c r="M124" i="6" s="1"/>
  <c r="I40" i="6"/>
  <c r="K40" i="6" s="1"/>
  <c r="L40" i="6" s="1"/>
  <c r="M37" i="3"/>
  <c r="L3" i="3"/>
  <c r="L2" i="5"/>
  <c r="L3" i="5"/>
  <c r="L4" i="5"/>
  <c r="D233" i="6"/>
  <c r="M112" i="6"/>
  <c r="E205" i="6"/>
  <c r="I236" i="6"/>
  <c r="K236" i="6" s="1"/>
  <c r="M236" i="6" s="1"/>
  <c r="I209" i="6"/>
  <c r="K209" i="6" s="1"/>
  <c r="M209" i="6" s="1"/>
  <c r="I181" i="6"/>
  <c r="K181" i="6" s="1"/>
  <c r="M181" i="6" s="1"/>
  <c r="I69" i="6"/>
  <c r="K69" i="6" s="1"/>
  <c r="L69" i="6" s="1"/>
  <c r="L168" i="6"/>
  <c r="M168" i="6"/>
  <c r="M98" i="6"/>
  <c r="L98" i="6"/>
  <c r="M56" i="6"/>
  <c r="L56" i="6"/>
  <c r="M237" i="6"/>
  <c r="L237" i="6"/>
  <c r="M83" i="6"/>
  <c r="L83" i="6"/>
  <c r="L196" i="6"/>
  <c r="M196" i="6"/>
  <c r="L224" i="6"/>
  <c r="M224" i="6"/>
  <c r="I127" i="6"/>
  <c r="K127" i="6" s="1"/>
  <c r="L127" i="6" s="1"/>
  <c r="M225" i="6"/>
  <c r="I97" i="6"/>
  <c r="K97" i="6" s="1"/>
  <c r="M97" i="6" s="1"/>
  <c r="I195" i="6"/>
  <c r="K195" i="6" s="1"/>
  <c r="M195" i="6" s="1"/>
  <c r="M210" i="6"/>
  <c r="I223" i="6"/>
  <c r="K223" i="6" s="1"/>
  <c r="M223" i="6" s="1"/>
  <c r="I113" i="6"/>
  <c r="K113" i="6" s="1"/>
  <c r="M113" i="6" s="1"/>
  <c r="I55" i="6"/>
  <c r="K55" i="6" s="1"/>
  <c r="M55" i="6" s="1"/>
  <c r="I141" i="6"/>
  <c r="K141" i="6" s="1"/>
  <c r="M141" i="6" s="1"/>
  <c r="I57" i="6"/>
  <c r="K57" i="6" s="1"/>
  <c r="M57" i="6" s="1"/>
  <c r="I197" i="6"/>
  <c r="K197" i="6" s="1"/>
  <c r="L197" i="6" s="1"/>
  <c r="I211" i="6"/>
  <c r="K211" i="6" s="1"/>
  <c r="M211" i="6" s="1"/>
  <c r="I153" i="6"/>
  <c r="K153" i="6" s="1"/>
  <c r="M153" i="6" s="1"/>
  <c r="I85" i="6"/>
  <c r="K85" i="6" s="1"/>
  <c r="L85" i="6" s="1"/>
  <c r="I41" i="6"/>
  <c r="K41" i="6" s="1"/>
  <c r="I222" i="6"/>
  <c r="K222" i="6" s="1"/>
  <c r="M222" i="6" s="1"/>
  <c r="I63" i="5"/>
  <c r="K63" i="5" s="1"/>
  <c r="L63" i="5" s="1"/>
  <c r="I62" i="5"/>
  <c r="K62" i="5" s="1"/>
  <c r="L62" i="5" s="1"/>
  <c r="I34" i="5"/>
  <c r="K34" i="5" s="1"/>
  <c r="L34" i="5" s="1"/>
  <c r="I90" i="5"/>
  <c r="K90" i="5" s="1"/>
  <c r="M90" i="5" s="1"/>
  <c r="I49" i="5"/>
  <c r="K49" i="5" s="1"/>
  <c r="L49" i="5" s="1"/>
  <c r="I76" i="5"/>
  <c r="K76" i="5" s="1"/>
  <c r="M76" i="5" s="1"/>
  <c r="M64" i="5"/>
  <c r="L64" i="5"/>
  <c r="I35" i="5"/>
  <c r="K35" i="5" s="1"/>
  <c r="M35" i="5" s="1"/>
  <c r="I48" i="5"/>
  <c r="K48" i="5" s="1"/>
  <c r="L48" i="5" s="1"/>
  <c r="L91" i="5"/>
  <c r="I77" i="5"/>
  <c r="K77" i="5" s="1"/>
  <c r="O191" i="4"/>
  <c r="N192" i="4"/>
  <c r="O192" i="4"/>
  <c r="K164" i="4"/>
  <c r="M164" i="4" s="1"/>
  <c r="O164" i="4" s="1"/>
  <c r="O151" i="4"/>
  <c r="N151" i="4"/>
  <c r="O150" i="4"/>
  <c r="N150" i="4"/>
  <c r="O94" i="4"/>
  <c r="N94" i="4"/>
  <c r="I142" i="3"/>
  <c r="K142" i="3" s="1"/>
  <c r="M142" i="3" s="1"/>
  <c r="M101" i="3"/>
  <c r="M114" i="3"/>
  <c r="I131" i="3"/>
  <c r="K131" i="3" s="1"/>
  <c r="M131" i="3" s="1"/>
  <c r="I236" i="3"/>
  <c r="K236" i="3" s="1"/>
  <c r="M39" i="3"/>
  <c r="M69" i="3"/>
  <c r="I176" i="3"/>
  <c r="K176" i="3" s="1"/>
  <c r="M176" i="3" s="1"/>
  <c r="I233" i="3"/>
  <c r="K233" i="3" s="1"/>
  <c r="L233" i="3" s="1"/>
  <c r="M116" i="3"/>
  <c r="L101" i="3"/>
  <c r="L53" i="3"/>
  <c r="M53" i="3"/>
  <c r="M191" i="3"/>
  <c r="L191" i="3"/>
  <c r="M249" i="3"/>
  <c r="L249" i="3"/>
  <c r="M221" i="3"/>
  <c r="L221" i="3"/>
  <c r="L68" i="3"/>
  <c r="M68" i="3"/>
  <c r="L206" i="3"/>
  <c r="M206" i="3"/>
  <c r="I86" i="3"/>
  <c r="K86" i="3" s="1"/>
  <c r="M86" i="3" s="1"/>
  <c r="I248" i="3"/>
  <c r="K248" i="3" s="1"/>
  <c r="M248" i="3" s="1"/>
  <c r="I251" i="3"/>
  <c r="K251" i="3" s="1"/>
  <c r="I218" i="3"/>
  <c r="K218" i="3" s="1"/>
  <c r="M218" i="3" s="1"/>
  <c r="I232" i="3"/>
  <c r="K232" i="3" s="1"/>
  <c r="L232" i="3" s="1"/>
  <c r="L99" i="3"/>
  <c r="I97" i="3"/>
  <c r="K97" i="3" s="1"/>
  <c r="L97" i="3" s="1"/>
  <c r="I202" i="3"/>
  <c r="K202" i="3" s="1"/>
  <c r="L202" i="3" s="1"/>
  <c r="L69" i="3"/>
  <c r="I54" i="6"/>
  <c r="K54" i="6" s="1"/>
  <c r="M54" i="6" s="1"/>
  <c r="F150" i="4"/>
  <c r="F152" i="4"/>
  <c r="F194" i="4"/>
  <c r="F192" i="4"/>
  <c r="F193" i="4"/>
  <c r="E233" i="6"/>
  <c r="E219" i="6"/>
  <c r="I82" i="3"/>
  <c r="K82" i="3" s="1"/>
  <c r="M82" i="3" s="1"/>
  <c r="E229" i="3"/>
  <c r="I82" i="6"/>
  <c r="K82" i="6" s="1"/>
  <c r="M82" i="6" s="1"/>
  <c r="I194" i="6"/>
  <c r="K194" i="6" s="1"/>
  <c r="M194" i="6" s="1"/>
  <c r="I152" i="6"/>
  <c r="K152" i="6" s="1"/>
  <c r="M152" i="6" s="1"/>
  <c r="D163" i="6"/>
  <c r="D177" i="6"/>
  <c r="G90" i="4"/>
  <c r="D31" i="5"/>
  <c r="M52" i="3"/>
  <c r="L52" i="3"/>
  <c r="G102" i="5"/>
  <c r="D104" i="5" s="1"/>
  <c r="D106" i="5" s="1"/>
  <c r="O31" i="3"/>
  <c r="D65" i="3"/>
  <c r="H62" i="4"/>
  <c r="G104" i="4"/>
  <c r="E31" i="5"/>
  <c r="D51" i="6"/>
  <c r="D65" i="6"/>
  <c r="D115" i="3"/>
  <c r="H104" i="4"/>
  <c r="O28" i="6"/>
  <c r="Q28" i="6" s="1"/>
  <c r="U28" i="6" s="1"/>
  <c r="O30" i="3"/>
  <c r="D74" i="5"/>
  <c r="I166" i="6"/>
  <c r="K166" i="6" s="1"/>
  <c r="M166" i="6" s="1"/>
  <c r="F76" i="4"/>
  <c r="E149" i="6"/>
  <c r="E46" i="5"/>
  <c r="D48" i="5" s="1"/>
  <c r="D51" i="5" s="1"/>
  <c r="O32" i="3"/>
  <c r="H76" i="4"/>
  <c r="I96" i="6"/>
  <c r="K96" i="6" s="1"/>
  <c r="M96" i="6" s="1"/>
  <c r="E121" i="6"/>
  <c r="D199" i="3"/>
  <c r="D205" i="6"/>
  <c r="D219" i="6"/>
  <c r="D135" i="6"/>
  <c r="D107" i="6"/>
  <c r="D93" i="6"/>
  <c r="F160" i="4"/>
  <c r="F174" i="4"/>
  <c r="D79" i="3"/>
  <c r="D54" i="3"/>
  <c r="D56" i="3"/>
  <c r="D55" i="3"/>
  <c r="D53" i="3"/>
  <c r="D129" i="3"/>
  <c r="D131" i="3"/>
  <c r="D130" i="3"/>
  <c r="D128" i="3"/>
  <c r="M158" i="3"/>
  <c r="L158" i="3"/>
  <c r="M189" i="3"/>
  <c r="L189" i="3"/>
  <c r="I48" i="4"/>
  <c r="I34" i="4"/>
  <c r="I62" i="4"/>
  <c r="F136" i="4"/>
  <c r="F137" i="4"/>
  <c r="F138" i="4"/>
  <c r="E49" i="3"/>
  <c r="E34" i="3"/>
  <c r="E64" i="3"/>
  <c r="D94" i="3"/>
  <c r="D109" i="3"/>
  <c r="D110" i="3"/>
  <c r="D215" i="3"/>
  <c r="L67" i="3"/>
  <c r="M159" i="3"/>
  <c r="L159" i="3"/>
  <c r="D124" i="3"/>
  <c r="D154" i="3"/>
  <c r="D139" i="3"/>
  <c r="O25" i="3"/>
  <c r="Q25" i="3" s="1" a="1"/>
  <c r="Q25" i="3" s="1"/>
  <c r="D95" i="3"/>
  <c r="M128" i="3"/>
  <c r="L128" i="3"/>
  <c r="D159" i="3"/>
  <c r="D161" i="3"/>
  <c r="D160" i="3"/>
  <c r="D158" i="3"/>
  <c r="M161" i="3"/>
  <c r="L161" i="3"/>
  <c r="M219" i="3"/>
  <c r="L219" i="3"/>
  <c r="L37" i="3"/>
  <c r="L84" i="3"/>
  <c r="L113" i="3"/>
  <c r="M129" i="3"/>
  <c r="L129" i="3"/>
  <c r="M157" i="3"/>
  <c r="L157" i="3"/>
  <c r="D203" i="3"/>
  <c r="D206" i="3"/>
  <c r="D205" i="3"/>
  <c r="D204" i="3"/>
  <c r="F54" i="4"/>
  <c r="F53" i="4"/>
  <c r="F52" i="4"/>
  <c r="D230" i="3"/>
  <c r="O38" i="3"/>
  <c r="Q38" i="3" s="1" a="1"/>
  <c r="Q38" i="3" s="1"/>
  <c r="O37" i="3"/>
  <c r="D40" i="3"/>
  <c r="D41" i="3"/>
  <c r="L71" i="3"/>
  <c r="L98" i="3"/>
  <c r="M98" i="3"/>
  <c r="M173" i="3"/>
  <c r="L173" i="3"/>
  <c r="M187" i="3"/>
  <c r="L187" i="3"/>
  <c r="D84" i="3"/>
  <c r="D85" i="3"/>
  <c r="D86" i="3"/>
  <c r="D83" i="3"/>
  <c r="I41" i="3"/>
  <c r="K41" i="3" s="1"/>
  <c r="I56" i="3"/>
  <c r="K56" i="3" s="1"/>
  <c r="I83" i="3"/>
  <c r="K83" i="3" s="1"/>
  <c r="D100" i="3"/>
  <c r="D98" i="3"/>
  <c r="D99" i="3"/>
  <c r="I127" i="3"/>
  <c r="K127" i="3" s="1"/>
  <c r="M143" i="3"/>
  <c r="L143" i="3"/>
  <c r="F80" i="4"/>
  <c r="F81" i="4"/>
  <c r="F82" i="4"/>
  <c r="O80" i="4"/>
  <c r="N80" i="4"/>
  <c r="F124" i="4"/>
  <c r="F122" i="4"/>
  <c r="F123" i="4"/>
  <c r="D68" i="3"/>
  <c r="D69" i="3"/>
  <c r="D38" i="3"/>
  <c r="M112" i="3"/>
  <c r="L112" i="3"/>
  <c r="M144" i="3"/>
  <c r="L144" i="3"/>
  <c r="M172" i="3"/>
  <c r="L172" i="3"/>
  <c r="D49" i="3"/>
  <c r="D64" i="3"/>
  <c r="D50" i="3"/>
  <c r="D245" i="3"/>
  <c r="O39" i="3"/>
  <c r="D35" i="3"/>
  <c r="I38" i="3"/>
  <c r="K38" i="3" s="1"/>
  <c r="L39" i="3"/>
  <c r="M54" i="3"/>
  <c r="L54" i="3"/>
  <c r="D71" i="3"/>
  <c r="D80" i="3"/>
  <c r="L114" i="3"/>
  <c r="D144" i="3"/>
  <c r="D146" i="3"/>
  <c r="D145" i="3"/>
  <c r="D143" i="3"/>
  <c r="M146" i="3"/>
  <c r="L146" i="3"/>
  <c r="M174" i="3"/>
  <c r="L174" i="3"/>
  <c r="L234" i="3"/>
  <c r="M234" i="3"/>
  <c r="O108" i="4"/>
  <c r="N108" i="4"/>
  <c r="D229" i="3"/>
  <c r="D244" i="3"/>
  <c r="O35" i="3"/>
  <c r="D169" i="3"/>
  <c r="M188" i="3"/>
  <c r="L188" i="3"/>
  <c r="M204" i="3"/>
  <c r="L204" i="3"/>
  <c r="D87" i="5"/>
  <c r="D101" i="5"/>
  <c r="D73" i="5"/>
  <c r="M182" i="6"/>
  <c r="L182" i="6"/>
  <c r="N37" i="4"/>
  <c r="O37" i="4"/>
  <c r="K38" i="4"/>
  <c r="M38" i="4" s="1"/>
  <c r="M78" i="5"/>
  <c r="L78" i="5"/>
  <c r="E79" i="3"/>
  <c r="I203" i="3"/>
  <c r="K203" i="3" s="1"/>
  <c r="M217" i="3"/>
  <c r="D233" i="3"/>
  <c r="D236" i="3"/>
  <c r="D235" i="3"/>
  <c r="D234" i="3"/>
  <c r="F62" i="4"/>
  <c r="F48" i="4"/>
  <c r="O179" i="4"/>
  <c r="N179" i="4"/>
  <c r="F66" i="4"/>
  <c r="F67" i="4"/>
  <c r="F68" i="4"/>
  <c r="E154" i="3"/>
  <c r="E139" i="3"/>
  <c r="D214" i="3"/>
  <c r="D248" i="3"/>
  <c r="D251" i="3"/>
  <c r="D250" i="3"/>
  <c r="D249" i="3"/>
  <c r="N66" i="4"/>
  <c r="O123" i="4"/>
  <c r="N123" i="4"/>
  <c r="O33" i="3"/>
  <c r="O34" i="3"/>
  <c r="O36" i="3"/>
  <c r="E109" i="3"/>
  <c r="I247" i="3"/>
  <c r="K247" i="3" s="1"/>
  <c r="F146" i="4"/>
  <c r="F132" i="4"/>
  <c r="F118" i="4"/>
  <c r="D113" i="3"/>
  <c r="D114" i="3"/>
  <c r="E244" i="3"/>
  <c r="E184" i="3"/>
  <c r="E169" i="3"/>
  <c r="E124" i="3"/>
  <c r="D218" i="3"/>
  <c r="D221" i="3"/>
  <c r="D220" i="3"/>
  <c r="D219" i="3"/>
  <c r="F108" i="4"/>
  <c r="F109" i="4"/>
  <c r="F110" i="4"/>
  <c r="L106" i="5"/>
  <c r="M106" i="5"/>
  <c r="O95" i="4"/>
  <c r="N95" i="4"/>
  <c r="O107" i="4"/>
  <c r="N107" i="4"/>
  <c r="D175" i="3"/>
  <c r="D176" i="3"/>
  <c r="D190" i="3"/>
  <c r="D191" i="3"/>
  <c r="H188" i="4"/>
  <c r="H174" i="4"/>
  <c r="H160" i="4"/>
  <c r="O39" i="4"/>
  <c r="N39" i="4"/>
  <c r="O52" i="4"/>
  <c r="N52" i="4"/>
  <c r="O109" i="4"/>
  <c r="N109" i="4"/>
  <c r="O193" i="4"/>
  <c r="N193" i="4"/>
  <c r="M92" i="5"/>
  <c r="L92" i="5"/>
  <c r="D174" i="3"/>
  <c r="D189" i="3"/>
  <c r="I104" i="4"/>
  <c r="I76" i="4"/>
  <c r="I188" i="4"/>
  <c r="I174" i="4"/>
  <c r="I160" i="4"/>
  <c r="O79" i="4"/>
  <c r="N79" i="4"/>
  <c r="I90" i="4"/>
  <c r="F38" i="4"/>
  <c r="F39" i="4"/>
  <c r="F40" i="4"/>
  <c r="O53" i="4"/>
  <c r="N53" i="4"/>
  <c r="M68" i="6"/>
  <c r="L68" i="6"/>
  <c r="G132" i="4"/>
  <c r="G118" i="4"/>
  <c r="G34" i="4"/>
  <c r="F179" i="4"/>
  <c r="F180" i="4"/>
  <c r="D93" i="5"/>
  <c r="D91" i="5"/>
  <c r="M36" i="5"/>
  <c r="L36" i="5"/>
  <c r="D94" i="6"/>
  <c r="H132" i="4"/>
  <c r="H118" i="4"/>
  <c r="H34" i="4"/>
  <c r="N136" i="4"/>
  <c r="I146" i="4"/>
  <c r="F164" i="4"/>
  <c r="F165" i="4"/>
  <c r="F166" i="4"/>
  <c r="K177" i="4"/>
  <c r="M177" i="4" s="1"/>
  <c r="O24" i="5"/>
  <c r="D60" i="5"/>
  <c r="M42" i="6"/>
  <c r="L42" i="6"/>
  <c r="G48" i="4"/>
  <c r="F94" i="4"/>
  <c r="F95" i="4"/>
  <c r="E60" i="5"/>
  <c r="D62" i="5" s="1"/>
  <c r="P24" i="5"/>
  <c r="D77" i="5"/>
  <c r="D78" i="5"/>
  <c r="D79" i="5"/>
  <c r="E79" i="6"/>
  <c r="E107" i="6"/>
  <c r="E93" i="6"/>
  <c r="M84" i="6"/>
  <c r="L84" i="6"/>
  <c r="O121" i="4"/>
  <c r="I132" i="4"/>
  <c r="D92" i="5"/>
  <c r="M71" i="6"/>
  <c r="L71" i="6"/>
  <c r="M70" i="6"/>
  <c r="L70" i="6"/>
  <c r="G188" i="4"/>
  <c r="G174" i="4"/>
  <c r="F96" i="4"/>
  <c r="F104" i="4"/>
  <c r="F178" i="4"/>
  <c r="M50" i="5"/>
  <c r="L50" i="5"/>
  <c r="K122" i="4"/>
  <c r="M122" i="4" s="1"/>
  <c r="O163" i="4"/>
  <c r="N163" i="4"/>
  <c r="K178" i="4"/>
  <c r="M178" i="4" s="1"/>
  <c r="E163" i="6"/>
  <c r="E191" i="6"/>
  <c r="E177" i="6"/>
  <c r="M208" i="6"/>
  <c r="L208" i="6"/>
  <c r="F151" i="4"/>
  <c r="O23" i="5"/>
  <c r="E32" i="5"/>
  <c r="D34" i="5" s="1"/>
  <c r="D66" i="6"/>
  <c r="D80" i="6"/>
  <c r="D234" i="6"/>
  <c r="M110" i="6"/>
  <c r="L110" i="6"/>
  <c r="D102" i="5"/>
  <c r="O27" i="5"/>
  <c r="M139" i="6"/>
  <c r="L139" i="6"/>
  <c r="M154" i="6"/>
  <c r="L154" i="6"/>
  <c r="E87" i="5"/>
  <c r="M239" i="6"/>
  <c r="L239" i="6"/>
  <c r="D55" i="6"/>
  <c r="D56" i="6"/>
  <c r="D57" i="6"/>
  <c r="M111" i="6"/>
  <c r="L111" i="6"/>
  <c r="E59" i="5"/>
  <c r="D88" i="5"/>
  <c r="M104" i="5"/>
  <c r="L104" i="5"/>
  <c r="D52" i="6"/>
  <c r="M167" i="6"/>
  <c r="L167" i="6"/>
  <c r="O22" i="5"/>
  <c r="D32" i="5"/>
  <c r="D45" i="5"/>
  <c r="E101" i="5"/>
  <c r="I183" i="6"/>
  <c r="K183" i="6" s="1"/>
  <c r="I105" i="5"/>
  <c r="K105" i="5" s="1"/>
  <c r="E37" i="6"/>
  <c r="E65" i="6"/>
  <c r="M126" i="6"/>
  <c r="L126" i="6"/>
  <c r="D220" i="6"/>
  <c r="I99" i="6"/>
  <c r="K99" i="6" s="1"/>
  <c r="D97" i="6"/>
  <c r="D98" i="6"/>
  <c r="D99" i="6"/>
  <c r="L125" i="6"/>
  <c r="L140" i="6"/>
  <c r="L210" i="6"/>
  <c r="D223" i="6"/>
  <c r="D224" i="6"/>
  <c r="D225" i="6"/>
  <c r="I169" i="6"/>
  <c r="K169" i="6" s="1"/>
  <c r="D139" i="6"/>
  <c r="D140" i="6"/>
  <c r="D141" i="6"/>
  <c r="L225" i="6"/>
  <c r="D69" i="6"/>
  <c r="D70" i="6"/>
  <c r="D71" i="6"/>
  <c r="L112" i="6"/>
  <c r="D149" i="6"/>
  <c r="D181" i="6"/>
  <c r="D182" i="6"/>
  <c r="D183" i="6"/>
  <c r="L238" i="6"/>
  <c r="D206" i="6"/>
  <c r="D111" i="6"/>
  <c r="D112" i="6"/>
  <c r="D113" i="6"/>
  <c r="D209" i="6"/>
  <c r="D210" i="6"/>
  <c r="D211" i="6"/>
  <c r="D108" i="6"/>
  <c r="I155" i="6"/>
  <c r="K155" i="6" s="1"/>
  <c r="D42" i="6"/>
  <c r="D43" i="6"/>
  <c r="D153" i="6"/>
  <c r="D154" i="6"/>
  <c r="D155" i="6"/>
  <c r="D195" i="6"/>
  <c r="D196" i="6"/>
  <c r="D197" i="6"/>
  <c r="D83" i="6"/>
  <c r="D84" i="6"/>
  <c r="D85" i="6"/>
  <c r="D237" i="6"/>
  <c r="D238" i="6"/>
  <c r="D239" i="6"/>
  <c r="D125" i="6"/>
  <c r="D126" i="6"/>
  <c r="D127" i="6"/>
  <c r="M138" i="6"/>
  <c r="L138" i="6"/>
  <c r="D167" i="6"/>
  <c r="D168" i="6"/>
  <c r="D169" i="6"/>
  <c r="M180" i="6"/>
  <c r="L180" i="6"/>
  <c r="D192" i="6"/>
  <c r="U26" i="5" l="1"/>
  <c r="F93" i="5" s="1"/>
  <c r="Q27" i="5" a="1"/>
  <c r="Q27" i="5" s="1"/>
  <c r="E7" i="5" s="1"/>
  <c r="H7" i="5" s="1"/>
  <c r="O166" i="12" s="1"/>
  <c r="R27" i="5" a="1"/>
  <c r="R27" i="5" s="1"/>
  <c r="T27" i="5" a="1"/>
  <c r="T27" i="5" s="1"/>
  <c r="R24" i="5" a="1"/>
  <c r="R24" i="5" s="1"/>
  <c r="Q24" i="5" a="1"/>
  <c r="Q24" i="5" s="1"/>
  <c r="E4" i="5" s="1"/>
  <c r="H4" i="5" s="1"/>
  <c r="O163" i="12" s="1"/>
  <c r="T24" i="5" a="1"/>
  <c r="T24" i="5" s="1"/>
  <c r="U24" i="5" s="1"/>
  <c r="T22" i="5" a="1"/>
  <c r="T22" i="5" s="1"/>
  <c r="Q22" i="5" a="1"/>
  <c r="Q22" i="5" s="1"/>
  <c r="S22" i="5" a="1"/>
  <c r="S22" i="5" s="1"/>
  <c r="R22" i="5" a="1"/>
  <c r="R22" i="5" s="1"/>
  <c r="T23" i="5" a="1"/>
  <c r="T23" i="5" s="1"/>
  <c r="R23" i="5" a="1"/>
  <c r="R23" i="5" s="1"/>
  <c r="Q23" i="5" a="1"/>
  <c r="Q23" i="5" s="1"/>
  <c r="E3" i="5" s="1"/>
  <c r="H3" i="5" s="1"/>
  <c r="O162" i="12" s="1"/>
  <c r="X29" i="4"/>
  <c r="H96" i="4" s="1"/>
  <c r="K96" i="4" s="1"/>
  <c r="M96" i="4" s="1"/>
  <c r="N96" i="4" s="1"/>
  <c r="M98" i="4" s="1"/>
  <c r="M99" i="4" s="1"/>
  <c r="N102" i="4" s="1"/>
  <c r="K6" i="4" s="1"/>
  <c r="T79" i="12" s="1"/>
  <c r="X36" i="4"/>
  <c r="H194" i="4" s="1"/>
  <c r="K194" i="4" s="1"/>
  <c r="M194" i="4" s="1"/>
  <c r="O194" i="4" s="1"/>
  <c r="O196" i="4" s="1"/>
  <c r="U28" i="3"/>
  <c r="F85" i="3" s="1"/>
  <c r="Z13" i="3" a="1"/>
  <c r="Z13" i="3" s="1"/>
  <c r="T25" i="3" a="1"/>
  <c r="T25" i="3" s="1"/>
  <c r="S25" i="3" a="1"/>
  <c r="S25" i="3" s="1"/>
  <c r="R25" i="3" a="1"/>
  <c r="R25" i="3" s="1"/>
  <c r="S39" i="3" a="1"/>
  <c r="S39" i="3" s="1"/>
  <c r="Q39" i="3" a="1"/>
  <c r="Q39" i="3" s="1"/>
  <c r="R39" i="3" a="1"/>
  <c r="R39" i="3" s="1"/>
  <c r="T39" i="3" a="1"/>
  <c r="T39" i="3" s="1"/>
  <c r="S30" i="3" a="1"/>
  <c r="S30" i="3" s="1"/>
  <c r="R30" i="3" a="1"/>
  <c r="R30" i="3" s="1"/>
  <c r="Q30" i="3" a="1"/>
  <c r="Q30" i="3" s="1"/>
  <c r="T30" i="3" a="1"/>
  <c r="T30" i="3" s="1"/>
  <c r="T37" i="3" a="1"/>
  <c r="T37" i="3" s="1"/>
  <c r="S37" i="3" a="1"/>
  <c r="S37" i="3" s="1"/>
  <c r="Q37" i="3" a="1"/>
  <c r="Q37" i="3" s="1"/>
  <c r="R37" i="3" a="1"/>
  <c r="R37" i="3" s="1"/>
  <c r="S35" i="3" a="1"/>
  <c r="S35" i="3" s="1"/>
  <c r="Q35" i="3" a="1"/>
  <c r="Q35" i="3" s="1"/>
  <c r="R35" i="3" a="1"/>
  <c r="R35" i="3" s="1"/>
  <c r="T35" i="3" a="1"/>
  <c r="T35" i="3" s="1"/>
  <c r="S36" i="3" a="1"/>
  <c r="S36" i="3" s="1"/>
  <c r="Q36" i="3" a="1"/>
  <c r="Q36" i="3" s="1"/>
  <c r="E13" i="3" s="1"/>
  <c r="R36" i="3" a="1"/>
  <c r="R36" i="3" s="1"/>
  <c r="T36" i="3" a="1"/>
  <c r="T36" i="3" s="1"/>
  <c r="T34" i="3" a="1"/>
  <c r="T34" i="3" s="1"/>
  <c r="R34" i="3" a="1"/>
  <c r="R34" i="3" s="1"/>
  <c r="S34" i="3" a="1"/>
  <c r="S34" i="3" s="1"/>
  <c r="Q34" i="3" a="1"/>
  <c r="Q34" i="3" s="1"/>
  <c r="T38" i="3" a="1"/>
  <c r="T38" i="3" s="1"/>
  <c r="S38" i="3" a="1"/>
  <c r="S38" i="3" s="1"/>
  <c r="R38" i="3" a="1"/>
  <c r="R38" i="3" s="1"/>
  <c r="T33" i="3" a="1"/>
  <c r="T33" i="3" s="1"/>
  <c r="R33" i="3" a="1"/>
  <c r="R33" i="3" s="1"/>
  <c r="S33" i="3" a="1"/>
  <c r="S33" i="3" s="1"/>
  <c r="Q33" i="3" a="1"/>
  <c r="Q33" i="3" s="1"/>
  <c r="E10" i="3" s="1"/>
  <c r="T32" i="3" a="1"/>
  <c r="T32" i="3" s="1"/>
  <c r="R32" i="3" a="1"/>
  <c r="R32" i="3" s="1"/>
  <c r="S32" i="3" a="1"/>
  <c r="S32" i="3" s="1"/>
  <c r="Q32" i="3" a="1"/>
  <c r="Q32" i="3" s="1"/>
  <c r="E9" i="3" s="1"/>
  <c r="H9" i="3" s="1"/>
  <c r="T31" i="3" a="1"/>
  <c r="T31" i="3" s="1"/>
  <c r="S31" i="3" a="1"/>
  <c r="S31" i="3" s="1"/>
  <c r="R31" i="3" a="1"/>
  <c r="R31" i="3" s="1"/>
  <c r="Q31" i="3" a="1"/>
  <c r="Q31" i="3" s="1"/>
  <c r="U26" i="3"/>
  <c r="F55" i="3" s="1"/>
  <c r="H5" i="3"/>
  <c r="O114" i="12" s="1"/>
  <c r="H3" i="3"/>
  <c r="O112" i="12" s="1"/>
  <c r="L209" i="6"/>
  <c r="U29" i="3"/>
  <c r="E6" i="3"/>
  <c r="H6" i="3" s="1"/>
  <c r="D105" i="5"/>
  <c r="M63" i="5"/>
  <c r="M233" i="3"/>
  <c r="X33" i="4"/>
  <c r="H152" i="4" s="1"/>
  <c r="K152" i="4" s="1"/>
  <c r="M152" i="4" s="1"/>
  <c r="O152" i="4" s="1"/>
  <c r="L124" i="6"/>
  <c r="K129" i="6" s="1"/>
  <c r="K130" i="6" s="1"/>
  <c r="L133" i="6" s="1"/>
  <c r="I8" i="6" s="1"/>
  <c r="T184" i="12" s="1"/>
  <c r="M40" i="6"/>
  <c r="X27" i="4"/>
  <c r="G4" i="4"/>
  <c r="J3" i="4"/>
  <c r="O76" i="12" s="1"/>
  <c r="X26" i="4"/>
  <c r="H54" i="4" s="1"/>
  <c r="K54" i="4" s="1"/>
  <c r="M54" i="4" s="1"/>
  <c r="X35" i="4"/>
  <c r="H180" i="4" s="1"/>
  <c r="K180" i="4" s="1"/>
  <c r="M180" i="4" s="1"/>
  <c r="O180" i="4" s="1"/>
  <c r="G12" i="4"/>
  <c r="J12" i="4" s="1"/>
  <c r="O85" i="12" s="1"/>
  <c r="F43" i="6"/>
  <c r="E2" i="6"/>
  <c r="H2" i="6" s="1"/>
  <c r="O178" i="12" s="1"/>
  <c r="M197" i="6"/>
  <c r="M199" i="6" s="1"/>
  <c r="O93" i="4"/>
  <c r="O65" i="4"/>
  <c r="O135" i="4"/>
  <c r="O149" i="4"/>
  <c r="N164" i="4"/>
  <c r="O51" i="4"/>
  <c r="M69" i="6"/>
  <c r="M73" i="6" s="1"/>
  <c r="L153" i="6"/>
  <c r="D107" i="5"/>
  <c r="I79" i="5"/>
  <c r="K79" i="5" s="1"/>
  <c r="L218" i="3"/>
  <c r="L176" i="3"/>
  <c r="L131" i="3"/>
  <c r="L222" i="6"/>
  <c r="M48" i="5"/>
  <c r="L142" i="3"/>
  <c r="L236" i="6"/>
  <c r="K241" i="6" s="1"/>
  <c r="K242" i="6" s="1"/>
  <c r="L245" i="6" s="1"/>
  <c r="I16" i="6" s="1"/>
  <c r="T192" i="12" s="1"/>
  <c r="L152" i="6"/>
  <c r="L54" i="6"/>
  <c r="L76" i="5"/>
  <c r="M62" i="5"/>
  <c r="M34" i="5"/>
  <c r="M97" i="3"/>
  <c r="L97" i="6"/>
  <c r="L211" i="6"/>
  <c r="L57" i="6"/>
  <c r="L223" i="6"/>
  <c r="L195" i="6"/>
  <c r="L181" i="6"/>
  <c r="L55" i="6"/>
  <c r="M227" i="6"/>
  <c r="M241" i="6"/>
  <c r="M127" i="6"/>
  <c r="M129" i="6" s="1"/>
  <c r="M115" i="6"/>
  <c r="L113" i="6"/>
  <c r="K115" i="6" s="1"/>
  <c r="K116" i="6" s="1"/>
  <c r="L119" i="6" s="1"/>
  <c r="I7" i="6" s="1"/>
  <c r="T183" i="12" s="1"/>
  <c r="L41" i="6"/>
  <c r="M41" i="6"/>
  <c r="M143" i="6"/>
  <c r="L141" i="6"/>
  <c r="K143" i="6" s="1"/>
  <c r="K144" i="6" s="1"/>
  <c r="L147" i="6" s="1"/>
  <c r="I9" i="6" s="1"/>
  <c r="T185" i="12" s="1"/>
  <c r="M85" i="6"/>
  <c r="M87" i="6" s="1"/>
  <c r="K73" i="6"/>
  <c r="K74" i="6" s="1"/>
  <c r="L77" i="6" s="1"/>
  <c r="I4" i="6" s="1"/>
  <c r="T180" i="12" s="1"/>
  <c r="L90" i="5"/>
  <c r="M49" i="5"/>
  <c r="D49" i="5"/>
  <c r="D50" i="5"/>
  <c r="L77" i="5"/>
  <c r="M77" i="5"/>
  <c r="L35" i="5"/>
  <c r="M236" i="3"/>
  <c r="L236" i="3"/>
  <c r="L248" i="3"/>
  <c r="L251" i="3"/>
  <c r="M251" i="3"/>
  <c r="M232" i="3"/>
  <c r="L86" i="3"/>
  <c r="M202" i="3"/>
  <c r="L194" i="6"/>
  <c r="L82" i="6"/>
  <c r="K87" i="6" s="1"/>
  <c r="K88" i="6" s="1"/>
  <c r="L91" i="6" s="1"/>
  <c r="I5" i="6" s="1"/>
  <c r="T181" i="12" s="1"/>
  <c r="L96" i="6"/>
  <c r="L82" i="3"/>
  <c r="L166" i="6"/>
  <c r="M56" i="3"/>
  <c r="L56" i="3"/>
  <c r="O122" i="4"/>
  <c r="N122" i="4"/>
  <c r="O38" i="4"/>
  <c r="N38" i="4"/>
  <c r="M41" i="3"/>
  <c r="L41" i="3"/>
  <c r="M83" i="3"/>
  <c r="L83" i="3"/>
  <c r="L105" i="5"/>
  <c r="M105" i="5"/>
  <c r="D63" i="5"/>
  <c r="D64" i="5"/>
  <c r="D65" i="5"/>
  <c r="D37" i="5"/>
  <c r="D35" i="5"/>
  <c r="D36" i="5"/>
  <c r="O177" i="4"/>
  <c r="N177" i="4"/>
  <c r="M169" i="6"/>
  <c r="M171" i="6" s="1"/>
  <c r="L169" i="6"/>
  <c r="M127" i="3"/>
  <c r="L127" i="3"/>
  <c r="L99" i="6"/>
  <c r="M99" i="6"/>
  <c r="M101" i="6" s="1"/>
  <c r="M59" i="6"/>
  <c r="M213" i="6"/>
  <c r="M203" i="3"/>
  <c r="L203" i="3"/>
  <c r="M155" i="6"/>
  <c r="M157" i="6" s="1"/>
  <c r="L155" i="6"/>
  <c r="L183" i="6"/>
  <c r="M183" i="6"/>
  <c r="M185" i="6" s="1"/>
  <c r="L247" i="3"/>
  <c r="M247" i="3"/>
  <c r="O178" i="4"/>
  <c r="N178" i="4"/>
  <c r="L38" i="3"/>
  <c r="M38" i="3"/>
  <c r="U27" i="5" l="1"/>
  <c r="F107" i="5" s="1"/>
  <c r="N194" i="4"/>
  <c r="M196" i="4" s="1"/>
  <c r="M197" i="4" s="1"/>
  <c r="N200" i="4" s="1"/>
  <c r="K13" i="4" s="1"/>
  <c r="T86" i="12" s="1"/>
  <c r="O96" i="4"/>
  <c r="E2" i="5"/>
  <c r="H2" i="5" s="1"/>
  <c r="O161" i="12" s="1"/>
  <c r="U22" i="5"/>
  <c r="F37" i="5" s="1"/>
  <c r="I37" i="5" s="1"/>
  <c r="K37" i="5" s="1"/>
  <c r="U23" i="5"/>
  <c r="F51" i="5" s="1"/>
  <c r="U25" i="3"/>
  <c r="U34" i="3"/>
  <c r="F175" i="3" s="1"/>
  <c r="U33" i="3"/>
  <c r="F160" i="3" s="1"/>
  <c r="I160" i="3" s="1"/>
  <c r="K160" i="3" s="1"/>
  <c r="L160" i="3" s="1"/>
  <c r="K163" i="3" s="1"/>
  <c r="K164" i="3" s="1"/>
  <c r="L167" i="3" s="1"/>
  <c r="I10" i="3" s="1"/>
  <c r="T119" i="12" s="1"/>
  <c r="U30" i="3"/>
  <c r="F115" i="3" s="1"/>
  <c r="I115" i="3" s="1"/>
  <c r="K115" i="3" s="1"/>
  <c r="L115" i="3" s="1"/>
  <c r="K118" i="3" s="1"/>
  <c r="K119" i="3" s="1"/>
  <c r="L122" i="3" s="1"/>
  <c r="I7" i="3" s="1"/>
  <c r="T116" i="12" s="1"/>
  <c r="U32" i="3"/>
  <c r="F145" i="3" s="1"/>
  <c r="U37" i="3"/>
  <c r="F220" i="3" s="1"/>
  <c r="U38" i="3"/>
  <c r="F235" i="3" s="1"/>
  <c r="I235" i="3" s="1"/>
  <c r="K235" i="3" s="1"/>
  <c r="L235" i="3" s="1"/>
  <c r="K238" i="3" s="1"/>
  <c r="K239" i="3" s="1"/>
  <c r="L242" i="3" s="1"/>
  <c r="I15" i="3" s="1"/>
  <c r="T124" i="12" s="1"/>
  <c r="E14" i="3"/>
  <c r="H14" i="3" s="1"/>
  <c r="O123" i="12" s="1"/>
  <c r="E15" i="3"/>
  <c r="H15" i="3" s="1"/>
  <c r="O124" i="12" s="1"/>
  <c r="E11" i="3"/>
  <c r="H11" i="3" s="1"/>
  <c r="O120" i="12" s="1"/>
  <c r="U31" i="3"/>
  <c r="F130" i="3" s="1"/>
  <c r="I130" i="3" s="1"/>
  <c r="K130" i="3" s="1"/>
  <c r="L130" i="3" s="1"/>
  <c r="K133" i="3" s="1"/>
  <c r="K134" i="3" s="1"/>
  <c r="L137" i="3" s="1"/>
  <c r="I8" i="3" s="1"/>
  <c r="T117" i="12" s="1"/>
  <c r="E8" i="3"/>
  <c r="H8" i="3" s="1"/>
  <c r="O117" i="12" s="1"/>
  <c r="H13" i="3"/>
  <c r="O122" i="12" s="1"/>
  <c r="U36" i="3"/>
  <c r="F205" i="3" s="1"/>
  <c r="H68" i="4"/>
  <c r="K68" i="4" s="1"/>
  <c r="M68" i="4" s="1"/>
  <c r="H10" i="3"/>
  <c r="O119" i="12" s="1"/>
  <c r="E7" i="3"/>
  <c r="H7" i="3" s="1"/>
  <c r="O116" i="12" s="1"/>
  <c r="K213" i="6"/>
  <c r="K214" i="6" s="1"/>
  <c r="L217" i="6" s="1"/>
  <c r="I14" i="6" s="1"/>
  <c r="T190" i="12" s="1"/>
  <c r="K199" i="6"/>
  <c r="K200" i="6" s="1"/>
  <c r="L203" i="6" s="1"/>
  <c r="I13" i="6" s="1"/>
  <c r="T189" i="12" s="1"/>
  <c r="U39" i="3"/>
  <c r="F250" i="3" s="1"/>
  <c r="F65" i="5"/>
  <c r="I65" i="5" s="1"/>
  <c r="K65" i="5" s="1"/>
  <c r="I107" i="5"/>
  <c r="K107" i="5" s="1"/>
  <c r="F40" i="3"/>
  <c r="E2" i="3"/>
  <c r="N180" i="4"/>
  <c r="M182" i="4" s="1"/>
  <c r="M183" i="4" s="1"/>
  <c r="N186" i="4" s="1"/>
  <c r="K12" i="4" s="1"/>
  <c r="T85" i="12" s="1"/>
  <c r="O98" i="4"/>
  <c r="M100" i="4" s="1"/>
  <c r="M101" i="4" s="1"/>
  <c r="M102" i="4" s="1"/>
  <c r="U35" i="3"/>
  <c r="F190" i="3" s="1"/>
  <c r="E12" i="3"/>
  <c r="J2" i="4"/>
  <c r="O75" i="12" s="1"/>
  <c r="X25" i="4"/>
  <c r="H40" i="4" s="1"/>
  <c r="K40" i="4" s="1"/>
  <c r="M40" i="4" s="1"/>
  <c r="G5" i="4"/>
  <c r="J5" i="4" s="1"/>
  <c r="O78" i="12" s="1"/>
  <c r="X28" i="4"/>
  <c r="H82" i="4" s="1"/>
  <c r="K82" i="4" s="1"/>
  <c r="M82" i="4" s="1"/>
  <c r="G7" i="4"/>
  <c r="J7" i="4" s="1"/>
  <c r="O80" i="12" s="1"/>
  <c r="X30" i="4"/>
  <c r="H110" i="4" s="1"/>
  <c r="K110" i="4" s="1"/>
  <c r="M110" i="4" s="1"/>
  <c r="O110" i="4" s="1"/>
  <c r="O112" i="4" s="1"/>
  <c r="X32" i="4"/>
  <c r="H138" i="4" s="1"/>
  <c r="K138" i="4" s="1"/>
  <c r="M138" i="4" s="1"/>
  <c r="G9" i="4"/>
  <c r="J9" i="4" s="1"/>
  <c r="O82" i="12" s="1"/>
  <c r="G8" i="4"/>
  <c r="J8" i="4" s="1"/>
  <c r="O81" i="12" s="1"/>
  <c r="X31" i="4"/>
  <c r="H124" i="4" s="1"/>
  <c r="K124" i="4" s="1"/>
  <c r="M124" i="4" s="1"/>
  <c r="N124" i="4" s="1"/>
  <c r="M126" i="4" s="1"/>
  <c r="M127" i="4" s="1"/>
  <c r="N130" i="4" s="1"/>
  <c r="K8" i="4" s="1"/>
  <c r="T81" i="12" s="1"/>
  <c r="X34" i="4"/>
  <c r="H166" i="4" s="1"/>
  <c r="K166" i="4" s="1"/>
  <c r="M166" i="4" s="1"/>
  <c r="O166" i="4" s="1"/>
  <c r="O168" i="4" s="1"/>
  <c r="G11" i="4"/>
  <c r="J11" i="4" s="1"/>
  <c r="O84" i="12" s="1"/>
  <c r="O154" i="4"/>
  <c r="E16" i="3"/>
  <c r="H16" i="3" s="1"/>
  <c r="O125" i="12" s="1"/>
  <c r="O54" i="4"/>
  <c r="O56" i="4" s="1"/>
  <c r="N54" i="4"/>
  <c r="M56" i="4" s="1"/>
  <c r="M57" i="4" s="1"/>
  <c r="N60" i="4" s="1"/>
  <c r="K3" i="4" s="1"/>
  <c r="T76" i="12" s="1"/>
  <c r="N152" i="4"/>
  <c r="M154" i="4" s="1"/>
  <c r="M155" i="4" s="1"/>
  <c r="N158" i="4" s="1"/>
  <c r="K10" i="4" s="1"/>
  <c r="T83" i="12" s="1"/>
  <c r="K227" i="6"/>
  <c r="K228" i="6" s="1"/>
  <c r="L79" i="5"/>
  <c r="K81" i="5" s="1"/>
  <c r="K82" i="5" s="1"/>
  <c r="L85" i="5" s="1"/>
  <c r="I5" i="5" s="1"/>
  <c r="T164" i="12" s="1"/>
  <c r="M79" i="5"/>
  <c r="M81" i="5" s="1"/>
  <c r="I93" i="5"/>
  <c r="K93" i="5" s="1"/>
  <c r="K59" i="6"/>
  <c r="K60" i="6" s="1"/>
  <c r="K157" i="6"/>
  <c r="K158" i="6" s="1"/>
  <c r="M198" i="4"/>
  <c r="M199" i="4" s="1"/>
  <c r="M200" i="4" s="1"/>
  <c r="K171" i="6"/>
  <c r="K172" i="6" s="1"/>
  <c r="K185" i="6"/>
  <c r="K186" i="6" s="1"/>
  <c r="K117" i="6"/>
  <c r="K118" i="6" s="1"/>
  <c r="K119" i="6" s="1"/>
  <c r="K75" i="6"/>
  <c r="K76" i="6" s="1"/>
  <c r="J4" i="6" s="1"/>
  <c r="K243" i="6"/>
  <c r="K244" i="6" s="1"/>
  <c r="J16" i="6" s="1"/>
  <c r="K145" i="6"/>
  <c r="K146" i="6" s="1"/>
  <c r="J9" i="6" s="1"/>
  <c r="I55" i="3"/>
  <c r="K55" i="3" s="1"/>
  <c r="L55" i="3" s="1"/>
  <c r="K58" i="3" s="1"/>
  <c r="K59" i="3" s="1"/>
  <c r="L62" i="3" s="1"/>
  <c r="I3" i="3" s="1"/>
  <c r="T112" i="12" s="1"/>
  <c r="O113" i="12"/>
  <c r="I70" i="3"/>
  <c r="K70" i="3" s="1"/>
  <c r="M70" i="3" s="1"/>
  <c r="M73" i="3" s="1"/>
  <c r="I85" i="3"/>
  <c r="K85" i="3" s="1"/>
  <c r="L85" i="3" s="1"/>
  <c r="K88" i="3" s="1"/>
  <c r="K89" i="3" s="1"/>
  <c r="L92" i="3" s="1"/>
  <c r="I5" i="3" s="1"/>
  <c r="T114" i="12" s="1"/>
  <c r="K101" i="6"/>
  <c r="K102" i="6" s="1"/>
  <c r="I43" i="6"/>
  <c r="K43" i="6" s="1"/>
  <c r="L43" i="6" s="1"/>
  <c r="K45" i="6" s="1"/>
  <c r="K46" i="6" s="1"/>
  <c r="L49" i="6" s="1"/>
  <c r="I2" i="6" s="1"/>
  <c r="T178" i="12" s="1"/>
  <c r="O118" i="12"/>
  <c r="K131" i="6"/>
  <c r="K132" i="6" s="1"/>
  <c r="O182" i="4"/>
  <c r="F100" i="3"/>
  <c r="K89" i="6"/>
  <c r="K90" i="6" s="1"/>
  <c r="M115" i="3" l="1"/>
  <c r="M118" i="3" s="1"/>
  <c r="K120" i="3" s="1"/>
  <c r="K121" i="3" s="1"/>
  <c r="K122" i="3" s="1"/>
  <c r="L37" i="5"/>
  <c r="K39" i="5" s="1"/>
  <c r="K40" i="5" s="1"/>
  <c r="L43" i="5" s="1"/>
  <c r="I2" i="5" s="1"/>
  <c r="T161" i="12" s="1"/>
  <c r="M37" i="5"/>
  <c r="M39" i="5" s="1"/>
  <c r="M130" i="3"/>
  <c r="M133" i="3" s="1"/>
  <c r="K201" i="6"/>
  <c r="K202" i="6" s="1"/>
  <c r="K203" i="6" s="1"/>
  <c r="N68" i="4"/>
  <c r="M70" i="4" s="1"/>
  <c r="M71" i="4" s="1"/>
  <c r="N74" i="4" s="1"/>
  <c r="O68" i="4"/>
  <c r="O70" i="4" s="1"/>
  <c r="K173" i="6"/>
  <c r="K174" i="6" s="1"/>
  <c r="J11" i="6" s="1"/>
  <c r="L175" i="6"/>
  <c r="I11" i="6" s="1"/>
  <c r="T187" i="12" s="1"/>
  <c r="H12" i="3"/>
  <c r="O121" i="12" s="1"/>
  <c r="K159" i="6"/>
  <c r="K160" i="6" s="1"/>
  <c r="J10" i="6" s="1"/>
  <c r="L161" i="6"/>
  <c r="I10" i="6" s="1"/>
  <c r="T186" i="12" s="1"/>
  <c r="H2" i="3"/>
  <c r="O111" i="12" s="1"/>
  <c r="K187" i="6"/>
  <c r="K188" i="6" s="1"/>
  <c r="K189" i="6" s="1"/>
  <c r="L189" i="6"/>
  <c r="I12" i="6" s="1"/>
  <c r="T188" i="12" s="1"/>
  <c r="K103" i="6"/>
  <c r="K104" i="6" s="1"/>
  <c r="J6" i="6" s="1"/>
  <c r="L105" i="6"/>
  <c r="I6" i="6" s="1"/>
  <c r="T182" i="12" s="1"/>
  <c r="K229" i="6"/>
  <c r="K230" i="6" s="1"/>
  <c r="J15" i="6" s="1"/>
  <c r="L231" i="6"/>
  <c r="I15" i="6" s="1"/>
  <c r="T191" i="12" s="1"/>
  <c r="K215" i="6"/>
  <c r="K216" i="6" s="1"/>
  <c r="K217" i="6" s="1"/>
  <c r="K61" i="6"/>
  <c r="K62" i="6" s="1"/>
  <c r="J3" i="6" s="1"/>
  <c r="L63" i="6"/>
  <c r="I3" i="6" s="1"/>
  <c r="T179" i="12" s="1"/>
  <c r="M65" i="5"/>
  <c r="M67" i="5" s="1"/>
  <c r="L65" i="5"/>
  <c r="K67" i="5" s="1"/>
  <c r="K68" i="5" s="1"/>
  <c r="M107" i="5"/>
  <c r="M109" i="5" s="1"/>
  <c r="L107" i="5"/>
  <c r="K109" i="5" s="1"/>
  <c r="K110" i="5" s="1"/>
  <c r="L113" i="5" s="1"/>
  <c r="I7" i="5" s="1"/>
  <c r="T166" i="12" s="1"/>
  <c r="O124" i="4"/>
  <c r="O126" i="4" s="1"/>
  <c r="M128" i="4" s="1"/>
  <c r="M129" i="4" s="1"/>
  <c r="L8" i="4" s="1"/>
  <c r="O40" i="4"/>
  <c r="O42" i="4" s="1"/>
  <c r="N40" i="4"/>
  <c r="M42" i="4" s="1"/>
  <c r="M43" i="4" s="1"/>
  <c r="N46" i="4" s="1"/>
  <c r="K2" i="4" s="1"/>
  <c r="T75" i="12" s="1"/>
  <c r="N110" i="4"/>
  <c r="M112" i="4" s="1"/>
  <c r="M113" i="4" s="1"/>
  <c r="N82" i="4"/>
  <c r="M84" i="4" s="1"/>
  <c r="M85" i="4" s="1"/>
  <c r="N88" i="4" s="1"/>
  <c r="K5" i="4" s="1"/>
  <c r="T78" i="12" s="1"/>
  <c r="O82" i="4"/>
  <c r="O84" i="4" s="1"/>
  <c r="N138" i="4"/>
  <c r="M140" i="4" s="1"/>
  <c r="M141" i="4" s="1"/>
  <c r="N144" i="4" s="1"/>
  <c r="O138" i="4"/>
  <c r="O140" i="4" s="1"/>
  <c r="N166" i="4"/>
  <c r="M168" i="4" s="1"/>
  <c r="M169" i="4" s="1"/>
  <c r="M156" i="4"/>
  <c r="M157" i="4" s="1"/>
  <c r="M158" i="4" s="1"/>
  <c r="M58" i="4"/>
  <c r="M59" i="4" s="1"/>
  <c r="L6" i="4"/>
  <c r="M93" i="5"/>
  <c r="M95" i="5" s="1"/>
  <c r="L93" i="5"/>
  <c r="K95" i="5" s="1"/>
  <c r="K96" i="5" s="1"/>
  <c r="L99" i="5" s="1"/>
  <c r="I6" i="5" s="1"/>
  <c r="T165" i="12" s="1"/>
  <c r="I51" i="5"/>
  <c r="K51" i="5" s="1"/>
  <c r="M160" i="3"/>
  <c r="M163" i="3" s="1"/>
  <c r="K165" i="3" s="1"/>
  <c r="K166" i="3" s="1"/>
  <c r="M235" i="3"/>
  <c r="M238" i="3" s="1"/>
  <c r="K240" i="3" s="1"/>
  <c r="K241" i="3" s="1"/>
  <c r="J15" i="3" s="1"/>
  <c r="L70" i="3"/>
  <c r="K73" i="3" s="1"/>
  <c r="K74" i="3" s="1"/>
  <c r="M55" i="3"/>
  <c r="M58" i="3" s="1"/>
  <c r="K60" i="3" s="1"/>
  <c r="K61" i="3" s="1"/>
  <c r="J3" i="3" s="1"/>
  <c r="I40" i="3"/>
  <c r="K40" i="3" s="1"/>
  <c r="K83" i="5"/>
  <c r="K84" i="5" s="1"/>
  <c r="K85" i="5" s="1"/>
  <c r="K135" i="3"/>
  <c r="K136" i="3" s="1"/>
  <c r="K137" i="3" s="1"/>
  <c r="L13" i="4"/>
  <c r="J7" i="3"/>
  <c r="J7" i="6"/>
  <c r="K77" i="6"/>
  <c r="K245" i="6"/>
  <c r="K147" i="6"/>
  <c r="I100" i="3"/>
  <c r="K100" i="3" s="1"/>
  <c r="O115" i="12"/>
  <c r="I205" i="3"/>
  <c r="K205" i="3" s="1"/>
  <c r="I175" i="3"/>
  <c r="K175" i="3" s="1"/>
  <c r="I145" i="3"/>
  <c r="K145" i="3" s="1"/>
  <c r="I190" i="3"/>
  <c r="K190" i="3" s="1"/>
  <c r="M85" i="3"/>
  <c r="M88" i="3" s="1"/>
  <c r="K90" i="3" s="1"/>
  <c r="K91" i="3" s="1"/>
  <c r="K92" i="3" s="1"/>
  <c r="I220" i="3"/>
  <c r="K220" i="3" s="1"/>
  <c r="I250" i="3"/>
  <c r="K250" i="3" s="1"/>
  <c r="M43" i="6"/>
  <c r="M45" i="6" s="1"/>
  <c r="K47" i="6" s="1"/>
  <c r="K48" i="6" s="1"/>
  <c r="K49" i="6" s="1"/>
  <c r="M184" i="4"/>
  <c r="M185" i="4" s="1"/>
  <c r="K133" i="6"/>
  <c r="J8" i="6"/>
  <c r="K91" i="6"/>
  <c r="J5" i="6"/>
  <c r="K41" i="5" l="1"/>
  <c r="K42" i="5" s="1"/>
  <c r="J13" i="6"/>
  <c r="K4" i="4"/>
  <c r="T77" i="12" s="1"/>
  <c r="K9" i="4"/>
  <c r="T82" i="12" s="1"/>
  <c r="K161" i="6"/>
  <c r="K175" i="6"/>
  <c r="J14" i="6"/>
  <c r="M72" i="4"/>
  <c r="M73" i="4" s="1"/>
  <c r="L4" i="4" s="1"/>
  <c r="J12" i="6"/>
  <c r="K105" i="6"/>
  <c r="L3" i="4"/>
  <c r="M60" i="4"/>
  <c r="K231" i="6"/>
  <c r="K63" i="6"/>
  <c r="K69" i="5"/>
  <c r="K70" i="5" s="1"/>
  <c r="J4" i="5" s="1"/>
  <c r="L71" i="5"/>
  <c r="I4" i="5" s="1"/>
  <c r="T163" i="12" s="1"/>
  <c r="K75" i="3"/>
  <c r="K76" i="3" s="1"/>
  <c r="K77" i="3" s="1"/>
  <c r="L77" i="3"/>
  <c r="I4" i="3" s="1"/>
  <c r="T113" i="12" s="1"/>
  <c r="M114" i="4"/>
  <c r="M115" i="4" s="1"/>
  <c r="M116" i="4" s="1"/>
  <c r="N116" i="4"/>
  <c r="K7" i="4" s="1"/>
  <c r="T80" i="12" s="1"/>
  <c r="M170" i="4"/>
  <c r="M171" i="4" s="1"/>
  <c r="L11" i="4" s="1"/>
  <c r="N172" i="4"/>
  <c r="K11" i="4" s="1"/>
  <c r="T84" i="12" s="1"/>
  <c r="K111" i="5"/>
  <c r="K112" i="5" s="1"/>
  <c r="K113" i="5" s="1"/>
  <c r="M44" i="4"/>
  <c r="M45" i="4" s="1"/>
  <c r="M46" i="4" s="1"/>
  <c r="M86" i="4"/>
  <c r="M87" i="4" s="1"/>
  <c r="M142" i="4"/>
  <c r="M143" i="4" s="1"/>
  <c r="L10" i="4"/>
  <c r="M130" i="4"/>
  <c r="K97" i="5"/>
  <c r="K98" i="5" s="1"/>
  <c r="K99" i="5" s="1"/>
  <c r="L51" i="5"/>
  <c r="K53" i="5" s="1"/>
  <c r="K54" i="5" s="1"/>
  <c r="L57" i="5" s="1"/>
  <c r="I3" i="5" s="1"/>
  <c r="T162" i="12" s="1"/>
  <c r="M51" i="5"/>
  <c r="M53" i="5" s="1"/>
  <c r="L40" i="3"/>
  <c r="K43" i="3" s="1"/>
  <c r="K44" i="3" s="1"/>
  <c r="L47" i="3" s="1"/>
  <c r="I2" i="3" s="1"/>
  <c r="M40" i="3"/>
  <c r="M43" i="3" s="1"/>
  <c r="J5" i="5"/>
  <c r="J8" i="3"/>
  <c r="M220" i="3"/>
  <c r="M223" i="3" s="1"/>
  <c r="L220" i="3"/>
  <c r="K223" i="3" s="1"/>
  <c r="K224" i="3" s="1"/>
  <c r="L227" i="3" s="1"/>
  <c r="I14" i="3" s="1"/>
  <c r="T123" i="12" s="1"/>
  <c r="M190" i="3"/>
  <c r="M193" i="3" s="1"/>
  <c r="L190" i="3"/>
  <c r="K193" i="3" s="1"/>
  <c r="K194" i="3" s="1"/>
  <c r="L197" i="3" s="1"/>
  <c r="I12" i="3" s="1"/>
  <c r="T121" i="12" s="1"/>
  <c r="L145" i="3"/>
  <c r="K148" i="3" s="1"/>
  <c r="K149" i="3" s="1"/>
  <c r="L152" i="3" s="1"/>
  <c r="I9" i="3" s="1"/>
  <c r="T118" i="12" s="1"/>
  <c r="M145" i="3"/>
  <c r="M148" i="3" s="1"/>
  <c r="M175" i="3"/>
  <c r="M178" i="3" s="1"/>
  <c r="L175" i="3"/>
  <c r="K178" i="3" s="1"/>
  <c r="K179" i="3" s="1"/>
  <c r="L182" i="3" s="1"/>
  <c r="I11" i="3" s="1"/>
  <c r="T120" i="12" s="1"/>
  <c r="M205" i="3"/>
  <c r="M208" i="3" s="1"/>
  <c r="L205" i="3"/>
  <c r="K208" i="3" s="1"/>
  <c r="K209" i="3" s="1"/>
  <c r="L212" i="3" s="1"/>
  <c r="I13" i="3" s="1"/>
  <c r="T122" i="12" s="1"/>
  <c r="M100" i="3"/>
  <c r="M103" i="3" s="1"/>
  <c r="L100" i="3"/>
  <c r="K103" i="3" s="1"/>
  <c r="K104" i="3" s="1"/>
  <c r="L107" i="3" s="1"/>
  <c r="I6" i="3" s="1"/>
  <c r="T115" i="12" s="1"/>
  <c r="M250" i="3"/>
  <c r="M253" i="3" s="1"/>
  <c r="L250" i="3"/>
  <c r="K253" i="3" s="1"/>
  <c r="K254" i="3" s="1"/>
  <c r="L257" i="3" s="1"/>
  <c r="I16" i="3" s="1"/>
  <c r="T125" i="12" s="1"/>
  <c r="J5" i="3"/>
  <c r="K62" i="3"/>
  <c r="J2" i="6"/>
  <c r="K242" i="3"/>
  <c r="M186" i="4"/>
  <c r="L12" i="4"/>
  <c r="K167" i="3"/>
  <c r="J10" i="3"/>
  <c r="K43" i="5" l="1"/>
  <c r="J2" i="5"/>
  <c r="M74" i="4"/>
  <c r="T111" i="12"/>
  <c r="K71" i="5"/>
  <c r="J4" i="3"/>
  <c r="L7" i="4"/>
  <c r="M172" i="4"/>
  <c r="J7" i="5"/>
  <c r="L2" i="4"/>
  <c r="M88" i="4"/>
  <c r="L5" i="4"/>
  <c r="L9" i="4"/>
  <c r="M144" i="4"/>
  <c r="J6" i="5"/>
  <c r="K55" i="5"/>
  <c r="K56" i="5" s="1"/>
  <c r="K57" i="5" s="1"/>
  <c r="K45" i="3"/>
  <c r="K46" i="3" s="1"/>
  <c r="K195" i="3"/>
  <c r="K196" i="3" s="1"/>
  <c r="K197" i="3" s="1"/>
  <c r="K105" i="3"/>
  <c r="K106" i="3" s="1"/>
  <c r="K107" i="3" s="1"/>
  <c r="K180" i="3"/>
  <c r="K181" i="3" s="1"/>
  <c r="K182" i="3" s="1"/>
  <c r="K225" i="3"/>
  <c r="K226" i="3" s="1"/>
  <c r="K227" i="3" s="1"/>
  <c r="K150" i="3"/>
  <c r="K151" i="3" s="1"/>
  <c r="J9" i="3" s="1"/>
  <c r="K210" i="3"/>
  <c r="K211" i="3" s="1"/>
  <c r="K212" i="3" s="1"/>
  <c r="K255" i="3"/>
  <c r="K256" i="3" s="1"/>
  <c r="K47" i="3" l="1"/>
  <c r="J2" i="3"/>
  <c r="J3" i="5"/>
  <c r="J12" i="3"/>
  <c r="J11" i="3"/>
  <c r="J6" i="3"/>
  <c r="J14" i="3"/>
  <c r="K152" i="3"/>
  <c r="J13" i="3"/>
  <c r="K257" i="3"/>
  <c r="J16" i="3"/>
  <c r="L6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Nur Islami Dewi Hasyim</author>
  </authors>
  <commentList>
    <comment ref="T75" authorId="0" shapeId="0" xr:uid="{6713159F-B711-4C56-95B7-106937D0ABB2}">
      <text>
        <r>
          <rPr>
            <b/>
            <sz val="9"/>
            <color indexed="81"/>
            <rFont val="Tahoma"/>
            <family val="2"/>
          </rPr>
          <t>Nur Islami Dewi Hasyim:</t>
        </r>
        <r>
          <rPr>
            <sz val="9"/>
            <color indexed="81"/>
            <rFont val="Tahoma"/>
            <family val="2"/>
          </rPr>
          <t xml:space="preserve">
- Pake formula utk bandingin dg CMC
- Digit sesuaikan dg resolusi alat</t>
        </r>
      </text>
    </comment>
    <comment ref="F179" authorId="0" shapeId="0" xr:uid="{1C843658-2F91-4E7F-938C-A544F230E716}">
      <text>
        <r>
          <rPr>
            <b/>
            <sz val="9"/>
            <color indexed="81"/>
            <rFont val="Tahoma"/>
            <family val="2"/>
          </rPr>
          <t>Nur Islami Dewi Hasyim:</t>
        </r>
        <r>
          <rPr>
            <sz val="9"/>
            <color indexed="81"/>
            <rFont val="Tahoma"/>
            <family val="2"/>
          </rPr>
          <t xml:space="preserve">
Gabungin aja biar enak dilihat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Nur Islami Dewi Hasyim</author>
  </authors>
  <commentList>
    <comment ref="J10" authorId="0" shapeId="0" xr:uid="{D6C63A31-5EA6-4876-BD27-6CF171F3A173}">
      <text>
        <r>
          <rPr>
            <b/>
            <sz val="9"/>
            <color indexed="81"/>
            <rFont val="Tahoma"/>
            <charset val="1"/>
          </rPr>
          <t>Nur Islami Dewi Hasyim:</t>
        </r>
        <r>
          <rPr>
            <sz val="9"/>
            <color indexed="81"/>
            <rFont val="Tahoma"/>
            <charset val="1"/>
          </rPr>
          <t xml:space="preserve">
Kalo utk angka aja, spt no seri/id biasakan pake '</t>
        </r>
      </text>
    </comment>
    <comment ref="F12" authorId="0" shapeId="0" xr:uid="{6930C3C7-D62A-48C0-B249-3F6FB8BBDE67}">
      <text>
        <r>
          <rPr>
            <b/>
            <sz val="9"/>
            <color indexed="81"/>
            <rFont val="Tahoma"/>
            <family val="2"/>
          </rPr>
          <t>Nur Islami Dewi Hasyim:</t>
        </r>
        <r>
          <rPr>
            <sz val="9"/>
            <color indexed="81"/>
            <rFont val="Tahoma"/>
            <family val="2"/>
          </rPr>
          <t xml:space="preserve">
Perhatikan lg syarat yg ditempel di sekitar termohigro lab</t>
        </r>
      </text>
    </comment>
    <comment ref="M13" authorId="0" shapeId="0" xr:uid="{43E65132-6360-47B4-B816-A2EE83E26698}">
      <text>
        <r>
          <rPr>
            <b/>
            <sz val="9"/>
            <color indexed="81"/>
            <rFont val="Tahoma"/>
            <family val="2"/>
          </rPr>
          <t>Nur Islami Dewi Hasyim:</t>
        </r>
        <r>
          <rPr>
            <sz val="9"/>
            <color indexed="81"/>
            <rFont val="Tahoma"/>
            <family val="2"/>
          </rPr>
          <t xml:space="preserve">
Link salah</t>
        </r>
      </text>
    </comment>
    <comment ref="G14" authorId="0" shapeId="0" xr:uid="{08FC161F-DC85-4B52-A064-B5EC49283A83}">
      <text>
        <r>
          <rPr>
            <b/>
            <sz val="9"/>
            <color indexed="81"/>
            <rFont val="Tahoma"/>
            <family val="2"/>
          </rPr>
          <t>Nur Islami Dewi Hasyim:</t>
        </r>
        <r>
          <rPr>
            <sz val="9"/>
            <color indexed="81"/>
            <rFont val="Tahoma"/>
            <family val="2"/>
          </rPr>
          <t xml:space="preserve">
Rumus tidak hanya ditambahkan begitu saja, tapi dicari persamaan agar rentang suhu/kelembapan ruang kalibrasi masuk terhadap rata2 suhu/kelembapan ruang</t>
        </r>
      </text>
    </comment>
    <comment ref="M14" authorId="0" shapeId="0" xr:uid="{84AF9BCF-88BD-42CF-8693-274B9A48291C}">
      <text>
        <r>
          <rPr>
            <b/>
            <sz val="9"/>
            <color indexed="81"/>
            <rFont val="Tahoma"/>
            <family val="2"/>
          </rPr>
          <t>Nur Islami Dewi Hasyim:</t>
        </r>
        <r>
          <rPr>
            <sz val="9"/>
            <color indexed="81"/>
            <rFont val="Tahoma"/>
            <family val="2"/>
          </rPr>
          <t xml:space="preserve">
Rumus tidak hanya ditambahkan begitu saja, tapi dicari persamaan agar rentang suhu/kelembapan ruang kalibrasi masuk terhadap rata2 suhu/kelembapan ruang</t>
        </r>
      </text>
    </comment>
    <comment ref="C15" authorId="0" shapeId="0" xr:uid="{52521B63-F344-45E1-949C-803E2FA0C0C5}">
      <text>
        <r>
          <rPr>
            <b/>
            <sz val="9"/>
            <color indexed="81"/>
            <rFont val="Tahoma"/>
            <family val="2"/>
          </rPr>
          <t>Nur Islami Dewi Hasyim:</t>
        </r>
        <r>
          <rPr>
            <sz val="9"/>
            <color indexed="81"/>
            <rFont val="Tahoma"/>
            <family val="2"/>
          </rPr>
          <t xml:space="preserve">
Beda sertif, sesuai dg order Salam</t>
        </r>
      </text>
    </comment>
    <comment ref="A34" authorId="0" shapeId="0" xr:uid="{0F2E8960-67BE-43C5-8692-8627432D54B8}">
      <text>
        <r>
          <rPr>
            <b/>
            <sz val="9"/>
            <color indexed="81"/>
            <rFont val="Tahoma"/>
            <charset val="1"/>
          </rPr>
          <t>Nur Islami Dewi Hasyim:</t>
        </r>
        <r>
          <rPr>
            <sz val="9"/>
            <color indexed="81"/>
            <rFont val="Tahoma"/>
            <charset val="1"/>
          </rPr>
          <t xml:space="preserve">
Cukup sampe &lt;5V, hrs-nya lbh kecil lg krn gunanya utk koreksi secara gak lgsg efek emf thermal, yg biasanya utk voltage kecil (mV)</t>
        </r>
      </text>
    </comment>
    <comment ref="E55" authorId="0" shapeId="0" xr:uid="{98DADC1D-5D04-4500-8CB2-E5125DE2CF63}">
      <text>
        <r>
          <rPr>
            <b/>
            <sz val="9"/>
            <color indexed="81"/>
            <rFont val="Tahoma"/>
            <charset val="1"/>
          </rPr>
          <t>Nur Islami Dewi Hasyim:</t>
        </r>
        <r>
          <rPr>
            <sz val="9"/>
            <color indexed="81"/>
            <rFont val="Tahoma"/>
            <charset val="1"/>
          </rPr>
          <t xml:space="preserve">
Naik terus? Sudah stabil?</t>
        </r>
      </text>
    </comment>
    <comment ref="C134" authorId="0" shapeId="0" xr:uid="{C7DFD509-3539-453E-ADE9-368689FAA8DD}">
      <text>
        <r>
          <rPr>
            <b/>
            <sz val="9"/>
            <color indexed="81"/>
            <rFont val="Tahoma"/>
            <charset val="1"/>
          </rPr>
          <t>Nur Islami Dewi Hasyim:</t>
        </r>
        <r>
          <rPr>
            <sz val="9"/>
            <color indexed="81"/>
            <rFont val="Tahoma"/>
            <charset val="1"/>
          </rPr>
          <t xml:space="preserve">
Digit??</t>
        </r>
      </text>
    </comment>
    <comment ref="C163" authorId="0" shapeId="0" xr:uid="{7B6FFB8A-7BE0-4DE7-8183-C4882B359384}">
      <text>
        <r>
          <rPr>
            <b/>
            <sz val="9"/>
            <color indexed="81"/>
            <rFont val="Tahoma"/>
            <charset val="1"/>
          </rPr>
          <t>Nur Islami Dewi Hasyim:</t>
        </r>
        <r>
          <rPr>
            <sz val="9"/>
            <color indexed="81"/>
            <rFont val="Tahoma"/>
            <charset val="1"/>
          </rPr>
          <t xml:space="preserve">
Digit??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Nur Islami Dewi Hasyim</author>
  </authors>
  <commentList>
    <comment ref="A13" authorId="0" shapeId="0" xr:uid="{0FC71916-E6A2-4D82-8F72-2032EB93C06B}">
      <text>
        <r>
          <rPr>
            <b/>
            <sz val="9"/>
            <color indexed="81"/>
            <rFont val="Tahoma"/>
            <charset val="1"/>
          </rPr>
          <t>Nur Islami Dewi Hasyim:</t>
        </r>
        <r>
          <rPr>
            <sz val="9"/>
            <color indexed="81"/>
            <rFont val="Tahoma"/>
            <charset val="1"/>
          </rPr>
          <t xml:space="preserve">
Cukup sampe &lt;5V, hrs-nya lbh kecil lg krn gunanya utk koreksi secara gak lgsg efek emf thermal, yg biasanya utk voltage kecil (mV)</t>
        </r>
      </text>
    </comment>
    <comment ref="E34" authorId="0" shapeId="0" xr:uid="{1EB1E365-1FEB-4C08-81D7-FED8A094D994}">
      <text>
        <r>
          <rPr>
            <b/>
            <sz val="9"/>
            <color indexed="81"/>
            <rFont val="Tahoma"/>
            <charset val="1"/>
          </rPr>
          <t>Nur Islami Dewi Hasyim:</t>
        </r>
        <r>
          <rPr>
            <sz val="9"/>
            <color indexed="81"/>
            <rFont val="Tahoma"/>
            <charset val="1"/>
          </rPr>
          <t xml:space="preserve">
Naik terus? Sudah stabil?</t>
        </r>
      </text>
    </comment>
    <comment ref="C111" authorId="0" shapeId="0" xr:uid="{51C45496-4945-4F6A-8848-4C4F622B4828}">
      <text>
        <r>
          <rPr>
            <b/>
            <sz val="9"/>
            <color indexed="81"/>
            <rFont val="Tahoma"/>
            <charset val="1"/>
          </rPr>
          <t>Nur Islami Dewi Hasyim:</t>
        </r>
        <r>
          <rPr>
            <sz val="9"/>
            <color indexed="81"/>
            <rFont val="Tahoma"/>
            <charset val="1"/>
          </rPr>
          <t xml:space="preserve">
Digit??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Nur Islami Dewi Hasyim</author>
  </authors>
  <commentList>
    <comment ref="E2" authorId="0" shapeId="0" xr:uid="{8AB012D6-816B-476E-98F6-0CF39E63579A}">
      <text>
        <r>
          <rPr>
            <b/>
            <sz val="9"/>
            <color indexed="81"/>
            <rFont val="Tahoma"/>
            <charset val="1"/>
          </rPr>
          <t>Nur Islami Dewi Hasyim:</t>
        </r>
        <r>
          <rPr>
            <sz val="9"/>
            <color indexed="81"/>
            <rFont val="Tahoma"/>
            <charset val="1"/>
          </rPr>
          <t xml:space="preserve">
Digit samain dg data</t>
        </r>
      </text>
    </comment>
    <comment ref="K2" authorId="0" shapeId="0" xr:uid="{6C18064F-D4D3-4339-8377-D1FDEDE70144}">
      <text>
        <r>
          <rPr>
            <b/>
            <sz val="9"/>
            <color indexed="81"/>
            <rFont val="Tahoma"/>
            <charset val="1"/>
          </rPr>
          <t>Nur Islami Dewi Hasyim:</t>
        </r>
        <r>
          <rPr>
            <sz val="9"/>
            <color indexed="81"/>
            <rFont val="Tahoma"/>
            <charset val="1"/>
          </rPr>
          <t xml:space="preserve">
Ganti ke kolom L</t>
        </r>
      </text>
    </comment>
    <comment ref="M2" authorId="0" shapeId="0" xr:uid="{23E8DFB7-A624-46BD-BDD7-2650E020F63E}">
      <text>
        <r>
          <rPr>
            <b/>
            <sz val="9"/>
            <color indexed="81"/>
            <rFont val="Tahoma"/>
            <charset val="1"/>
          </rPr>
          <t>Nur Islami Dewi Hasyim:</t>
        </r>
        <r>
          <rPr>
            <sz val="9"/>
            <color indexed="81"/>
            <rFont val="Tahoma"/>
            <charset val="1"/>
          </rPr>
          <t xml:space="preserve">
Dicek berdasarkan CMC, biar formula di sertif logikanya benar</t>
        </r>
      </text>
    </comment>
    <comment ref="Q25" authorId="0" shapeId="0" xr:uid="{495C80C2-1141-4453-A948-F9C791774262}">
      <text>
        <r>
          <rPr>
            <b/>
            <sz val="9"/>
            <color indexed="81"/>
            <rFont val="Tahoma"/>
            <charset val="1"/>
          </rPr>
          <t>Nur Islami Dewi Hasyim:</t>
        </r>
        <r>
          <rPr>
            <sz val="9"/>
            <color indexed="81"/>
            <rFont val="Tahoma"/>
            <charset val="1"/>
          </rPr>
          <t xml:space="preserve">
Digit samain</t>
        </r>
      </text>
    </comment>
    <comment ref="U27" authorId="0" shapeId="0" xr:uid="{D7AA24A5-5A18-4D1D-B66E-9D40E94DBDF6}">
      <text>
        <r>
          <rPr>
            <b/>
            <sz val="9"/>
            <color indexed="81"/>
            <rFont val="Tahoma"/>
            <charset val="1"/>
          </rPr>
          <t>Nur Islami Dewi Hasyim:</t>
        </r>
        <r>
          <rPr>
            <sz val="9"/>
            <color indexed="81"/>
            <rFont val="Tahoma"/>
            <charset val="1"/>
          </rPr>
          <t xml:space="preserve">
Ambil di atas, jgn dibawah</t>
        </r>
      </text>
    </comment>
    <comment ref="Y27" authorId="0" shapeId="0" xr:uid="{653F3184-514C-49E9-A1EB-16436D88BC56}">
      <text>
        <r>
          <rPr>
            <b/>
            <sz val="9"/>
            <color indexed="81"/>
            <rFont val="Tahoma"/>
            <charset val="1"/>
          </rPr>
          <t>Nur Islami Dewi Hasyim:</t>
        </r>
        <r>
          <rPr>
            <sz val="9"/>
            <color indexed="81"/>
            <rFont val="Tahoma"/>
            <charset val="1"/>
          </rPr>
          <t xml:space="preserve">
330mV dibawah 0,54V</t>
        </r>
      </text>
    </comment>
    <comment ref="U28" authorId="0" shapeId="0" xr:uid="{F0B95A54-95F0-4D18-8B3D-3A0DB4B5ECD5}">
      <text>
        <r>
          <rPr>
            <b/>
            <sz val="9"/>
            <color indexed="81"/>
            <rFont val="Tahoma"/>
            <charset val="1"/>
          </rPr>
          <t>Nur Islami Dewi Hasyim:</t>
        </r>
        <r>
          <rPr>
            <sz val="9"/>
            <color indexed="81"/>
            <rFont val="Tahoma"/>
            <charset val="1"/>
          </rPr>
          <t xml:space="preserve">
Salah</t>
        </r>
      </text>
    </comment>
    <comment ref="U29" authorId="0" shapeId="0" xr:uid="{0D895D36-9E21-4D34-9A49-D6846E6D8A62}">
      <text>
        <r>
          <rPr>
            <b/>
            <sz val="9"/>
            <color indexed="81"/>
            <rFont val="Tahoma"/>
            <charset val="1"/>
          </rPr>
          <t>Nur Islami Dewi Hasyim:</t>
        </r>
        <r>
          <rPr>
            <sz val="9"/>
            <color indexed="81"/>
            <rFont val="Tahoma"/>
            <charset val="1"/>
          </rPr>
          <t xml:space="preserve">
Terlalu jauh frekuensi-nya</t>
        </r>
      </text>
    </comment>
    <comment ref="V29" authorId="0" shapeId="0" xr:uid="{DE75654A-A612-45C3-8819-172F840E9850}">
      <text>
        <r>
          <rPr>
            <b/>
            <sz val="9"/>
            <color indexed="81"/>
            <rFont val="Tahoma"/>
            <charset val="1"/>
          </rPr>
          <t>Nur Islami Dewi Hasyim:</t>
        </r>
        <r>
          <rPr>
            <sz val="9"/>
            <color indexed="81"/>
            <rFont val="Tahoma"/>
            <charset val="1"/>
          </rPr>
          <t xml:space="preserve">
Tidak boleh lintas range</t>
        </r>
      </text>
    </comment>
    <comment ref="W29" authorId="0" shapeId="0" xr:uid="{A6DC4E74-9020-412A-931F-14A65D8E799C}">
      <text>
        <r>
          <rPr>
            <b/>
            <sz val="9"/>
            <color indexed="81"/>
            <rFont val="Tahoma"/>
            <charset val="1"/>
          </rPr>
          <t>Nur Islami Dewi Hasyim:</t>
        </r>
        <r>
          <rPr>
            <sz val="9"/>
            <color indexed="81"/>
            <rFont val="Tahoma"/>
            <charset val="1"/>
          </rPr>
          <t xml:space="preserve">
Tidak lintas range</t>
        </r>
      </text>
    </comment>
    <comment ref="Y30" authorId="0" shapeId="0" xr:uid="{DAF0C91D-1F77-42B3-8988-40927CE71A90}">
      <text>
        <r>
          <rPr>
            <b/>
            <sz val="9"/>
            <color indexed="81"/>
            <rFont val="Tahoma"/>
            <charset val="1"/>
          </rPr>
          <t>Nur Islami Dewi Hasyim:</t>
        </r>
        <r>
          <rPr>
            <sz val="9"/>
            <color indexed="81"/>
            <rFont val="Tahoma"/>
            <charset val="1"/>
          </rPr>
          <t xml:space="preserve">
Salah</t>
        </r>
      </text>
    </comment>
    <comment ref="U33" authorId="0" shapeId="0" xr:uid="{631E3EE3-3AE9-4168-970B-B94F2508A2D7}">
      <text>
        <r>
          <rPr>
            <b/>
            <sz val="9"/>
            <color indexed="81"/>
            <rFont val="Tahoma"/>
            <charset val="1"/>
          </rPr>
          <t>Nur Islami Dewi Hasyim:</t>
        </r>
        <r>
          <rPr>
            <sz val="9"/>
            <color indexed="81"/>
            <rFont val="Tahoma"/>
            <charset val="1"/>
          </rPr>
          <t xml:space="preserve">
Interpolasi dg nilai terdekat (33V &amp; 100V)</t>
        </r>
      </text>
    </comment>
    <comment ref="Y33" authorId="0" shapeId="0" xr:uid="{D22DEF4C-8F23-42C9-9191-71EB342E3F9E}">
      <text>
        <r>
          <rPr>
            <b/>
            <sz val="9"/>
            <color indexed="81"/>
            <rFont val="Tahoma"/>
            <charset val="1"/>
          </rPr>
          <t>Nur Islami Dewi Hasyim:</t>
        </r>
        <r>
          <rPr>
            <sz val="9"/>
            <color indexed="81"/>
            <rFont val="Tahoma"/>
            <charset val="1"/>
          </rPr>
          <t xml:space="preserve">
Salah</t>
        </r>
      </text>
    </comment>
    <comment ref="U34" authorId="0" shapeId="0" xr:uid="{533036E0-5313-49D1-A1DE-8AB438B8096E}">
      <text>
        <r>
          <rPr>
            <b/>
            <sz val="9"/>
            <color indexed="81"/>
            <rFont val="Tahoma"/>
            <charset val="1"/>
          </rPr>
          <t>Nur Islami Dewi Hasyim:</t>
        </r>
        <r>
          <rPr>
            <sz val="9"/>
            <color indexed="81"/>
            <rFont val="Tahoma"/>
            <charset val="1"/>
          </rPr>
          <t xml:space="preserve">
Interpolasi nilai terdekat</t>
        </r>
      </text>
    </comment>
    <comment ref="F35" authorId="0" shapeId="0" xr:uid="{F76D4294-48ED-405D-A100-56A52DA637BF}">
      <text>
        <r>
          <rPr>
            <b/>
            <sz val="9"/>
            <color indexed="81"/>
            <rFont val="Tahoma"/>
            <charset val="1"/>
          </rPr>
          <t>Nur Islami Dewi Hasyim:</t>
        </r>
        <r>
          <rPr>
            <sz val="9"/>
            <color indexed="81"/>
            <rFont val="Tahoma"/>
            <charset val="1"/>
          </rPr>
          <t xml:space="preserve">
Semua digit sesuaikan</t>
        </r>
      </text>
    </comment>
    <comment ref="Y35" authorId="0" shapeId="0" xr:uid="{35AA7404-2B6F-43A7-87AB-67E586DA7308}">
      <text>
        <r>
          <rPr>
            <b/>
            <sz val="9"/>
            <color indexed="81"/>
            <rFont val="Tahoma"/>
            <charset val="1"/>
          </rPr>
          <t>Nur Islami Dewi Hasyim:</t>
        </r>
        <r>
          <rPr>
            <sz val="9"/>
            <color indexed="81"/>
            <rFont val="Tahoma"/>
            <charset val="1"/>
          </rPr>
          <t xml:space="preserve">
Salah</t>
        </r>
      </text>
    </comment>
    <comment ref="Y36" authorId="0" shapeId="0" xr:uid="{10167FEE-29F2-45C4-ACC5-E954413439D5}">
      <text>
        <r>
          <rPr>
            <b/>
            <sz val="9"/>
            <color indexed="81"/>
            <rFont val="Tahoma"/>
            <charset val="1"/>
          </rPr>
          <t>Nur Islami Dewi Hasyim:</t>
        </r>
        <r>
          <rPr>
            <sz val="9"/>
            <color indexed="81"/>
            <rFont val="Tahoma"/>
            <charset val="1"/>
          </rPr>
          <t xml:space="preserve">
Salah</t>
        </r>
      </text>
    </comment>
    <comment ref="G37" authorId="0" shapeId="0" xr:uid="{F23925D5-C5E0-43EA-9E03-E7A31F01FFC6}">
      <text>
        <r>
          <rPr>
            <b/>
            <sz val="9"/>
            <color indexed="81"/>
            <rFont val="Tahoma"/>
            <charset val="1"/>
          </rPr>
          <t>Nur Islami Dewi Hasyim:</t>
        </r>
        <r>
          <rPr>
            <sz val="9"/>
            <color indexed="81"/>
            <rFont val="Tahoma"/>
            <charset val="1"/>
          </rPr>
          <t xml:space="preserve">
Ganti jenis distribusi</t>
        </r>
      </text>
    </comment>
    <comment ref="Y38" authorId="0" shapeId="0" xr:uid="{6667ADF1-87D9-44B1-81B0-78054D7FCEFD}">
      <text>
        <r>
          <rPr>
            <b/>
            <sz val="9"/>
            <color indexed="81"/>
            <rFont val="Tahoma"/>
            <charset val="1"/>
          </rPr>
          <t>Nur Islami Dewi Hasyim:</t>
        </r>
        <r>
          <rPr>
            <sz val="9"/>
            <color indexed="81"/>
            <rFont val="Tahoma"/>
            <charset val="1"/>
          </rPr>
          <t xml:space="preserve">
Salah</t>
        </r>
      </text>
    </comment>
    <comment ref="N46" authorId="0" shapeId="0" xr:uid="{610FF4F5-C452-4858-A540-8F6A29DABF81}">
      <text>
        <r>
          <rPr>
            <b/>
            <sz val="9"/>
            <color indexed="81"/>
            <rFont val="Tahoma"/>
            <charset val="1"/>
          </rPr>
          <t>Nur Islami Dewi Hasyim:</t>
        </r>
        <r>
          <rPr>
            <sz val="9"/>
            <color indexed="81"/>
            <rFont val="Tahoma"/>
            <charset val="1"/>
          </rPr>
          <t xml:space="preserve">
Mana persamaannya???</t>
        </r>
      </text>
    </comment>
    <comment ref="H67" authorId="0" shapeId="0" xr:uid="{479B6551-8CB5-447A-8528-5AC2693ED079}">
      <text>
        <r>
          <rPr>
            <b/>
            <sz val="9"/>
            <color indexed="81"/>
            <rFont val="Tahoma"/>
            <charset val="1"/>
          </rPr>
          <t>Nur Islami Dewi Hasyim:</t>
        </r>
        <r>
          <rPr>
            <sz val="9"/>
            <color indexed="81"/>
            <rFont val="Tahoma"/>
            <charset val="1"/>
          </rPr>
          <t xml:space="preserve">
Perhatikan satuan, samakan kalo beda</t>
        </r>
      </text>
    </comment>
    <comment ref="H68" authorId="0" shapeId="0" xr:uid="{78E4AB51-5CF1-4332-BEE5-FF45282F95CA}">
      <text>
        <r>
          <rPr>
            <b/>
            <sz val="9"/>
            <color indexed="81"/>
            <rFont val="Tahoma"/>
            <charset val="1"/>
          </rPr>
          <t>Nur Islami Dewi Hasyim:</t>
        </r>
        <r>
          <rPr>
            <sz val="9"/>
            <color indexed="81"/>
            <rFont val="Tahoma"/>
            <charset val="1"/>
          </rPr>
          <t xml:space="preserve">
Satuan samakan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Nur Islami Dewi Hasyim</author>
  </authors>
  <commentList>
    <comment ref="I2" authorId="0" shapeId="0" xr:uid="{5EB976C1-3802-4186-8743-D2712DBB671E}">
      <text>
        <r>
          <rPr>
            <b/>
            <sz val="9"/>
            <color indexed="81"/>
            <rFont val="Tahoma"/>
            <charset val="1"/>
          </rPr>
          <t>Nur Islami Dewi Hasyim:</t>
        </r>
        <r>
          <rPr>
            <sz val="9"/>
            <color indexed="81"/>
            <rFont val="Tahoma"/>
            <charset val="1"/>
          </rPr>
          <t xml:space="preserve">
Ganti ke kolom L</t>
        </r>
      </text>
    </comment>
    <comment ref="C15" authorId="0" shapeId="0" xr:uid="{CE2649BC-16C0-466A-A8AE-6D83FF0A605C}">
      <text>
        <r>
          <rPr>
            <b/>
            <sz val="9"/>
            <color indexed="81"/>
            <rFont val="Tahoma"/>
            <charset val="1"/>
          </rPr>
          <t>Nur Islami Dewi Hasyim:</t>
        </r>
        <r>
          <rPr>
            <sz val="9"/>
            <color indexed="81"/>
            <rFont val="Tahoma"/>
            <charset val="1"/>
          </rPr>
          <t xml:space="preserve">
Samain digit</t>
        </r>
      </text>
    </comment>
    <comment ref="K15" authorId="0" shapeId="0" xr:uid="{5FF97DA0-EC8F-4A89-A7CD-A446E0D637C1}">
      <text>
        <r>
          <rPr>
            <b/>
            <sz val="9"/>
            <color indexed="81"/>
            <rFont val="Tahoma"/>
            <charset val="1"/>
          </rPr>
          <t>Nur Islami Dewi Hasyim:</t>
        </r>
        <r>
          <rPr>
            <sz val="9"/>
            <color indexed="81"/>
            <rFont val="Tahoma"/>
            <charset val="1"/>
          </rPr>
          <t xml:space="preserve">
Salah</t>
        </r>
      </text>
    </comment>
    <comment ref="V27" authorId="0" shapeId="0" xr:uid="{8220E51D-7078-46AE-B274-ED2AA781A341}">
      <text>
        <r>
          <rPr>
            <b/>
            <sz val="9"/>
            <color indexed="81"/>
            <rFont val="Tahoma"/>
            <charset val="1"/>
          </rPr>
          <t>Nur Islami Dewi Hasyim:</t>
        </r>
        <r>
          <rPr>
            <sz val="9"/>
            <color indexed="81"/>
            <rFont val="Tahoma"/>
            <charset val="1"/>
          </rPr>
          <t xml:space="preserve">
Salah</t>
        </r>
      </text>
    </comment>
    <comment ref="V28" authorId="0" shapeId="0" xr:uid="{2029221D-28AB-46CE-86C0-E3EF258455B3}">
      <text>
        <r>
          <rPr>
            <b/>
            <sz val="9"/>
            <color indexed="81"/>
            <rFont val="Tahoma"/>
            <charset val="1"/>
          </rPr>
          <t>Nur Islami Dewi Hasyim:</t>
        </r>
        <r>
          <rPr>
            <sz val="9"/>
            <color indexed="81"/>
            <rFont val="Tahoma"/>
            <charset val="1"/>
          </rPr>
          <t xml:space="preserve">
Salah</t>
        </r>
      </text>
    </comment>
    <comment ref="R30" authorId="0" shapeId="0" xr:uid="{50AF7404-7470-441A-9082-A0E44989124D}">
      <text>
        <r>
          <rPr>
            <b/>
            <sz val="9"/>
            <color indexed="81"/>
            <rFont val="Tahoma"/>
            <charset val="1"/>
          </rPr>
          <t>Nur Islami Dewi Hasyim:</t>
        </r>
        <r>
          <rPr>
            <sz val="9"/>
            <color indexed="81"/>
            <rFont val="Tahoma"/>
            <charset val="1"/>
          </rPr>
          <t xml:space="preserve">
Interpolasi jg, ada datanya, utk thn 2020 n 2018 jg</t>
        </r>
      </text>
    </comment>
    <comment ref="V33" authorId="0" shapeId="0" xr:uid="{48DEAE6F-8420-4F26-B93B-212A5C49FB34}">
      <text>
        <r>
          <rPr>
            <b/>
            <sz val="9"/>
            <color indexed="81"/>
            <rFont val="Tahoma"/>
            <charset val="1"/>
          </rPr>
          <t>Nur Islami Dewi Hasyim:</t>
        </r>
        <r>
          <rPr>
            <sz val="9"/>
            <color indexed="81"/>
            <rFont val="Tahoma"/>
            <charset val="1"/>
          </rPr>
          <t xml:space="preserve">
Salah</t>
        </r>
      </text>
    </comment>
    <comment ref="V36" authorId="0" shapeId="0" xr:uid="{4123B593-0A9B-4460-9D82-5974CD17D600}">
      <text>
        <r>
          <rPr>
            <b/>
            <sz val="9"/>
            <color indexed="81"/>
            <rFont val="Tahoma"/>
            <charset val="1"/>
          </rPr>
          <t>Nur Islami Dewi Hasyim:</t>
        </r>
        <r>
          <rPr>
            <sz val="9"/>
            <color indexed="81"/>
            <rFont val="Tahoma"/>
            <charset val="1"/>
          </rPr>
          <t xml:space="preserve">
Salah</t>
        </r>
      </text>
    </comment>
    <comment ref="E37" authorId="0" shapeId="0" xr:uid="{7EF5C5E8-60BC-46ED-814C-3E205898588E}">
      <text>
        <r>
          <rPr>
            <b/>
            <sz val="9"/>
            <color indexed="81"/>
            <rFont val="Tahoma"/>
            <charset val="1"/>
          </rPr>
          <t>Nur Islami Dewi Hasyim:</t>
        </r>
        <r>
          <rPr>
            <sz val="9"/>
            <color indexed="81"/>
            <rFont val="Tahoma"/>
            <charset val="1"/>
          </rPr>
          <t xml:space="preserve">
Blm diganti</t>
        </r>
      </text>
    </comment>
    <comment ref="L47" authorId="0" shapeId="0" xr:uid="{3A52B918-0E04-459B-BCFC-5DFE27F300CD}">
      <text>
        <r>
          <rPr>
            <b/>
            <sz val="9"/>
            <color indexed="81"/>
            <rFont val="Tahoma"/>
            <charset val="1"/>
          </rPr>
          <t>Nur Islami Dewi Hasyim:</t>
        </r>
        <r>
          <rPr>
            <sz val="9"/>
            <color indexed="81"/>
            <rFont val="Tahoma"/>
            <charset val="1"/>
          </rPr>
          <t xml:space="preserve">
Mana formulanya?</t>
        </r>
      </text>
    </comment>
    <comment ref="F69" authorId="0" shapeId="0" xr:uid="{6B7008D9-6F98-4427-9FDA-E2F5166CAF1F}">
      <text>
        <r>
          <rPr>
            <b/>
            <sz val="9"/>
            <color indexed="81"/>
            <rFont val="Tahoma"/>
            <charset val="1"/>
          </rPr>
          <t>Nur Islami Dewi Hasyim:</t>
        </r>
        <r>
          <rPr>
            <sz val="9"/>
            <color indexed="81"/>
            <rFont val="Tahoma"/>
            <charset val="1"/>
          </rPr>
          <t xml:space="preserve">
Satuan samain</t>
        </r>
      </text>
    </comment>
    <comment ref="F80" authorId="0" shapeId="0" xr:uid="{6AC674E2-FDA2-4101-B693-075604D6F2CA}">
      <text>
        <r>
          <rPr>
            <b/>
            <sz val="9"/>
            <color indexed="81"/>
            <rFont val="Tahoma"/>
            <charset val="1"/>
          </rPr>
          <t>Nur Islami Dewi Hasyim:</t>
        </r>
        <r>
          <rPr>
            <sz val="9"/>
            <color indexed="81"/>
            <rFont val="Tahoma"/>
            <charset val="1"/>
          </rPr>
          <t xml:space="preserve">
Gak perlu dilink krn satuan sama antara standar dg UUT, jd gak perlu pengingat</t>
        </r>
      </text>
    </comment>
    <comment ref="F85" authorId="0" shapeId="0" xr:uid="{C221128E-BCBC-49D7-9DCC-21D4B7B9D2EB}">
      <text>
        <r>
          <rPr>
            <b/>
            <sz val="9"/>
            <color indexed="81"/>
            <rFont val="Tahoma"/>
            <charset val="1"/>
          </rPr>
          <t>Nur Islami Dewi Hasyim:</t>
        </r>
        <r>
          <rPr>
            <sz val="9"/>
            <color indexed="81"/>
            <rFont val="Tahoma"/>
            <charset val="1"/>
          </rPr>
          <t xml:space="preserve">
Tidak perlu dikali 1000 krn satuan sudah sama</t>
        </r>
      </text>
    </comment>
    <comment ref="F86" authorId="0" shapeId="0" xr:uid="{40A9C134-48F3-44DD-8898-A788A9E73DDD}">
      <text>
        <r>
          <rPr>
            <b/>
            <sz val="9"/>
            <color indexed="81"/>
            <rFont val="Tahoma"/>
            <charset val="1"/>
          </rPr>
          <t>Nur Islami Dewi Hasyim:</t>
        </r>
        <r>
          <rPr>
            <sz val="9"/>
            <color indexed="81"/>
            <rFont val="Tahoma"/>
            <charset val="1"/>
          </rPr>
          <t xml:space="preserve">
Samakan satuan</t>
        </r>
      </text>
    </comment>
    <comment ref="D230" authorId="0" shapeId="0" xr:uid="{5CFCC4C1-25CE-49D6-9E82-0CD52ADC7EAE}">
      <text>
        <r>
          <rPr>
            <b/>
            <sz val="9"/>
            <color indexed="81"/>
            <rFont val="Tahoma"/>
            <charset val="1"/>
          </rPr>
          <t>Nur Islami Dewi Hasyim:</t>
        </r>
        <r>
          <rPr>
            <sz val="9"/>
            <color indexed="81"/>
            <rFont val="Tahoma"/>
            <charset val="1"/>
          </rPr>
          <t xml:space="preserve">
Samain digit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Nur Islami Dewi Hasyim</author>
  </authors>
  <commentList>
    <comment ref="K11" authorId="0" shapeId="0" xr:uid="{30456F6D-A87A-4E01-9F92-0829E0EAA4A8}">
      <text>
        <r>
          <rPr>
            <b/>
            <sz val="9"/>
            <color indexed="81"/>
            <rFont val="Tahoma"/>
            <charset val="1"/>
          </rPr>
          <t>Nur Islami Dewi Hasyim:</t>
        </r>
        <r>
          <rPr>
            <sz val="9"/>
            <color indexed="81"/>
            <rFont val="Tahoma"/>
            <charset val="1"/>
          </rPr>
          <t xml:space="preserve">
Salah</t>
        </r>
      </text>
    </comment>
    <comment ref="V24" authorId="0" shapeId="0" xr:uid="{81CF08FA-18D2-497E-A278-1351DA1C7C74}">
      <text>
        <r>
          <rPr>
            <b/>
            <sz val="9"/>
            <color indexed="81"/>
            <rFont val="Tahoma"/>
            <charset val="1"/>
          </rPr>
          <t>Nur Islami Dewi Hasyim:</t>
        </r>
        <r>
          <rPr>
            <sz val="9"/>
            <color indexed="81"/>
            <rFont val="Tahoma"/>
            <charset val="1"/>
          </rPr>
          <t xml:space="preserve">
Salah</t>
        </r>
      </text>
    </comment>
    <comment ref="V27" authorId="0" shapeId="0" xr:uid="{279A577E-131D-4374-8C9E-AF15D110E633}">
      <text>
        <r>
          <rPr>
            <b/>
            <sz val="9"/>
            <color indexed="81"/>
            <rFont val="Tahoma"/>
            <charset val="1"/>
          </rPr>
          <t>Nur Islami Dewi Hasyim:</t>
        </r>
        <r>
          <rPr>
            <sz val="9"/>
            <color indexed="81"/>
            <rFont val="Tahoma"/>
            <charset val="1"/>
          </rPr>
          <t xml:space="preserve">
Salah</t>
        </r>
      </text>
    </comment>
    <comment ref="V29" authorId="0" shapeId="0" xr:uid="{7260BE80-6458-4F9C-9E4A-CCBDD98BC4C9}">
      <text>
        <r>
          <rPr>
            <b/>
            <sz val="9"/>
            <color indexed="81"/>
            <rFont val="Tahoma"/>
            <charset val="1"/>
          </rPr>
          <t>Nur Islami Dewi Hasyim:</t>
        </r>
        <r>
          <rPr>
            <sz val="9"/>
            <color indexed="81"/>
            <rFont val="Tahoma"/>
            <charset val="1"/>
          </rPr>
          <t xml:space="preserve">
Salah</t>
        </r>
      </text>
    </comment>
    <comment ref="F106" authorId="0" shapeId="0" xr:uid="{915AEFE1-5FA9-4DE9-A07A-F8F061EC22AD}">
      <text>
        <r>
          <rPr>
            <b/>
            <sz val="9"/>
            <color indexed="81"/>
            <rFont val="Tahoma"/>
            <charset val="1"/>
          </rPr>
          <t>Nur Islami Dewi Hasyim:</t>
        </r>
        <r>
          <rPr>
            <sz val="9"/>
            <color indexed="81"/>
            <rFont val="Tahoma"/>
            <charset val="1"/>
          </rPr>
          <t xml:space="preserve">
Samain satuan</t>
        </r>
      </text>
    </comment>
    <comment ref="F107" authorId="0" shapeId="0" xr:uid="{660B0B8A-D657-42F5-BCFC-BF5583046102}">
      <text>
        <r>
          <rPr>
            <b/>
            <sz val="9"/>
            <color indexed="81"/>
            <rFont val="Tahoma"/>
            <charset val="1"/>
          </rPr>
          <t>Nur Islami Dewi Hasyim:</t>
        </r>
        <r>
          <rPr>
            <sz val="9"/>
            <color indexed="81"/>
            <rFont val="Tahoma"/>
            <charset val="1"/>
          </rPr>
          <t xml:space="preserve">
Samain satuan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Nur Islami Dewi Hasyim</author>
  </authors>
  <commentList>
    <comment ref="E9" authorId="0" shapeId="0" xr:uid="{4C0DC808-D26A-4B33-9932-3D1F21CB2A04}">
      <text>
        <r>
          <rPr>
            <b/>
            <sz val="9"/>
            <color indexed="81"/>
            <rFont val="Tahoma"/>
            <charset val="1"/>
          </rPr>
          <t>Nur Islami Dewi Hasyim:</t>
        </r>
        <r>
          <rPr>
            <sz val="9"/>
            <color indexed="81"/>
            <rFont val="Tahoma"/>
            <charset val="1"/>
          </rPr>
          <t xml:space="preserve">
Digit sesuaikan</t>
        </r>
      </text>
    </comment>
    <comment ref="Y23" authorId="0" shapeId="0" xr:uid="{206E8DF1-2C7A-4A92-8C42-8DA7A1BF8C86}">
      <text>
        <r>
          <rPr>
            <b/>
            <sz val="9"/>
            <color indexed="81"/>
            <rFont val="Tahoma"/>
            <charset val="1"/>
          </rPr>
          <t>Nur Islami Dewi Hasyim:</t>
        </r>
        <r>
          <rPr>
            <sz val="9"/>
            <color indexed="81"/>
            <rFont val="Tahoma"/>
            <charset val="1"/>
          </rPr>
          <t xml:space="preserve">
Salah</t>
        </r>
      </text>
    </comment>
    <comment ref="Y25" authorId="0" shapeId="0" xr:uid="{E0BB0C31-E642-456A-AAB0-26077C1BDCC7}">
      <text>
        <r>
          <rPr>
            <b/>
            <sz val="9"/>
            <color indexed="81"/>
            <rFont val="Tahoma"/>
            <charset val="1"/>
          </rPr>
          <t>Nur Islami Dewi Hasyim:</t>
        </r>
        <r>
          <rPr>
            <sz val="9"/>
            <color indexed="81"/>
            <rFont val="Tahoma"/>
            <charset val="1"/>
          </rPr>
          <t xml:space="preserve">
Salah</t>
        </r>
      </text>
    </comment>
    <comment ref="Y28" authorId="0" shapeId="0" xr:uid="{51719810-D135-4F26-87AE-3BA26B8E9013}">
      <text>
        <r>
          <rPr>
            <b/>
            <sz val="9"/>
            <color indexed="81"/>
            <rFont val="Tahoma"/>
            <charset val="1"/>
          </rPr>
          <t>Nur Islami Dewi Hasyim:</t>
        </r>
        <r>
          <rPr>
            <sz val="9"/>
            <color indexed="81"/>
            <rFont val="Tahoma"/>
            <charset val="1"/>
          </rPr>
          <t xml:space="preserve">
Salah</t>
        </r>
      </text>
    </comment>
    <comment ref="Y30" authorId="0" shapeId="0" xr:uid="{1DA9E7EA-B6A3-4F2E-8FD4-D3484ED2D295}">
      <text>
        <r>
          <rPr>
            <b/>
            <sz val="9"/>
            <color indexed="81"/>
            <rFont val="Tahoma"/>
            <charset val="1"/>
          </rPr>
          <t>Nur Islami Dewi Hasyim:</t>
        </r>
        <r>
          <rPr>
            <sz val="9"/>
            <color indexed="81"/>
            <rFont val="Tahoma"/>
            <charset val="1"/>
          </rPr>
          <t xml:space="preserve">
Salah</t>
        </r>
      </text>
    </comment>
    <comment ref="G34" authorId="0" shapeId="0" xr:uid="{8453911E-C4AD-4793-A1DB-40FEE6BDB72F}">
      <text>
        <r>
          <rPr>
            <b/>
            <sz val="9"/>
            <color indexed="81"/>
            <rFont val="Tahoma"/>
            <charset val="1"/>
          </rPr>
          <t>Nur Islami Dewi Hasyim:</t>
        </r>
        <r>
          <rPr>
            <sz val="9"/>
            <color indexed="81"/>
            <rFont val="Tahoma"/>
            <charset val="1"/>
          </rPr>
          <t xml:space="preserve">
Blm diganti</t>
        </r>
      </text>
    </comment>
    <comment ref="H106" authorId="0" shapeId="0" xr:uid="{9FC62A3F-DEFA-41A0-BF4C-6337CF197503}">
      <text>
        <r>
          <rPr>
            <b/>
            <sz val="9"/>
            <color indexed="81"/>
            <rFont val="Tahoma"/>
            <charset val="1"/>
          </rPr>
          <t>Nur Islami Dewi Hasyim:</t>
        </r>
        <r>
          <rPr>
            <sz val="9"/>
            <color indexed="81"/>
            <rFont val="Tahoma"/>
            <charset val="1"/>
          </rPr>
          <t xml:space="preserve">
Samain satuan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Nur Islami Dewi Hasyim</author>
  </authors>
  <commentList>
    <comment ref="F56" authorId="0" shapeId="0" xr:uid="{48303FD2-F4C2-42BF-AAD7-A2C40089296C}">
      <text>
        <r>
          <rPr>
            <b/>
            <sz val="9"/>
            <color indexed="81"/>
            <rFont val="Tahoma"/>
            <charset val="1"/>
          </rPr>
          <t>Nur Islami Dewi Hasyim:</t>
        </r>
        <r>
          <rPr>
            <sz val="9"/>
            <color indexed="81"/>
            <rFont val="Tahoma"/>
            <charset val="1"/>
          </rPr>
          <t xml:space="preserve">
Salah</t>
        </r>
      </text>
    </comment>
    <comment ref="F266" authorId="0" shapeId="0" xr:uid="{C5CEE85E-FF10-4ECB-82DC-0F0329931E14}">
      <text>
        <r>
          <rPr>
            <b/>
            <sz val="9"/>
            <color indexed="81"/>
            <rFont val="Tahoma"/>
            <charset val="1"/>
          </rPr>
          <t>Nur Islami Dewi Hasyim:</t>
        </r>
        <r>
          <rPr>
            <sz val="9"/>
            <color indexed="81"/>
            <rFont val="Tahoma"/>
            <charset val="1"/>
          </rPr>
          <t xml:space="preserve">
Salah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<sst xmlns="http://schemas.openxmlformats.org/spreadsheetml/2006/main" count="3845" uniqueCount="671">
  <si>
    <t>No. Order</t>
  </si>
  <si>
    <t>Range</t>
  </si>
  <si>
    <t>Pembacaan Standar</t>
  </si>
  <si>
    <t>Pembacaan Alat</t>
  </si>
  <si>
    <t>Koreksi Alat</t>
  </si>
  <si>
    <t>KALIBRASI MULTI METER</t>
  </si>
  <si>
    <t>LABORATORIUM KALIBRASI DAN PENGUJI</t>
  </si>
  <si>
    <t>BALAI BESAR LOGAM DAN MESIN</t>
  </si>
  <si>
    <t>BANDUNG</t>
  </si>
  <si>
    <t>Merk</t>
  </si>
  <si>
    <t>Tipe</t>
  </si>
  <si>
    <t>Kapasitas/Graduasi</t>
  </si>
  <si>
    <t>No. Seri</t>
  </si>
  <si>
    <t>No. ID</t>
  </si>
  <si>
    <t>Standar Acuan</t>
  </si>
  <si>
    <t>(Euramet cg-15 versi 3.0 (02/15))</t>
  </si>
  <si>
    <t>Temperatur (°C)</t>
  </si>
  <si>
    <t>Awal</t>
  </si>
  <si>
    <t>Kelembaban (%RH)</t>
  </si>
  <si>
    <t>Akhir</t>
  </si>
  <si>
    <t>Dikalibrasi</t>
  </si>
  <si>
    <t>Paraf</t>
  </si>
  <si>
    <t>Tgl. terima</t>
  </si>
  <si>
    <t>Diperiksa</t>
  </si>
  <si>
    <t>Tgl. kalibrasi</t>
  </si>
  <si>
    <t>Disetujui</t>
  </si>
  <si>
    <t>Kalibrator yang digunakan:</t>
  </si>
  <si>
    <t>Range/Freq/
EMF/Shunt</t>
  </si>
  <si>
    <t>Pembacaan 
Standar/Alat</t>
  </si>
  <si>
    <t>Pembacaan Alat/Standar</t>
  </si>
  <si>
    <t>X1</t>
  </si>
  <si>
    <t>X2</t>
  </si>
  <si>
    <t>X3</t>
  </si>
  <si>
    <t>X4</t>
  </si>
  <si>
    <t>X5</t>
  </si>
  <si>
    <t>mV</t>
  </si>
  <si>
    <t>V</t>
  </si>
  <si>
    <t>Halaman</t>
  </si>
  <si>
    <t>Pembacaan Standar/Alat</t>
  </si>
  <si>
    <t>Hz</t>
  </si>
  <si>
    <t>µA</t>
  </si>
  <si>
    <t>mA</t>
  </si>
  <si>
    <t>A</t>
  </si>
  <si>
    <t>kΩ</t>
  </si>
  <si>
    <t>Ω</t>
  </si>
  <si>
    <t>MΩ</t>
  </si>
  <si>
    <t>k</t>
  </si>
  <si>
    <t>CMC</t>
  </si>
  <si>
    <t>Nama  Laboratorium</t>
  </si>
  <si>
    <t>:</t>
  </si>
  <si>
    <t>Alamat</t>
  </si>
  <si>
    <t>Jl.  Sangkuriang  No. 12  Bandung  40135</t>
  </si>
  <si>
    <t>Besaran yang diukur</t>
  </si>
  <si>
    <t>Kelistrikan</t>
  </si>
  <si>
    <t>Titik Ukur</t>
  </si>
  <si>
    <t>Drift</t>
  </si>
  <si>
    <t>Alat Stan</t>
  </si>
  <si>
    <t>KorStan22</t>
  </si>
  <si>
    <t>KorStan20</t>
  </si>
  <si>
    <t>KorStan18</t>
  </si>
  <si>
    <t>Jenis alat yang dikalibrasi</t>
  </si>
  <si>
    <t>Digital Multimeter</t>
  </si>
  <si>
    <t>Standar yang digunakan</t>
  </si>
  <si>
    <t>Multiproduct Calibrator Fluke 5500A</t>
  </si>
  <si>
    <t>Model matematis Pengukuran</t>
  </si>
  <si>
    <r>
      <rPr>
        <sz val="10"/>
        <color rgb="FF000000"/>
        <rFont val="Cambria"/>
        <family val="1"/>
      </rPr>
      <t>C = V</t>
    </r>
    <r>
      <rPr>
        <vertAlign val="subscript"/>
        <sz val="10"/>
        <color rgb="FF000000"/>
        <rFont val="Cambria"/>
        <family val="1"/>
      </rPr>
      <t xml:space="preserve">s </t>
    </r>
    <r>
      <rPr>
        <sz val="10"/>
        <color rgb="FF000000"/>
        <rFont val="Cambria"/>
        <family val="1"/>
      </rPr>
      <t>- V</t>
    </r>
    <r>
      <rPr>
        <vertAlign val="subscript"/>
        <sz val="10"/>
        <color rgb="FF000000"/>
        <rFont val="Cambria"/>
        <family val="1"/>
      </rPr>
      <t>UUT</t>
    </r>
  </si>
  <si>
    <t xml:space="preserve">Model dengan memperhitungkan faktor-faktor lain yang berpengaruh  </t>
  </si>
  <si>
    <r>
      <rPr>
        <sz val="10"/>
        <color rgb="FF000000"/>
        <rFont val="Cambria"/>
        <family val="1"/>
      </rPr>
      <t>C = V</t>
    </r>
    <r>
      <rPr>
        <vertAlign val="subscript"/>
        <sz val="10"/>
        <color rgb="FF000000"/>
        <rFont val="Cambria"/>
        <family val="1"/>
      </rPr>
      <t xml:space="preserve">s </t>
    </r>
    <r>
      <rPr>
        <sz val="10"/>
        <color rgb="FF000000"/>
        <rFont val="Cambria"/>
        <family val="1"/>
      </rPr>
      <t xml:space="preserve">+ </t>
    </r>
    <r>
      <rPr>
        <sz val="10"/>
        <color rgb="FF000000"/>
        <rFont val="Calibri"/>
        <family val="2"/>
      </rPr>
      <t>δ</t>
    </r>
    <r>
      <rPr>
        <sz val="10"/>
        <color rgb="FF000000"/>
        <rFont val="Cambria"/>
        <family val="1"/>
      </rPr>
      <t>V</t>
    </r>
    <r>
      <rPr>
        <vertAlign val="subscript"/>
        <sz val="10"/>
        <color rgb="FF000000"/>
        <rFont val="Cambria"/>
        <family val="1"/>
      </rPr>
      <t>s</t>
    </r>
    <r>
      <rPr>
        <sz val="10"/>
        <color rgb="FF000000"/>
        <rFont val="Cambria"/>
        <family val="1"/>
      </rPr>
      <t xml:space="preserve"> - V</t>
    </r>
    <r>
      <rPr>
        <vertAlign val="subscript"/>
        <sz val="10"/>
        <color rgb="FF000000"/>
        <rFont val="Cambria"/>
        <family val="1"/>
      </rPr>
      <t>UUT</t>
    </r>
  </si>
  <si>
    <t>C</t>
  </si>
  <si>
    <t>: koreksi tegangan dari UUT</t>
  </si>
  <si>
    <r>
      <rPr>
        <sz val="10"/>
        <color rgb="FF000000"/>
        <rFont val="Cambria"/>
        <family val="1"/>
      </rPr>
      <t>V</t>
    </r>
    <r>
      <rPr>
        <vertAlign val="subscript"/>
        <sz val="10"/>
        <color rgb="FF000000"/>
        <rFont val="Cambria"/>
        <family val="1"/>
      </rPr>
      <t>s</t>
    </r>
  </si>
  <si>
    <t>: tegangan standar</t>
  </si>
  <si>
    <r>
      <rPr>
        <sz val="10"/>
        <color rgb="FF000000"/>
        <rFont val="Calibri"/>
        <family val="2"/>
      </rPr>
      <t>δ</t>
    </r>
    <r>
      <rPr>
        <sz val="10"/>
        <color rgb="FF000000"/>
        <rFont val="Cambria"/>
        <family val="1"/>
      </rPr>
      <t>V</t>
    </r>
    <r>
      <rPr>
        <vertAlign val="subscript"/>
        <sz val="10"/>
        <color rgb="FF000000"/>
        <rFont val="Cambria"/>
        <family val="1"/>
      </rPr>
      <t>s</t>
    </r>
  </si>
  <si>
    <t>: koreksi tegangan standar</t>
  </si>
  <si>
    <r>
      <rPr>
        <sz val="10"/>
        <color rgb="FF000000"/>
        <rFont val="Cambria"/>
        <family val="1"/>
      </rPr>
      <t>V</t>
    </r>
    <r>
      <rPr>
        <vertAlign val="subscript"/>
        <sz val="10"/>
        <color rgb="FF000000"/>
        <rFont val="Cambria"/>
        <family val="1"/>
      </rPr>
      <t>UUT</t>
    </r>
  </si>
  <si>
    <t>: tegangan UUT</t>
  </si>
  <si>
    <t>Rentang ukur</t>
  </si>
  <si>
    <t>DC Voltage-Measure</t>
  </si>
  <si>
    <t>Komponen</t>
  </si>
  <si>
    <t>Simbol</t>
  </si>
  <si>
    <t>Satuan</t>
  </si>
  <si>
    <t>Distribusi</t>
  </si>
  <si>
    <t>U</t>
  </si>
  <si>
    <t>Pembagi</t>
  </si>
  <si>
    <t>vi</t>
  </si>
  <si>
    <t>Ui</t>
  </si>
  <si>
    <t>Ci</t>
  </si>
  <si>
    <t>Ui.Ci</t>
  </si>
  <si>
    <r>
      <rPr>
        <b/>
        <sz val="10"/>
        <color rgb="FF000000"/>
        <rFont val="Cambria"/>
        <family val="1"/>
      </rPr>
      <t>(Ui.Ci)</t>
    </r>
    <r>
      <rPr>
        <b/>
        <vertAlign val="superscript"/>
        <sz val="10"/>
        <color rgb="FF000000"/>
        <rFont val="Cambria"/>
        <family val="1"/>
      </rPr>
      <t>2</t>
    </r>
  </si>
  <si>
    <r>
      <rPr>
        <b/>
        <sz val="10"/>
        <color rgb="FF000000"/>
        <rFont val="Cambria"/>
        <family val="1"/>
      </rPr>
      <t>(Ui.Ci)</t>
    </r>
    <r>
      <rPr>
        <b/>
        <vertAlign val="superscript"/>
        <sz val="10"/>
        <color rgb="FF000000"/>
        <rFont val="Cambria"/>
        <family val="1"/>
      </rPr>
      <t>4</t>
    </r>
    <r>
      <rPr>
        <b/>
        <sz val="10"/>
        <color rgb="FF000000"/>
        <rFont val="Cambria"/>
        <family val="1"/>
      </rPr>
      <t>/ vi</t>
    </r>
  </si>
  <si>
    <t>Repeatability</t>
  </si>
  <si>
    <r>
      <rPr>
        <sz val="10"/>
        <color rgb="FF000000"/>
        <rFont val="Cambria"/>
        <family val="1"/>
      </rPr>
      <t>u(V</t>
    </r>
    <r>
      <rPr>
        <vertAlign val="subscript"/>
        <sz val="10"/>
        <color rgb="FF000000"/>
        <rFont val="Cambria"/>
        <family val="1"/>
      </rPr>
      <t>u1</t>
    </r>
    <r>
      <rPr>
        <sz val="10"/>
        <color rgb="FF000000"/>
        <rFont val="Cambria"/>
        <family val="1"/>
      </rPr>
      <t>)</t>
    </r>
  </si>
  <si>
    <t>Normal</t>
  </si>
  <si>
    <t>Readability</t>
  </si>
  <si>
    <r>
      <rPr>
        <sz val="10"/>
        <color rgb="FF000000"/>
        <rFont val="Cambria"/>
        <family val="1"/>
      </rPr>
      <t>u(V</t>
    </r>
    <r>
      <rPr>
        <vertAlign val="subscript"/>
        <sz val="10"/>
        <color rgb="FF000000"/>
        <rFont val="Cambria"/>
        <family val="1"/>
      </rPr>
      <t>u2</t>
    </r>
    <r>
      <rPr>
        <sz val="10"/>
        <color rgb="FF000000"/>
        <rFont val="Cambria"/>
        <family val="1"/>
      </rPr>
      <t>)</t>
    </r>
  </si>
  <si>
    <t>B</t>
  </si>
  <si>
    <t>Rect.</t>
  </si>
  <si>
    <t>Standar</t>
  </si>
  <si>
    <r>
      <rPr>
        <sz val="10"/>
        <color rgb="FF000000"/>
        <rFont val="Cambria"/>
        <family val="1"/>
      </rPr>
      <t>u(V</t>
    </r>
    <r>
      <rPr>
        <vertAlign val="subscript"/>
        <sz val="10"/>
        <color rgb="FF000000"/>
        <rFont val="Cambria"/>
        <family val="1"/>
      </rPr>
      <t>s</t>
    </r>
    <r>
      <rPr>
        <sz val="10"/>
        <color rgb="FF000000"/>
        <rFont val="Cambria"/>
        <family val="1"/>
      </rPr>
      <t>)</t>
    </r>
  </si>
  <si>
    <t>Drift Standar</t>
  </si>
  <si>
    <r>
      <rPr>
        <sz val="10"/>
        <color rgb="FF000000"/>
        <rFont val="Cambria"/>
        <family val="1"/>
      </rPr>
      <t>u(V</t>
    </r>
    <r>
      <rPr>
        <vertAlign val="subscript"/>
        <sz val="10"/>
        <color rgb="FF000000"/>
        <rFont val="Cambria"/>
        <family val="1"/>
      </rPr>
      <t>d</t>
    </r>
    <r>
      <rPr>
        <sz val="10"/>
        <color rgb="FF000000"/>
        <rFont val="Cambria"/>
        <family val="1"/>
      </rPr>
      <t>)</t>
    </r>
  </si>
  <si>
    <t>EMF thermal</t>
  </si>
  <si>
    <r>
      <rPr>
        <sz val="10"/>
        <color rgb="FF000000"/>
        <rFont val="Cambria"/>
        <family val="1"/>
      </rPr>
      <t>u(V</t>
    </r>
    <r>
      <rPr>
        <vertAlign val="subscript"/>
        <sz val="10"/>
        <color rgb="FF000000"/>
        <rFont val="Cambria"/>
        <family val="1"/>
      </rPr>
      <t>emf</t>
    </r>
    <r>
      <rPr>
        <sz val="10"/>
        <color rgb="FF000000"/>
        <rFont val="Cambria"/>
        <family val="1"/>
      </rPr>
      <t>)</t>
    </r>
  </si>
  <si>
    <t>Jumlah</t>
  </si>
  <si>
    <t>Ketidakpastian Baku Gabungan, uc</t>
  </si>
  <si>
    <r>
      <rPr>
        <i/>
        <sz val="10"/>
        <color rgb="FF000000"/>
        <rFont val="Cambria"/>
        <family val="1"/>
      </rPr>
      <t xml:space="preserve">Derajat Kebebasan Efektif, v </t>
    </r>
    <r>
      <rPr>
        <i/>
        <vertAlign val="subscript"/>
        <sz val="10"/>
        <color rgb="FF000000"/>
        <rFont val="Cambria"/>
        <family val="1"/>
      </rPr>
      <t>eff</t>
    </r>
  </si>
  <si>
    <r>
      <rPr>
        <i/>
        <sz val="10"/>
        <color rgb="FF000000"/>
        <rFont val="Cambria"/>
        <family val="1"/>
      </rPr>
      <t>Faktor Cakupan, k-student's for v</t>
    </r>
    <r>
      <rPr>
        <i/>
        <vertAlign val="subscript"/>
        <sz val="10"/>
        <color rgb="FF000000"/>
        <rFont val="Cambria"/>
        <family val="1"/>
      </rPr>
      <t>eff</t>
    </r>
    <r>
      <rPr>
        <i/>
        <sz val="10"/>
        <color rgb="FF000000"/>
        <rFont val="Cambria"/>
        <family val="1"/>
      </rPr>
      <t xml:space="preserve"> and CL 95 %</t>
    </r>
  </si>
  <si>
    <t>Ketidakpastian Bentangan, U = k . Uc</t>
  </si>
  <si>
    <r>
      <rPr>
        <b/>
        <sz val="10"/>
        <color rgb="FF000000"/>
        <rFont val="Cambria"/>
        <family val="1"/>
      </rPr>
      <t>(Ui.Ci)</t>
    </r>
    <r>
      <rPr>
        <b/>
        <vertAlign val="superscript"/>
        <sz val="10"/>
        <color rgb="FF000000"/>
        <rFont val="Cambria"/>
        <family val="1"/>
      </rPr>
      <t>2</t>
    </r>
  </si>
  <si>
    <r>
      <rPr>
        <b/>
        <sz val="10"/>
        <color rgb="FF000000"/>
        <rFont val="Cambria"/>
        <family val="1"/>
      </rPr>
      <t>(Ui.Ci)</t>
    </r>
    <r>
      <rPr>
        <b/>
        <vertAlign val="superscript"/>
        <sz val="10"/>
        <color rgb="FF000000"/>
        <rFont val="Cambria"/>
        <family val="1"/>
      </rPr>
      <t>4</t>
    </r>
    <r>
      <rPr>
        <b/>
        <sz val="10"/>
        <color rgb="FF000000"/>
        <rFont val="Cambria"/>
        <family val="1"/>
      </rPr>
      <t>/ vi</t>
    </r>
  </si>
  <si>
    <r>
      <rPr>
        <sz val="10"/>
        <color rgb="FF000000"/>
        <rFont val="Cambria"/>
        <family val="1"/>
      </rPr>
      <t>u(V</t>
    </r>
    <r>
      <rPr>
        <vertAlign val="subscript"/>
        <sz val="10"/>
        <color rgb="FF000000"/>
        <rFont val="Cambria"/>
        <family val="1"/>
      </rPr>
      <t>u1</t>
    </r>
    <r>
      <rPr>
        <sz val="10"/>
        <color rgb="FF000000"/>
        <rFont val="Cambria"/>
        <family val="1"/>
      </rPr>
      <t>)</t>
    </r>
  </si>
  <si>
    <r>
      <rPr>
        <sz val="10"/>
        <color rgb="FF000000"/>
        <rFont val="Cambria"/>
        <family val="1"/>
      </rPr>
      <t>u(V</t>
    </r>
    <r>
      <rPr>
        <vertAlign val="subscript"/>
        <sz val="10"/>
        <color rgb="FF000000"/>
        <rFont val="Cambria"/>
        <family val="1"/>
      </rPr>
      <t>u2</t>
    </r>
    <r>
      <rPr>
        <sz val="10"/>
        <color rgb="FF000000"/>
        <rFont val="Cambria"/>
        <family val="1"/>
      </rPr>
      <t>)</t>
    </r>
  </si>
  <si>
    <r>
      <rPr>
        <sz val="10"/>
        <color rgb="FF000000"/>
        <rFont val="Cambria"/>
        <family val="1"/>
      </rPr>
      <t>u(V</t>
    </r>
    <r>
      <rPr>
        <vertAlign val="subscript"/>
        <sz val="10"/>
        <color rgb="FF000000"/>
        <rFont val="Cambria"/>
        <family val="1"/>
      </rPr>
      <t>s</t>
    </r>
    <r>
      <rPr>
        <sz val="10"/>
        <color rgb="FF000000"/>
        <rFont val="Cambria"/>
        <family val="1"/>
      </rPr>
      <t>)</t>
    </r>
  </si>
  <si>
    <r>
      <rPr>
        <sz val="10"/>
        <color rgb="FF000000"/>
        <rFont val="Cambria"/>
        <family val="1"/>
      </rPr>
      <t>u(V</t>
    </r>
    <r>
      <rPr>
        <vertAlign val="subscript"/>
        <sz val="10"/>
        <color rgb="FF000000"/>
        <rFont val="Cambria"/>
        <family val="1"/>
      </rPr>
      <t>d</t>
    </r>
    <r>
      <rPr>
        <sz val="10"/>
        <color rgb="FF000000"/>
        <rFont val="Cambria"/>
        <family val="1"/>
      </rPr>
      <t>)</t>
    </r>
  </si>
  <si>
    <r>
      <rPr>
        <sz val="10"/>
        <color rgb="FF000000"/>
        <rFont val="Cambria"/>
        <family val="1"/>
      </rPr>
      <t>u(V</t>
    </r>
    <r>
      <rPr>
        <vertAlign val="subscript"/>
        <sz val="10"/>
        <color rgb="FF000000"/>
        <rFont val="Cambria"/>
        <family val="1"/>
      </rPr>
      <t>emf</t>
    </r>
    <r>
      <rPr>
        <sz val="10"/>
        <color rgb="FF000000"/>
        <rFont val="Cambria"/>
        <family val="1"/>
      </rPr>
      <t>)</t>
    </r>
  </si>
  <si>
    <r>
      <rPr>
        <i/>
        <sz val="10"/>
        <color rgb="FF000000"/>
        <rFont val="Cambria"/>
        <family val="1"/>
      </rPr>
      <t xml:space="preserve">Derajat Kebebasan Efektif, v </t>
    </r>
    <r>
      <rPr>
        <i/>
        <vertAlign val="subscript"/>
        <sz val="10"/>
        <color rgb="FF000000"/>
        <rFont val="Cambria"/>
        <family val="1"/>
      </rPr>
      <t>eff</t>
    </r>
  </si>
  <si>
    <r>
      <rPr>
        <i/>
        <sz val="10"/>
        <color rgb="FF000000"/>
        <rFont val="Cambria"/>
        <family val="1"/>
      </rPr>
      <t>Faktor Cakupan, k-student's for v</t>
    </r>
    <r>
      <rPr>
        <i/>
        <vertAlign val="subscript"/>
        <sz val="10"/>
        <color rgb="FF000000"/>
        <rFont val="Cambria"/>
        <family val="1"/>
      </rPr>
      <t>eff</t>
    </r>
    <r>
      <rPr>
        <i/>
        <sz val="10"/>
        <color rgb="FF000000"/>
        <rFont val="Cambria"/>
        <family val="1"/>
      </rPr>
      <t xml:space="preserve"> and CL 95 %</t>
    </r>
  </si>
  <si>
    <r>
      <rPr>
        <b/>
        <sz val="10"/>
        <color rgb="FF000000"/>
        <rFont val="Cambria"/>
        <family val="1"/>
      </rPr>
      <t>(Ui.Ci)</t>
    </r>
    <r>
      <rPr>
        <b/>
        <vertAlign val="superscript"/>
        <sz val="10"/>
        <color rgb="FF000000"/>
        <rFont val="Cambria"/>
        <family val="1"/>
      </rPr>
      <t>2</t>
    </r>
  </si>
  <si>
    <r>
      <rPr>
        <b/>
        <sz val="10"/>
        <color rgb="FF000000"/>
        <rFont val="Cambria"/>
        <family val="1"/>
      </rPr>
      <t>(Ui.Ci)</t>
    </r>
    <r>
      <rPr>
        <b/>
        <vertAlign val="superscript"/>
        <sz val="10"/>
        <color rgb="FF000000"/>
        <rFont val="Cambria"/>
        <family val="1"/>
      </rPr>
      <t>4</t>
    </r>
    <r>
      <rPr>
        <b/>
        <sz val="10"/>
        <color rgb="FF000000"/>
        <rFont val="Cambria"/>
        <family val="1"/>
      </rPr>
      <t>/ vi</t>
    </r>
  </si>
  <si>
    <r>
      <rPr>
        <sz val="10"/>
        <color rgb="FF000000"/>
        <rFont val="Cambria"/>
        <family val="1"/>
      </rPr>
      <t>u(V</t>
    </r>
    <r>
      <rPr>
        <vertAlign val="subscript"/>
        <sz val="10"/>
        <color rgb="FF000000"/>
        <rFont val="Cambria"/>
        <family val="1"/>
      </rPr>
      <t>u1</t>
    </r>
    <r>
      <rPr>
        <sz val="10"/>
        <color rgb="FF000000"/>
        <rFont val="Cambria"/>
        <family val="1"/>
      </rPr>
      <t>)</t>
    </r>
  </si>
  <si>
    <r>
      <rPr>
        <sz val="10"/>
        <color rgb="FF000000"/>
        <rFont val="Cambria"/>
        <family val="1"/>
      </rPr>
      <t>u(V</t>
    </r>
    <r>
      <rPr>
        <vertAlign val="subscript"/>
        <sz val="10"/>
        <color rgb="FF000000"/>
        <rFont val="Cambria"/>
        <family val="1"/>
      </rPr>
      <t>u2</t>
    </r>
    <r>
      <rPr>
        <sz val="10"/>
        <color rgb="FF000000"/>
        <rFont val="Cambria"/>
        <family val="1"/>
      </rPr>
      <t>)</t>
    </r>
  </si>
  <si>
    <r>
      <rPr>
        <sz val="10"/>
        <color rgb="FF000000"/>
        <rFont val="Cambria"/>
        <family val="1"/>
      </rPr>
      <t>u(V</t>
    </r>
    <r>
      <rPr>
        <vertAlign val="subscript"/>
        <sz val="10"/>
        <color rgb="FF000000"/>
        <rFont val="Cambria"/>
        <family val="1"/>
      </rPr>
      <t>s</t>
    </r>
    <r>
      <rPr>
        <sz val="10"/>
        <color rgb="FF000000"/>
        <rFont val="Cambria"/>
        <family val="1"/>
      </rPr>
      <t>)</t>
    </r>
  </si>
  <si>
    <r>
      <rPr>
        <sz val="10"/>
        <color rgb="FF000000"/>
        <rFont val="Cambria"/>
        <family val="1"/>
      </rPr>
      <t>u(V</t>
    </r>
    <r>
      <rPr>
        <vertAlign val="subscript"/>
        <sz val="10"/>
        <color rgb="FF000000"/>
        <rFont val="Cambria"/>
        <family val="1"/>
      </rPr>
      <t>d</t>
    </r>
    <r>
      <rPr>
        <sz val="10"/>
        <color rgb="FF000000"/>
        <rFont val="Cambria"/>
        <family val="1"/>
      </rPr>
      <t>)</t>
    </r>
  </si>
  <si>
    <r>
      <rPr>
        <sz val="10"/>
        <color rgb="FF000000"/>
        <rFont val="Cambria"/>
        <family val="1"/>
      </rPr>
      <t>u(V</t>
    </r>
    <r>
      <rPr>
        <vertAlign val="subscript"/>
        <sz val="10"/>
        <color rgb="FF000000"/>
        <rFont val="Cambria"/>
        <family val="1"/>
      </rPr>
      <t>emf</t>
    </r>
    <r>
      <rPr>
        <sz val="10"/>
        <color rgb="FF000000"/>
        <rFont val="Cambria"/>
        <family val="1"/>
      </rPr>
      <t>)</t>
    </r>
  </si>
  <si>
    <r>
      <rPr>
        <i/>
        <sz val="10"/>
        <color rgb="FF000000"/>
        <rFont val="Cambria"/>
        <family val="1"/>
      </rPr>
      <t xml:space="preserve">Derajat Kebebasan Efektif, v </t>
    </r>
    <r>
      <rPr>
        <i/>
        <vertAlign val="subscript"/>
        <sz val="10"/>
        <color rgb="FF000000"/>
        <rFont val="Cambria"/>
        <family val="1"/>
      </rPr>
      <t>eff</t>
    </r>
  </si>
  <si>
    <r>
      <rPr>
        <i/>
        <sz val="10"/>
        <color rgb="FF000000"/>
        <rFont val="Cambria"/>
        <family val="1"/>
      </rPr>
      <t>Faktor Cakupan, k-student's for v</t>
    </r>
    <r>
      <rPr>
        <i/>
        <vertAlign val="subscript"/>
        <sz val="10"/>
        <color rgb="FF000000"/>
        <rFont val="Cambria"/>
        <family val="1"/>
      </rPr>
      <t>eff</t>
    </r>
    <r>
      <rPr>
        <i/>
        <sz val="10"/>
        <color rgb="FF000000"/>
        <rFont val="Cambria"/>
        <family val="1"/>
      </rPr>
      <t xml:space="preserve"> and CL 95 %</t>
    </r>
  </si>
  <si>
    <r>
      <rPr>
        <b/>
        <sz val="10"/>
        <color rgb="FF000000"/>
        <rFont val="Cambria"/>
        <family val="1"/>
      </rPr>
      <t>(Ui.Ci)</t>
    </r>
    <r>
      <rPr>
        <b/>
        <vertAlign val="superscript"/>
        <sz val="10"/>
        <color rgb="FF000000"/>
        <rFont val="Cambria"/>
        <family val="1"/>
      </rPr>
      <t>2</t>
    </r>
  </si>
  <si>
    <r>
      <rPr>
        <b/>
        <sz val="10"/>
        <color rgb="FF000000"/>
        <rFont val="Cambria"/>
        <family val="1"/>
      </rPr>
      <t>(Ui.Ci)</t>
    </r>
    <r>
      <rPr>
        <b/>
        <vertAlign val="superscript"/>
        <sz val="10"/>
        <color rgb="FF000000"/>
        <rFont val="Cambria"/>
        <family val="1"/>
      </rPr>
      <t>4</t>
    </r>
    <r>
      <rPr>
        <b/>
        <sz val="10"/>
        <color rgb="FF000000"/>
        <rFont val="Cambria"/>
        <family val="1"/>
      </rPr>
      <t>/ vi</t>
    </r>
  </si>
  <si>
    <r>
      <rPr>
        <sz val="10"/>
        <color rgb="FF000000"/>
        <rFont val="Cambria"/>
        <family val="1"/>
      </rPr>
      <t>u(V</t>
    </r>
    <r>
      <rPr>
        <vertAlign val="subscript"/>
        <sz val="10"/>
        <color rgb="FF000000"/>
        <rFont val="Cambria"/>
        <family val="1"/>
      </rPr>
      <t>u1</t>
    </r>
    <r>
      <rPr>
        <sz val="10"/>
        <color rgb="FF000000"/>
        <rFont val="Cambria"/>
        <family val="1"/>
      </rPr>
      <t>)</t>
    </r>
  </si>
  <si>
    <r>
      <rPr>
        <sz val="10"/>
        <color rgb="FF000000"/>
        <rFont val="Cambria"/>
        <family val="1"/>
      </rPr>
      <t>u(V</t>
    </r>
    <r>
      <rPr>
        <vertAlign val="subscript"/>
        <sz val="10"/>
        <color rgb="FF000000"/>
        <rFont val="Cambria"/>
        <family val="1"/>
      </rPr>
      <t>u2</t>
    </r>
    <r>
      <rPr>
        <sz val="10"/>
        <color rgb="FF000000"/>
        <rFont val="Cambria"/>
        <family val="1"/>
      </rPr>
      <t>)</t>
    </r>
  </si>
  <si>
    <r>
      <rPr>
        <sz val="10"/>
        <color rgb="FF000000"/>
        <rFont val="Cambria"/>
        <family val="1"/>
      </rPr>
      <t>u(V</t>
    </r>
    <r>
      <rPr>
        <vertAlign val="subscript"/>
        <sz val="10"/>
        <color rgb="FF000000"/>
        <rFont val="Cambria"/>
        <family val="1"/>
      </rPr>
      <t>s</t>
    </r>
    <r>
      <rPr>
        <sz val="10"/>
        <color rgb="FF000000"/>
        <rFont val="Cambria"/>
        <family val="1"/>
      </rPr>
      <t>)</t>
    </r>
  </si>
  <si>
    <r>
      <rPr>
        <sz val="10"/>
        <color rgb="FF000000"/>
        <rFont val="Cambria"/>
        <family val="1"/>
      </rPr>
      <t>u(V</t>
    </r>
    <r>
      <rPr>
        <vertAlign val="subscript"/>
        <sz val="10"/>
        <color rgb="FF000000"/>
        <rFont val="Cambria"/>
        <family val="1"/>
      </rPr>
      <t>d</t>
    </r>
    <r>
      <rPr>
        <sz val="10"/>
        <color rgb="FF000000"/>
        <rFont val="Cambria"/>
        <family val="1"/>
      </rPr>
      <t>)</t>
    </r>
  </si>
  <si>
    <r>
      <rPr>
        <sz val="10"/>
        <color rgb="FF000000"/>
        <rFont val="Cambria"/>
        <family val="1"/>
      </rPr>
      <t>u(V</t>
    </r>
    <r>
      <rPr>
        <vertAlign val="subscript"/>
        <sz val="10"/>
        <color rgb="FF000000"/>
        <rFont val="Cambria"/>
        <family val="1"/>
      </rPr>
      <t>emf</t>
    </r>
    <r>
      <rPr>
        <sz val="10"/>
        <color rgb="FF000000"/>
        <rFont val="Cambria"/>
        <family val="1"/>
      </rPr>
      <t>)</t>
    </r>
  </si>
  <si>
    <r>
      <rPr>
        <i/>
        <sz val="10"/>
        <color rgb="FF000000"/>
        <rFont val="Cambria"/>
        <family val="1"/>
      </rPr>
      <t xml:space="preserve">Derajat Kebebasan Efektif, v </t>
    </r>
    <r>
      <rPr>
        <i/>
        <vertAlign val="subscript"/>
        <sz val="10"/>
        <color rgb="FF000000"/>
        <rFont val="Cambria"/>
        <family val="1"/>
      </rPr>
      <t>eff</t>
    </r>
  </si>
  <si>
    <r>
      <rPr>
        <i/>
        <sz val="10"/>
        <color rgb="FF000000"/>
        <rFont val="Cambria"/>
        <family val="1"/>
      </rPr>
      <t>Faktor Cakupan, k-student's for v</t>
    </r>
    <r>
      <rPr>
        <i/>
        <vertAlign val="subscript"/>
        <sz val="10"/>
        <color rgb="FF000000"/>
        <rFont val="Cambria"/>
        <family val="1"/>
      </rPr>
      <t>eff</t>
    </r>
    <r>
      <rPr>
        <i/>
        <sz val="10"/>
        <color rgb="FF000000"/>
        <rFont val="Cambria"/>
        <family val="1"/>
      </rPr>
      <t xml:space="preserve"> and CL 95 %</t>
    </r>
  </si>
  <si>
    <r>
      <rPr>
        <b/>
        <sz val="10"/>
        <color rgb="FF000000"/>
        <rFont val="Cambria"/>
        <family val="1"/>
      </rPr>
      <t>(Ui.Ci)</t>
    </r>
    <r>
      <rPr>
        <b/>
        <vertAlign val="superscript"/>
        <sz val="10"/>
        <color rgb="FF000000"/>
        <rFont val="Cambria"/>
        <family val="1"/>
      </rPr>
      <t>2</t>
    </r>
  </si>
  <si>
    <r>
      <rPr>
        <b/>
        <sz val="10"/>
        <color rgb="FF000000"/>
        <rFont val="Cambria"/>
        <family val="1"/>
      </rPr>
      <t>(Ui.Ci)</t>
    </r>
    <r>
      <rPr>
        <b/>
        <vertAlign val="superscript"/>
        <sz val="10"/>
        <color rgb="FF000000"/>
        <rFont val="Cambria"/>
        <family val="1"/>
      </rPr>
      <t>4</t>
    </r>
    <r>
      <rPr>
        <b/>
        <sz val="10"/>
        <color rgb="FF000000"/>
        <rFont val="Cambria"/>
        <family val="1"/>
      </rPr>
      <t>/ vi</t>
    </r>
  </si>
  <si>
    <r>
      <rPr>
        <sz val="10"/>
        <color rgb="FF000000"/>
        <rFont val="Cambria"/>
        <family val="1"/>
      </rPr>
      <t>u(V</t>
    </r>
    <r>
      <rPr>
        <vertAlign val="subscript"/>
        <sz val="10"/>
        <color rgb="FF000000"/>
        <rFont val="Cambria"/>
        <family val="1"/>
      </rPr>
      <t>u1</t>
    </r>
    <r>
      <rPr>
        <sz val="10"/>
        <color rgb="FF000000"/>
        <rFont val="Cambria"/>
        <family val="1"/>
      </rPr>
      <t>)</t>
    </r>
  </si>
  <si>
    <r>
      <rPr>
        <sz val="10"/>
        <color rgb="FF000000"/>
        <rFont val="Cambria"/>
        <family val="1"/>
      </rPr>
      <t>u(V</t>
    </r>
    <r>
      <rPr>
        <vertAlign val="subscript"/>
        <sz val="10"/>
        <color rgb="FF000000"/>
        <rFont val="Cambria"/>
        <family val="1"/>
      </rPr>
      <t>u2</t>
    </r>
    <r>
      <rPr>
        <sz val="10"/>
        <color rgb="FF000000"/>
        <rFont val="Cambria"/>
        <family val="1"/>
      </rPr>
      <t>)</t>
    </r>
  </si>
  <si>
    <r>
      <rPr>
        <sz val="10"/>
        <color rgb="FF000000"/>
        <rFont val="Cambria"/>
        <family val="1"/>
      </rPr>
      <t>u(V</t>
    </r>
    <r>
      <rPr>
        <vertAlign val="subscript"/>
        <sz val="10"/>
        <color rgb="FF000000"/>
        <rFont val="Cambria"/>
        <family val="1"/>
      </rPr>
      <t>s</t>
    </r>
    <r>
      <rPr>
        <sz val="10"/>
        <color rgb="FF000000"/>
        <rFont val="Cambria"/>
        <family val="1"/>
      </rPr>
      <t>)</t>
    </r>
  </si>
  <si>
    <r>
      <rPr>
        <sz val="10"/>
        <color rgb="FF000000"/>
        <rFont val="Cambria"/>
        <family val="1"/>
      </rPr>
      <t>u(V</t>
    </r>
    <r>
      <rPr>
        <vertAlign val="subscript"/>
        <sz val="10"/>
        <color rgb="FF000000"/>
        <rFont val="Cambria"/>
        <family val="1"/>
      </rPr>
      <t>d</t>
    </r>
    <r>
      <rPr>
        <sz val="10"/>
        <color rgb="FF000000"/>
        <rFont val="Cambria"/>
        <family val="1"/>
      </rPr>
      <t>)</t>
    </r>
  </si>
  <si>
    <r>
      <rPr>
        <sz val="10"/>
        <color rgb="FF000000"/>
        <rFont val="Cambria"/>
        <family val="1"/>
      </rPr>
      <t>u(V</t>
    </r>
    <r>
      <rPr>
        <vertAlign val="subscript"/>
        <sz val="10"/>
        <color rgb="FF000000"/>
        <rFont val="Cambria"/>
        <family val="1"/>
      </rPr>
      <t>emf</t>
    </r>
    <r>
      <rPr>
        <sz val="10"/>
        <color rgb="FF000000"/>
        <rFont val="Cambria"/>
        <family val="1"/>
      </rPr>
      <t>)</t>
    </r>
  </si>
  <si>
    <r>
      <rPr>
        <i/>
        <sz val="10"/>
        <color rgb="FF000000"/>
        <rFont val="Cambria"/>
        <family val="1"/>
      </rPr>
      <t xml:space="preserve">Derajat Kebebasan Efektif, v </t>
    </r>
    <r>
      <rPr>
        <i/>
        <vertAlign val="subscript"/>
        <sz val="10"/>
        <color rgb="FF000000"/>
        <rFont val="Cambria"/>
        <family val="1"/>
      </rPr>
      <t>eff</t>
    </r>
  </si>
  <si>
    <r>
      <rPr>
        <i/>
        <sz val="10"/>
        <color rgb="FF000000"/>
        <rFont val="Cambria"/>
        <family val="1"/>
      </rPr>
      <t>Faktor Cakupan, k-student's for v</t>
    </r>
    <r>
      <rPr>
        <i/>
        <vertAlign val="subscript"/>
        <sz val="10"/>
        <color rgb="FF000000"/>
        <rFont val="Cambria"/>
        <family val="1"/>
      </rPr>
      <t>eff</t>
    </r>
    <r>
      <rPr>
        <i/>
        <sz val="10"/>
        <color rgb="FF000000"/>
        <rFont val="Cambria"/>
        <family val="1"/>
      </rPr>
      <t xml:space="preserve"> and CL 95 %</t>
    </r>
  </si>
  <si>
    <r>
      <rPr>
        <b/>
        <sz val="10"/>
        <color rgb="FF000000"/>
        <rFont val="Cambria"/>
        <family val="1"/>
      </rPr>
      <t>(Ui.Ci)</t>
    </r>
    <r>
      <rPr>
        <b/>
        <vertAlign val="superscript"/>
        <sz val="10"/>
        <color rgb="FF000000"/>
        <rFont val="Cambria"/>
        <family val="1"/>
      </rPr>
      <t>2</t>
    </r>
  </si>
  <si>
    <r>
      <rPr>
        <b/>
        <sz val="10"/>
        <color rgb="FF000000"/>
        <rFont val="Cambria"/>
        <family val="1"/>
      </rPr>
      <t>(Ui.Ci)</t>
    </r>
    <r>
      <rPr>
        <b/>
        <vertAlign val="superscript"/>
        <sz val="10"/>
        <color rgb="FF000000"/>
        <rFont val="Cambria"/>
        <family val="1"/>
      </rPr>
      <t>4</t>
    </r>
    <r>
      <rPr>
        <b/>
        <sz val="10"/>
        <color rgb="FF000000"/>
        <rFont val="Cambria"/>
        <family val="1"/>
      </rPr>
      <t>/ vi</t>
    </r>
  </si>
  <si>
    <r>
      <rPr>
        <sz val="10"/>
        <color rgb="FF000000"/>
        <rFont val="Cambria"/>
        <family val="1"/>
      </rPr>
      <t>u(V</t>
    </r>
    <r>
      <rPr>
        <vertAlign val="subscript"/>
        <sz val="10"/>
        <color rgb="FF000000"/>
        <rFont val="Cambria"/>
        <family val="1"/>
      </rPr>
      <t>u1</t>
    </r>
    <r>
      <rPr>
        <sz val="10"/>
        <color rgb="FF000000"/>
        <rFont val="Cambria"/>
        <family val="1"/>
      </rPr>
      <t>)</t>
    </r>
  </si>
  <si>
    <r>
      <rPr>
        <sz val="10"/>
        <color rgb="FF000000"/>
        <rFont val="Cambria"/>
        <family val="1"/>
      </rPr>
      <t>u(V</t>
    </r>
    <r>
      <rPr>
        <vertAlign val="subscript"/>
        <sz val="10"/>
        <color rgb="FF000000"/>
        <rFont val="Cambria"/>
        <family val="1"/>
      </rPr>
      <t>u2</t>
    </r>
    <r>
      <rPr>
        <sz val="10"/>
        <color rgb="FF000000"/>
        <rFont val="Cambria"/>
        <family val="1"/>
      </rPr>
      <t>)</t>
    </r>
  </si>
  <si>
    <r>
      <rPr>
        <sz val="10"/>
        <color rgb="FF000000"/>
        <rFont val="Cambria"/>
        <family val="1"/>
      </rPr>
      <t>u(V</t>
    </r>
    <r>
      <rPr>
        <vertAlign val="subscript"/>
        <sz val="10"/>
        <color rgb="FF000000"/>
        <rFont val="Cambria"/>
        <family val="1"/>
      </rPr>
      <t>s</t>
    </r>
    <r>
      <rPr>
        <sz val="10"/>
        <color rgb="FF000000"/>
        <rFont val="Cambria"/>
        <family val="1"/>
      </rPr>
      <t>)</t>
    </r>
  </si>
  <si>
    <r>
      <rPr>
        <sz val="10"/>
        <color rgb="FF000000"/>
        <rFont val="Cambria"/>
        <family val="1"/>
      </rPr>
      <t>u(V</t>
    </r>
    <r>
      <rPr>
        <vertAlign val="subscript"/>
        <sz val="10"/>
        <color rgb="FF000000"/>
        <rFont val="Cambria"/>
        <family val="1"/>
      </rPr>
      <t>d</t>
    </r>
    <r>
      <rPr>
        <sz val="10"/>
        <color rgb="FF000000"/>
        <rFont val="Cambria"/>
        <family val="1"/>
      </rPr>
      <t>)</t>
    </r>
  </si>
  <si>
    <r>
      <rPr>
        <sz val="10"/>
        <color rgb="FF000000"/>
        <rFont val="Cambria"/>
        <family val="1"/>
      </rPr>
      <t>u(V</t>
    </r>
    <r>
      <rPr>
        <vertAlign val="subscript"/>
        <sz val="10"/>
        <color rgb="FF000000"/>
        <rFont val="Cambria"/>
        <family val="1"/>
      </rPr>
      <t>emf</t>
    </r>
    <r>
      <rPr>
        <sz val="10"/>
        <color rgb="FF000000"/>
        <rFont val="Cambria"/>
        <family val="1"/>
      </rPr>
      <t>)</t>
    </r>
  </si>
  <si>
    <r>
      <rPr>
        <i/>
        <sz val="10"/>
        <color rgb="FF000000"/>
        <rFont val="Cambria"/>
        <family val="1"/>
      </rPr>
      <t xml:space="preserve">Derajat Kebebasan Efektif, v </t>
    </r>
    <r>
      <rPr>
        <i/>
        <vertAlign val="subscript"/>
        <sz val="10"/>
        <color rgb="FF000000"/>
        <rFont val="Cambria"/>
        <family val="1"/>
      </rPr>
      <t>eff</t>
    </r>
  </si>
  <si>
    <r>
      <rPr>
        <i/>
        <sz val="10"/>
        <color rgb="FF000000"/>
        <rFont val="Cambria"/>
        <family val="1"/>
      </rPr>
      <t>Faktor Cakupan, k-student's for v</t>
    </r>
    <r>
      <rPr>
        <i/>
        <vertAlign val="subscript"/>
        <sz val="10"/>
        <color rgb="FF000000"/>
        <rFont val="Cambria"/>
        <family val="1"/>
      </rPr>
      <t>eff</t>
    </r>
    <r>
      <rPr>
        <i/>
        <sz val="10"/>
        <color rgb="FF000000"/>
        <rFont val="Cambria"/>
        <family val="1"/>
      </rPr>
      <t xml:space="preserve"> and CL 95 %</t>
    </r>
  </si>
  <si>
    <r>
      <rPr>
        <b/>
        <sz val="10"/>
        <color rgb="FF000000"/>
        <rFont val="Cambria"/>
        <family val="1"/>
      </rPr>
      <t>(Ui.Ci)</t>
    </r>
    <r>
      <rPr>
        <b/>
        <vertAlign val="superscript"/>
        <sz val="10"/>
        <color rgb="FF000000"/>
        <rFont val="Cambria"/>
        <family val="1"/>
      </rPr>
      <t>2</t>
    </r>
  </si>
  <si>
    <r>
      <rPr>
        <b/>
        <sz val="10"/>
        <color rgb="FF000000"/>
        <rFont val="Cambria"/>
        <family val="1"/>
      </rPr>
      <t>(Ui.Ci)</t>
    </r>
    <r>
      <rPr>
        <b/>
        <vertAlign val="superscript"/>
        <sz val="10"/>
        <color rgb="FF000000"/>
        <rFont val="Cambria"/>
        <family val="1"/>
      </rPr>
      <t>4</t>
    </r>
    <r>
      <rPr>
        <b/>
        <sz val="10"/>
        <color rgb="FF000000"/>
        <rFont val="Cambria"/>
        <family val="1"/>
      </rPr>
      <t>/ vi</t>
    </r>
  </si>
  <si>
    <r>
      <rPr>
        <sz val="10"/>
        <color rgb="FF000000"/>
        <rFont val="Cambria"/>
        <family val="1"/>
      </rPr>
      <t>u(V</t>
    </r>
    <r>
      <rPr>
        <vertAlign val="subscript"/>
        <sz val="10"/>
        <color rgb="FF000000"/>
        <rFont val="Cambria"/>
        <family val="1"/>
      </rPr>
      <t>u1</t>
    </r>
    <r>
      <rPr>
        <sz val="10"/>
        <color rgb="FF000000"/>
        <rFont val="Cambria"/>
        <family val="1"/>
      </rPr>
      <t>)</t>
    </r>
  </si>
  <si>
    <r>
      <rPr>
        <sz val="10"/>
        <color rgb="FF000000"/>
        <rFont val="Cambria"/>
        <family val="1"/>
      </rPr>
      <t>u(V</t>
    </r>
    <r>
      <rPr>
        <vertAlign val="subscript"/>
        <sz val="10"/>
        <color rgb="FF000000"/>
        <rFont val="Cambria"/>
        <family val="1"/>
      </rPr>
      <t>u2</t>
    </r>
    <r>
      <rPr>
        <sz val="10"/>
        <color rgb="FF000000"/>
        <rFont val="Cambria"/>
        <family val="1"/>
      </rPr>
      <t>)</t>
    </r>
  </si>
  <si>
    <r>
      <rPr>
        <sz val="10"/>
        <color rgb="FF000000"/>
        <rFont val="Cambria"/>
        <family val="1"/>
      </rPr>
      <t>u(V</t>
    </r>
    <r>
      <rPr>
        <vertAlign val="subscript"/>
        <sz val="10"/>
        <color rgb="FF000000"/>
        <rFont val="Cambria"/>
        <family val="1"/>
      </rPr>
      <t>s</t>
    </r>
    <r>
      <rPr>
        <sz val="10"/>
        <color rgb="FF000000"/>
        <rFont val="Cambria"/>
        <family val="1"/>
      </rPr>
      <t>)</t>
    </r>
  </si>
  <si>
    <r>
      <rPr>
        <sz val="10"/>
        <color rgb="FF000000"/>
        <rFont val="Cambria"/>
        <family val="1"/>
      </rPr>
      <t>u(V</t>
    </r>
    <r>
      <rPr>
        <vertAlign val="subscript"/>
        <sz val="10"/>
        <color rgb="FF000000"/>
        <rFont val="Cambria"/>
        <family val="1"/>
      </rPr>
      <t>d</t>
    </r>
    <r>
      <rPr>
        <sz val="10"/>
        <color rgb="FF000000"/>
        <rFont val="Cambria"/>
        <family val="1"/>
      </rPr>
      <t>)</t>
    </r>
  </si>
  <si>
    <r>
      <rPr>
        <sz val="10"/>
        <color rgb="FF000000"/>
        <rFont val="Cambria"/>
        <family val="1"/>
      </rPr>
      <t>u(V</t>
    </r>
    <r>
      <rPr>
        <vertAlign val="subscript"/>
        <sz val="10"/>
        <color rgb="FF000000"/>
        <rFont val="Cambria"/>
        <family val="1"/>
      </rPr>
      <t>emf</t>
    </r>
    <r>
      <rPr>
        <sz val="10"/>
        <color rgb="FF000000"/>
        <rFont val="Cambria"/>
        <family val="1"/>
      </rPr>
      <t>)</t>
    </r>
  </si>
  <si>
    <r>
      <rPr>
        <i/>
        <sz val="10"/>
        <color rgb="FF000000"/>
        <rFont val="Cambria"/>
        <family val="1"/>
      </rPr>
      <t xml:space="preserve">Derajat Kebebasan Efektif, v </t>
    </r>
    <r>
      <rPr>
        <i/>
        <vertAlign val="subscript"/>
        <sz val="10"/>
        <color rgb="FF000000"/>
        <rFont val="Cambria"/>
        <family val="1"/>
      </rPr>
      <t>eff</t>
    </r>
  </si>
  <si>
    <r>
      <rPr>
        <i/>
        <sz val="10"/>
        <color rgb="FF000000"/>
        <rFont val="Cambria"/>
        <family val="1"/>
      </rPr>
      <t>Faktor Cakupan, k-student's for v</t>
    </r>
    <r>
      <rPr>
        <i/>
        <vertAlign val="subscript"/>
        <sz val="10"/>
        <color rgb="FF000000"/>
        <rFont val="Cambria"/>
        <family val="1"/>
      </rPr>
      <t>eff</t>
    </r>
    <r>
      <rPr>
        <i/>
        <sz val="10"/>
        <color rgb="FF000000"/>
        <rFont val="Cambria"/>
        <family val="1"/>
      </rPr>
      <t xml:space="preserve"> and CL 95 %</t>
    </r>
  </si>
  <si>
    <r>
      <rPr>
        <b/>
        <sz val="10"/>
        <color rgb="FF000000"/>
        <rFont val="Cambria"/>
        <family val="1"/>
      </rPr>
      <t>(Ui.Ci)</t>
    </r>
    <r>
      <rPr>
        <b/>
        <vertAlign val="superscript"/>
        <sz val="10"/>
        <color rgb="FF000000"/>
        <rFont val="Cambria"/>
        <family val="1"/>
      </rPr>
      <t>2</t>
    </r>
  </si>
  <si>
    <r>
      <rPr>
        <b/>
        <sz val="10"/>
        <color rgb="FF000000"/>
        <rFont val="Cambria"/>
        <family val="1"/>
      </rPr>
      <t>(Ui.Ci)</t>
    </r>
    <r>
      <rPr>
        <b/>
        <vertAlign val="superscript"/>
        <sz val="10"/>
        <color rgb="FF000000"/>
        <rFont val="Cambria"/>
        <family val="1"/>
      </rPr>
      <t>4</t>
    </r>
    <r>
      <rPr>
        <b/>
        <sz val="10"/>
        <color rgb="FF000000"/>
        <rFont val="Cambria"/>
        <family val="1"/>
      </rPr>
      <t>/ vi</t>
    </r>
  </si>
  <si>
    <r>
      <rPr>
        <sz val="10"/>
        <color rgb="FF000000"/>
        <rFont val="Cambria"/>
        <family val="1"/>
      </rPr>
      <t>u(V</t>
    </r>
    <r>
      <rPr>
        <vertAlign val="subscript"/>
        <sz val="10"/>
        <color rgb="FF000000"/>
        <rFont val="Cambria"/>
        <family val="1"/>
      </rPr>
      <t>u1</t>
    </r>
    <r>
      <rPr>
        <sz val="10"/>
        <color rgb="FF000000"/>
        <rFont val="Cambria"/>
        <family val="1"/>
      </rPr>
      <t>)</t>
    </r>
  </si>
  <si>
    <r>
      <rPr>
        <sz val="10"/>
        <color rgb="FF000000"/>
        <rFont val="Cambria"/>
        <family val="1"/>
      </rPr>
      <t>u(V</t>
    </r>
    <r>
      <rPr>
        <vertAlign val="subscript"/>
        <sz val="10"/>
        <color rgb="FF000000"/>
        <rFont val="Cambria"/>
        <family val="1"/>
      </rPr>
      <t>u2</t>
    </r>
    <r>
      <rPr>
        <sz val="10"/>
        <color rgb="FF000000"/>
        <rFont val="Cambria"/>
        <family val="1"/>
      </rPr>
      <t>)</t>
    </r>
  </si>
  <si>
    <r>
      <rPr>
        <sz val="10"/>
        <color rgb="FF000000"/>
        <rFont val="Cambria"/>
        <family val="1"/>
      </rPr>
      <t>u(V</t>
    </r>
    <r>
      <rPr>
        <vertAlign val="subscript"/>
        <sz val="10"/>
        <color rgb="FF000000"/>
        <rFont val="Cambria"/>
        <family val="1"/>
      </rPr>
      <t>s</t>
    </r>
    <r>
      <rPr>
        <sz val="10"/>
        <color rgb="FF000000"/>
        <rFont val="Cambria"/>
        <family val="1"/>
      </rPr>
      <t>)</t>
    </r>
  </si>
  <si>
    <r>
      <rPr>
        <sz val="10"/>
        <color rgb="FF000000"/>
        <rFont val="Cambria"/>
        <family val="1"/>
      </rPr>
      <t>u(V</t>
    </r>
    <r>
      <rPr>
        <vertAlign val="subscript"/>
        <sz val="10"/>
        <color rgb="FF000000"/>
        <rFont val="Cambria"/>
        <family val="1"/>
      </rPr>
      <t>d</t>
    </r>
    <r>
      <rPr>
        <sz val="10"/>
        <color rgb="FF000000"/>
        <rFont val="Cambria"/>
        <family val="1"/>
      </rPr>
      <t>)</t>
    </r>
  </si>
  <si>
    <r>
      <rPr>
        <sz val="10"/>
        <color rgb="FF000000"/>
        <rFont val="Cambria"/>
        <family val="1"/>
      </rPr>
      <t>u(V</t>
    </r>
    <r>
      <rPr>
        <vertAlign val="subscript"/>
        <sz val="10"/>
        <color rgb="FF000000"/>
        <rFont val="Cambria"/>
        <family val="1"/>
      </rPr>
      <t>emf</t>
    </r>
    <r>
      <rPr>
        <sz val="10"/>
        <color rgb="FF000000"/>
        <rFont val="Cambria"/>
        <family val="1"/>
      </rPr>
      <t>)</t>
    </r>
  </si>
  <si>
    <r>
      <rPr>
        <i/>
        <sz val="10"/>
        <color rgb="FF000000"/>
        <rFont val="Cambria"/>
        <family val="1"/>
      </rPr>
      <t xml:space="preserve">Derajat Kebebasan Efektif, v </t>
    </r>
    <r>
      <rPr>
        <i/>
        <vertAlign val="subscript"/>
        <sz val="10"/>
        <color rgb="FF000000"/>
        <rFont val="Cambria"/>
        <family val="1"/>
      </rPr>
      <t>eff</t>
    </r>
  </si>
  <si>
    <r>
      <rPr>
        <i/>
        <sz val="10"/>
        <color rgb="FF000000"/>
        <rFont val="Cambria"/>
        <family val="1"/>
      </rPr>
      <t>Faktor Cakupan, k-student's for v</t>
    </r>
    <r>
      <rPr>
        <i/>
        <vertAlign val="subscript"/>
        <sz val="10"/>
        <color rgb="FF000000"/>
        <rFont val="Cambria"/>
        <family val="1"/>
      </rPr>
      <t>eff</t>
    </r>
    <r>
      <rPr>
        <i/>
        <sz val="10"/>
        <color rgb="FF000000"/>
        <rFont val="Cambria"/>
        <family val="1"/>
      </rPr>
      <t xml:space="preserve"> and CL 95 %</t>
    </r>
  </si>
  <si>
    <r>
      <rPr>
        <b/>
        <sz val="10"/>
        <color rgb="FF000000"/>
        <rFont val="Cambria"/>
        <family val="1"/>
      </rPr>
      <t>(Ui.Ci)</t>
    </r>
    <r>
      <rPr>
        <b/>
        <vertAlign val="superscript"/>
        <sz val="10"/>
        <color rgb="FF000000"/>
        <rFont val="Cambria"/>
        <family val="1"/>
      </rPr>
      <t>2</t>
    </r>
  </si>
  <si>
    <r>
      <rPr>
        <b/>
        <sz val="10"/>
        <color rgb="FF000000"/>
        <rFont val="Cambria"/>
        <family val="1"/>
      </rPr>
      <t>(Ui.Ci)</t>
    </r>
    <r>
      <rPr>
        <b/>
        <vertAlign val="superscript"/>
        <sz val="10"/>
        <color rgb="FF000000"/>
        <rFont val="Cambria"/>
        <family val="1"/>
      </rPr>
      <t>4</t>
    </r>
    <r>
      <rPr>
        <b/>
        <sz val="10"/>
        <color rgb="FF000000"/>
        <rFont val="Cambria"/>
        <family val="1"/>
      </rPr>
      <t>/ vi</t>
    </r>
  </si>
  <si>
    <r>
      <rPr>
        <sz val="10"/>
        <color rgb="FF000000"/>
        <rFont val="Cambria"/>
        <family val="1"/>
      </rPr>
      <t>u(V</t>
    </r>
    <r>
      <rPr>
        <vertAlign val="subscript"/>
        <sz val="10"/>
        <color rgb="FF000000"/>
        <rFont val="Cambria"/>
        <family val="1"/>
      </rPr>
      <t>u1</t>
    </r>
    <r>
      <rPr>
        <sz val="10"/>
        <color rgb="FF000000"/>
        <rFont val="Cambria"/>
        <family val="1"/>
      </rPr>
      <t>)</t>
    </r>
  </si>
  <si>
    <r>
      <rPr>
        <sz val="10"/>
        <color rgb="FF000000"/>
        <rFont val="Cambria"/>
        <family val="1"/>
      </rPr>
      <t>u(V</t>
    </r>
    <r>
      <rPr>
        <vertAlign val="subscript"/>
        <sz val="10"/>
        <color rgb="FF000000"/>
        <rFont val="Cambria"/>
        <family val="1"/>
      </rPr>
      <t>u2</t>
    </r>
    <r>
      <rPr>
        <sz val="10"/>
        <color rgb="FF000000"/>
        <rFont val="Cambria"/>
        <family val="1"/>
      </rPr>
      <t>)</t>
    </r>
  </si>
  <si>
    <r>
      <rPr>
        <sz val="10"/>
        <color rgb="FF000000"/>
        <rFont val="Cambria"/>
        <family val="1"/>
      </rPr>
      <t>u(V</t>
    </r>
    <r>
      <rPr>
        <vertAlign val="subscript"/>
        <sz val="10"/>
        <color rgb="FF000000"/>
        <rFont val="Cambria"/>
        <family val="1"/>
      </rPr>
      <t>s</t>
    </r>
    <r>
      <rPr>
        <sz val="10"/>
        <color rgb="FF000000"/>
        <rFont val="Cambria"/>
        <family val="1"/>
      </rPr>
      <t>)</t>
    </r>
  </si>
  <si>
    <r>
      <rPr>
        <sz val="10"/>
        <color rgb="FF000000"/>
        <rFont val="Cambria"/>
        <family val="1"/>
      </rPr>
      <t>u(V</t>
    </r>
    <r>
      <rPr>
        <vertAlign val="subscript"/>
        <sz val="10"/>
        <color rgb="FF000000"/>
        <rFont val="Cambria"/>
        <family val="1"/>
      </rPr>
      <t>d</t>
    </r>
    <r>
      <rPr>
        <sz val="10"/>
        <color rgb="FF000000"/>
        <rFont val="Cambria"/>
        <family val="1"/>
      </rPr>
      <t>)</t>
    </r>
  </si>
  <si>
    <r>
      <rPr>
        <sz val="10"/>
        <color rgb="FF000000"/>
        <rFont val="Cambria"/>
        <family val="1"/>
      </rPr>
      <t>u(V</t>
    </r>
    <r>
      <rPr>
        <vertAlign val="subscript"/>
        <sz val="10"/>
        <color rgb="FF000000"/>
        <rFont val="Cambria"/>
        <family val="1"/>
      </rPr>
      <t>emf</t>
    </r>
    <r>
      <rPr>
        <sz val="10"/>
        <color rgb="FF000000"/>
        <rFont val="Cambria"/>
        <family val="1"/>
      </rPr>
      <t>)</t>
    </r>
  </si>
  <si>
    <r>
      <rPr>
        <i/>
        <sz val="10"/>
        <color rgb="FF000000"/>
        <rFont val="Cambria"/>
        <family val="1"/>
      </rPr>
      <t xml:space="preserve">Derajat Kebebasan Efektif, v </t>
    </r>
    <r>
      <rPr>
        <i/>
        <vertAlign val="subscript"/>
        <sz val="10"/>
        <color rgb="FF000000"/>
        <rFont val="Cambria"/>
        <family val="1"/>
      </rPr>
      <t>eff</t>
    </r>
  </si>
  <si>
    <r>
      <rPr>
        <i/>
        <sz val="10"/>
        <color rgb="FF000000"/>
        <rFont val="Cambria"/>
        <family val="1"/>
      </rPr>
      <t>Faktor Cakupan, k-student's for v</t>
    </r>
    <r>
      <rPr>
        <i/>
        <vertAlign val="subscript"/>
        <sz val="10"/>
        <color rgb="FF000000"/>
        <rFont val="Cambria"/>
        <family val="1"/>
      </rPr>
      <t>eff</t>
    </r>
    <r>
      <rPr>
        <i/>
        <sz val="10"/>
        <color rgb="FF000000"/>
        <rFont val="Cambria"/>
        <family val="1"/>
      </rPr>
      <t xml:space="preserve"> and CL 95 %</t>
    </r>
  </si>
  <si>
    <r>
      <rPr>
        <b/>
        <sz val="10"/>
        <color rgb="FF000000"/>
        <rFont val="Cambria"/>
        <family val="1"/>
      </rPr>
      <t>(Ui.Ci)</t>
    </r>
    <r>
      <rPr>
        <b/>
        <vertAlign val="superscript"/>
        <sz val="10"/>
        <color rgb="FF000000"/>
        <rFont val="Cambria"/>
        <family val="1"/>
      </rPr>
      <t>2</t>
    </r>
  </si>
  <si>
    <r>
      <rPr>
        <b/>
        <sz val="10"/>
        <color rgb="FF000000"/>
        <rFont val="Cambria"/>
        <family val="1"/>
      </rPr>
      <t>(Ui.Ci)</t>
    </r>
    <r>
      <rPr>
        <b/>
        <vertAlign val="superscript"/>
        <sz val="10"/>
        <color rgb="FF000000"/>
        <rFont val="Cambria"/>
        <family val="1"/>
      </rPr>
      <t>4</t>
    </r>
    <r>
      <rPr>
        <b/>
        <sz val="10"/>
        <color rgb="FF000000"/>
        <rFont val="Cambria"/>
        <family val="1"/>
      </rPr>
      <t>/ vi</t>
    </r>
  </si>
  <si>
    <r>
      <rPr>
        <sz val="10"/>
        <color rgb="FF000000"/>
        <rFont val="Cambria"/>
        <family val="1"/>
      </rPr>
      <t>u(V</t>
    </r>
    <r>
      <rPr>
        <vertAlign val="subscript"/>
        <sz val="10"/>
        <color rgb="FF000000"/>
        <rFont val="Cambria"/>
        <family val="1"/>
      </rPr>
      <t>u1</t>
    </r>
    <r>
      <rPr>
        <sz val="10"/>
        <color rgb="FF000000"/>
        <rFont val="Cambria"/>
        <family val="1"/>
      </rPr>
      <t>)</t>
    </r>
  </si>
  <si>
    <r>
      <rPr>
        <sz val="10"/>
        <color rgb="FF000000"/>
        <rFont val="Cambria"/>
        <family val="1"/>
      </rPr>
      <t>u(V</t>
    </r>
    <r>
      <rPr>
        <vertAlign val="subscript"/>
        <sz val="10"/>
        <color rgb="FF000000"/>
        <rFont val="Cambria"/>
        <family val="1"/>
      </rPr>
      <t>u2</t>
    </r>
    <r>
      <rPr>
        <sz val="10"/>
        <color rgb="FF000000"/>
        <rFont val="Cambria"/>
        <family val="1"/>
      </rPr>
      <t>)</t>
    </r>
  </si>
  <si>
    <r>
      <rPr>
        <sz val="10"/>
        <color rgb="FF000000"/>
        <rFont val="Cambria"/>
        <family val="1"/>
      </rPr>
      <t>u(V</t>
    </r>
    <r>
      <rPr>
        <vertAlign val="subscript"/>
        <sz val="10"/>
        <color rgb="FF000000"/>
        <rFont val="Cambria"/>
        <family val="1"/>
      </rPr>
      <t>s</t>
    </r>
    <r>
      <rPr>
        <sz val="10"/>
        <color rgb="FF000000"/>
        <rFont val="Cambria"/>
        <family val="1"/>
      </rPr>
      <t>)</t>
    </r>
  </si>
  <si>
    <r>
      <rPr>
        <sz val="10"/>
        <color rgb="FF000000"/>
        <rFont val="Cambria"/>
        <family val="1"/>
      </rPr>
      <t>u(V</t>
    </r>
    <r>
      <rPr>
        <vertAlign val="subscript"/>
        <sz val="10"/>
        <color rgb="FF000000"/>
        <rFont val="Cambria"/>
        <family val="1"/>
      </rPr>
      <t>d</t>
    </r>
    <r>
      <rPr>
        <sz val="10"/>
        <color rgb="FF000000"/>
        <rFont val="Cambria"/>
        <family val="1"/>
      </rPr>
      <t>)</t>
    </r>
  </si>
  <si>
    <r>
      <rPr>
        <sz val="10"/>
        <color rgb="FF000000"/>
        <rFont val="Cambria"/>
        <family val="1"/>
      </rPr>
      <t>u(V</t>
    </r>
    <r>
      <rPr>
        <vertAlign val="subscript"/>
        <sz val="10"/>
        <color rgb="FF000000"/>
        <rFont val="Cambria"/>
        <family val="1"/>
      </rPr>
      <t>emf</t>
    </r>
    <r>
      <rPr>
        <sz val="10"/>
        <color rgb="FF000000"/>
        <rFont val="Cambria"/>
        <family val="1"/>
      </rPr>
      <t>)</t>
    </r>
  </si>
  <si>
    <r>
      <rPr>
        <i/>
        <sz val="10"/>
        <color rgb="FF000000"/>
        <rFont val="Cambria"/>
        <family val="1"/>
      </rPr>
      <t xml:space="preserve">Derajat Kebebasan Efektif, v </t>
    </r>
    <r>
      <rPr>
        <i/>
        <vertAlign val="subscript"/>
        <sz val="10"/>
        <color rgb="FF000000"/>
        <rFont val="Cambria"/>
        <family val="1"/>
      </rPr>
      <t>eff</t>
    </r>
  </si>
  <si>
    <r>
      <rPr>
        <i/>
        <sz val="10"/>
        <color rgb="FF000000"/>
        <rFont val="Cambria"/>
        <family val="1"/>
      </rPr>
      <t>Faktor Cakupan, k-student's for v</t>
    </r>
    <r>
      <rPr>
        <i/>
        <vertAlign val="subscript"/>
        <sz val="10"/>
        <color rgb="FF000000"/>
        <rFont val="Cambria"/>
        <family val="1"/>
      </rPr>
      <t>eff</t>
    </r>
    <r>
      <rPr>
        <i/>
        <sz val="10"/>
        <color rgb="FF000000"/>
        <rFont val="Cambria"/>
        <family val="1"/>
      </rPr>
      <t xml:space="preserve"> and CL 95 %</t>
    </r>
  </si>
  <si>
    <r>
      <rPr>
        <b/>
        <sz val="10"/>
        <color rgb="FF000000"/>
        <rFont val="Cambria"/>
        <family val="1"/>
      </rPr>
      <t>(Ui.Ci)</t>
    </r>
    <r>
      <rPr>
        <b/>
        <vertAlign val="superscript"/>
        <sz val="10"/>
        <color rgb="FF000000"/>
        <rFont val="Cambria"/>
        <family val="1"/>
      </rPr>
      <t>2</t>
    </r>
  </si>
  <si>
    <r>
      <rPr>
        <b/>
        <sz val="10"/>
        <color rgb="FF000000"/>
        <rFont val="Cambria"/>
        <family val="1"/>
      </rPr>
      <t>(Ui.Ci)</t>
    </r>
    <r>
      <rPr>
        <b/>
        <vertAlign val="superscript"/>
        <sz val="10"/>
        <color rgb="FF000000"/>
        <rFont val="Cambria"/>
        <family val="1"/>
      </rPr>
      <t>4</t>
    </r>
    <r>
      <rPr>
        <b/>
        <sz val="10"/>
        <color rgb="FF000000"/>
        <rFont val="Cambria"/>
        <family val="1"/>
      </rPr>
      <t>/ vi</t>
    </r>
  </si>
  <si>
    <r>
      <rPr>
        <sz val="10"/>
        <color rgb="FF000000"/>
        <rFont val="Cambria"/>
        <family val="1"/>
      </rPr>
      <t>u(V</t>
    </r>
    <r>
      <rPr>
        <vertAlign val="subscript"/>
        <sz val="10"/>
        <color rgb="FF000000"/>
        <rFont val="Cambria"/>
        <family val="1"/>
      </rPr>
      <t>u1</t>
    </r>
    <r>
      <rPr>
        <sz val="10"/>
        <color rgb="FF000000"/>
        <rFont val="Cambria"/>
        <family val="1"/>
      </rPr>
      <t>)</t>
    </r>
  </si>
  <si>
    <r>
      <rPr>
        <sz val="10"/>
        <color rgb="FF000000"/>
        <rFont val="Cambria"/>
        <family val="1"/>
      </rPr>
      <t>u(V</t>
    </r>
    <r>
      <rPr>
        <vertAlign val="subscript"/>
        <sz val="10"/>
        <color rgb="FF000000"/>
        <rFont val="Cambria"/>
        <family val="1"/>
      </rPr>
      <t>u2</t>
    </r>
    <r>
      <rPr>
        <sz val="10"/>
        <color rgb="FF000000"/>
        <rFont val="Cambria"/>
        <family val="1"/>
      </rPr>
      <t>)</t>
    </r>
  </si>
  <si>
    <r>
      <rPr>
        <sz val="10"/>
        <color rgb="FF000000"/>
        <rFont val="Cambria"/>
        <family val="1"/>
      </rPr>
      <t>u(V</t>
    </r>
    <r>
      <rPr>
        <vertAlign val="subscript"/>
        <sz val="10"/>
        <color rgb="FF000000"/>
        <rFont val="Cambria"/>
        <family val="1"/>
      </rPr>
      <t>s</t>
    </r>
    <r>
      <rPr>
        <sz val="10"/>
        <color rgb="FF000000"/>
        <rFont val="Cambria"/>
        <family val="1"/>
      </rPr>
      <t>)</t>
    </r>
  </si>
  <si>
    <r>
      <rPr>
        <sz val="10"/>
        <color rgb="FF000000"/>
        <rFont val="Cambria"/>
        <family val="1"/>
      </rPr>
      <t>u(V</t>
    </r>
    <r>
      <rPr>
        <vertAlign val="subscript"/>
        <sz val="10"/>
        <color rgb="FF000000"/>
        <rFont val="Cambria"/>
        <family val="1"/>
      </rPr>
      <t>d</t>
    </r>
    <r>
      <rPr>
        <sz val="10"/>
        <color rgb="FF000000"/>
        <rFont val="Cambria"/>
        <family val="1"/>
      </rPr>
      <t>)</t>
    </r>
  </si>
  <si>
    <r>
      <rPr>
        <sz val="10"/>
        <color rgb="FF000000"/>
        <rFont val="Cambria"/>
        <family val="1"/>
      </rPr>
      <t>u(V</t>
    </r>
    <r>
      <rPr>
        <vertAlign val="subscript"/>
        <sz val="10"/>
        <color rgb="FF000000"/>
        <rFont val="Cambria"/>
        <family val="1"/>
      </rPr>
      <t>emf</t>
    </r>
    <r>
      <rPr>
        <sz val="10"/>
        <color rgb="FF000000"/>
        <rFont val="Cambria"/>
        <family val="1"/>
      </rPr>
      <t>)</t>
    </r>
  </si>
  <si>
    <r>
      <rPr>
        <i/>
        <sz val="10"/>
        <color rgb="FF000000"/>
        <rFont val="Cambria"/>
        <family val="1"/>
      </rPr>
      <t xml:space="preserve">Derajat Kebebasan Efektif, v </t>
    </r>
    <r>
      <rPr>
        <i/>
        <vertAlign val="subscript"/>
        <sz val="10"/>
        <color rgb="FF000000"/>
        <rFont val="Cambria"/>
        <family val="1"/>
      </rPr>
      <t>eff</t>
    </r>
  </si>
  <si>
    <r>
      <rPr>
        <i/>
        <sz val="10"/>
        <color rgb="FF000000"/>
        <rFont val="Cambria"/>
        <family val="1"/>
      </rPr>
      <t>Faktor Cakupan, k-student's for v</t>
    </r>
    <r>
      <rPr>
        <i/>
        <vertAlign val="subscript"/>
        <sz val="10"/>
        <color rgb="FF000000"/>
        <rFont val="Cambria"/>
        <family val="1"/>
      </rPr>
      <t>eff</t>
    </r>
    <r>
      <rPr>
        <i/>
        <sz val="10"/>
        <color rgb="FF000000"/>
        <rFont val="Cambria"/>
        <family val="1"/>
      </rPr>
      <t xml:space="preserve"> and CL 95 %</t>
    </r>
  </si>
  <si>
    <r>
      <rPr>
        <b/>
        <sz val="10"/>
        <color rgb="FF000000"/>
        <rFont val="Cambria"/>
        <family val="1"/>
      </rPr>
      <t>(Ui.Ci)</t>
    </r>
    <r>
      <rPr>
        <b/>
        <vertAlign val="superscript"/>
        <sz val="10"/>
        <color rgb="FF000000"/>
        <rFont val="Cambria"/>
        <family val="1"/>
      </rPr>
      <t>2</t>
    </r>
  </si>
  <si>
    <r>
      <rPr>
        <b/>
        <sz val="10"/>
        <color rgb="FF000000"/>
        <rFont val="Cambria"/>
        <family val="1"/>
      </rPr>
      <t>(Ui.Ci)</t>
    </r>
    <r>
      <rPr>
        <b/>
        <vertAlign val="superscript"/>
        <sz val="10"/>
        <color rgb="FF000000"/>
        <rFont val="Cambria"/>
        <family val="1"/>
      </rPr>
      <t>4</t>
    </r>
    <r>
      <rPr>
        <b/>
        <sz val="10"/>
        <color rgb="FF000000"/>
        <rFont val="Cambria"/>
        <family val="1"/>
      </rPr>
      <t>/ vi</t>
    </r>
  </si>
  <si>
    <r>
      <rPr>
        <sz val="10"/>
        <color rgb="FF000000"/>
        <rFont val="Cambria"/>
        <family val="1"/>
      </rPr>
      <t>u(V</t>
    </r>
    <r>
      <rPr>
        <vertAlign val="subscript"/>
        <sz val="10"/>
        <color rgb="FF000000"/>
        <rFont val="Cambria"/>
        <family val="1"/>
      </rPr>
      <t>u1</t>
    </r>
    <r>
      <rPr>
        <sz val="10"/>
        <color rgb="FF000000"/>
        <rFont val="Cambria"/>
        <family val="1"/>
      </rPr>
      <t>)</t>
    </r>
  </si>
  <si>
    <r>
      <rPr>
        <sz val="10"/>
        <color rgb="FF000000"/>
        <rFont val="Cambria"/>
        <family val="1"/>
      </rPr>
      <t>u(V</t>
    </r>
    <r>
      <rPr>
        <vertAlign val="subscript"/>
        <sz val="10"/>
        <color rgb="FF000000"/>
        <rFont val="Cambria"/>
        <family val="1"/>
      </rPr>
      <t>u2</t>
    </r>
    <r>
      <rPr>
        <sz val="10"/>
        <color rgb="FF000000"/>
        <rFont val="Cambria"/>
        <family val="1"/>
      </rPr>
      <t>)</t>
    </r>
  </si>
  <si>
    <r>
      <rPr>
        <sz val="10"/>
        <color rgb="FF000000"/>
        <rFont val="Cambria"/>
        <family val="1"/>
      </rPr>
      <t>u(V</t>
    </r>
    <r>
      <rPr>
        <vertAlign val="subscript"/>
        <sz val="10"/>
        <color rgb="FF000000"/>
        <rFont val="Cambria"/>
        <family val="1"/>
      </rPr>
      <t>s</t>
    </r>
    <r>
      <rPr>
        <sz val="10"/>
        <color rgb="FF000000"/>
        <rFont val="Cambria"/>
        <family val="1"/>
      </rPr>
      <t>)</t>
    </r>
  </si>
  <si>
    <r>
      <rPr>
        <sz val="10"/>
        <color rgb="FF000000"/>
        <rFont val="Cambria"/>
        <family val="1"/>
      </rPr>
      <t>u(V</t>
    </r>
    <r>
      <rPr>
        <vertAlign val="subscript"/>
        <sz val="10"/>
        <color rgb="FF000000"/>
        <rFont val="Cambria"/>
        <family val="1"/>
      </rPr>
      <t>d</t>
    </r>
    <r>
      <rPr>
        <sz val="10"/>
        <color rgb="FF000000"/>
        <rFont val="Cambria"/>
        <family val="1"/>
      </rPr>
      <t>)</t>
    </r>
  </si>
  <si>
    <r>
      <rPr>
        <sz val="10"/>
        <color rgb="FF000000"/>
        <rFont val="Cambria"/>
        <family val="1"/>
      </rPr>
      <t>u(V</t>
    </r>
    <r>
      <rPr>
        <vertAlign val="subscript"/>
        <sz val="10"/>
        <color rgb="FF000000"/>
        <rFont val="Cambria"/>
        <family val="1"/>
      </rPr>
      <t>emf</t>
    </r>
    <r>
      <rPr>
        <sz val="10"/>
        <color rgb="FF000000"/>
        <rFont val="Cambria"/>
        <family val="1"/>
      </rPr>
      <t>)</t>
    </r>
  </si>
  <si>
    <r>
      <rPr>
        <i/>
        <sz val="10"/>
        <color rgb="FF000000"/>
        <rFont val="Cambria"/>
        <family val="1"/>
      </rPr>
      <t xml:space="preserve">Derajat Kebebasan Efektif, v </t>
    </r>
    <r>
      <rPr>
        <i/>
        <vertAlign val="subscript"/>
        <sz val="10"/>
        <color rgb="FF000000"/>
        <rFont val="Cambria"/>
        <family val="1"/>
      </rPr>
      <t>eff</t>
    </r>
  </si>
  <si>
    <r>
      <rPr>
        <i/>
        <sz val="10"/>
        <color rgb="FF000000"/>
        <rFont val="Cambria"/>
        <family val="1"/>
      </rPr>
      <t>Faktor Cakupan, k-student's for v</t>
    </r>
    <r>
      <rPr>
        <i/>
        <vertAlign val="subscript"/>
        <sz val="10"/>
        <color rgb="FF000000"/>
        <rFont val="Cambria"/>
        <family val="1"/>
      </rPr>
      <t>eff</t>
    </r>
    <r>
      <rPr>
        <i/>
        <sz val="10"/>
        <color rgb="FF000000"/>
        <rFont val="Cambria"/>
        <family val="1"/>
      </rPr>
      <t xml:space="preserve"> and CL 95 %</t>
    </r>
  </si>
  <si>
    <r>
      <rPr>
        <b/>
        <sz val="10"/>
        <color rgb="FF000000"/>
        <rFont val="Cambria"/>
        <family val="1"/>
      </rPr>
      <t>(Ui.Ci)</t>
    </r>
    <r>
      <rPr>
        <b/>
        <vertAlign val="superscript"/>
        <sz val="10"/>
        <color rgb="FF000000"/>
        <rFont val="Cambria"/>
        <family val="1"/>
      </rPr>
      <t>2</t>
    </r>
  </si>
  <si>
    <r>
      <rPr>
        <b/>
        <sz val="10"/>
        <color rgb="FF000000"/>
        <rFont val="Cambria"/>
        <family val="1"/>
      </rPr>
      <t>(Ui.Ci)</t>
    </r>
    <r>
      <rPr>
        <b/>
        <vertAlign val="superscript"/>
        <sz val="10"/>
        <color rgb="FF000000"/>
        <rFont val="Cambria"/>
        <family val="1"/>
      </rPr>
      <t>4</t>
    </r>
    <r>
      <rPr>
        <b/>
        <sz val="10"/>
        <color rgb="FF000000"/>
        <rFont val="Cambria"/>
        <family val="1"/>
      </rPr>
      <t>/ vi</t>
    </r>
  </si>
  <si>
    <r>
      <rPr>
        <sz val="10"/>
        <color rgb="FF000000"/>
        <rFont val="Cambria"/>
        <family val="1"/>
      </rPr>
      <t>u(V</t>
    </r>
    <r>
      <rPr>
        <vertAlign val="subscript"/>
        <sz val="10"/>
        <color rgb="FF000000"/>
        <rFont val="Cambria"/>
        <family val="1"/>
      </rPr>
      <t>u1</t>
    </r>
    <r>
      <rPr>
        <sz val="10"/>
        <color rgb="FF000000"/>
        <rFont val="Cambria"/>
        <family val="1"/>
      </rPr>
      <t>)</t>
    </r>
  </si>
  <si>
    <r>
      <rPr>
        <sz val="10"/>
        <color rgb="FF000000"/>
        <rFont val="Cambria"/>
        <family val="1"/>
      </rPr>
      <t>u(V</t>
    </r>
    <r>
      <rPr>
        <vertAlign val="subscript"/>
        <sz val="10"/>
        <color rgb="FF000000"/>
        <rFont val="Cambria"/>
        <family val="1"/>
      </rPr>
      <t>u2</t>
    </r>
    <r>
      <rPr>
        <sz val="10"/>
        <color rgb="FF000000"/>
        <rFont val="Cambria"/>
        <family val="1"/>
      </rPr>
      <t>)</t>
    </r>
  </si>
  <si>
    <r>
      <rPr>
        <sz val="10"/>
        <color rgb="FF000000"/>
        <rFont val="Cambria"/>
        <family val="1"/>
      </rPr>
      <t>u(V</t>
    </r>
    <r>
      <rPr>
        <vertAlign val="subscript"/>
        <sz val="10"/>
        <color rgb="FF000000"/>
        <rFont val="Cambria"/>
        <family val="1"/>
      </rPr>
      <t>s</t>
    </r>
    <r>
      <rPr>
        <sz val="10"/>
        <color rgb="FF000000"/>
        <rFont val="Cambria"/>
        <family val="1"/>
      </rPr>
      <t>)</t>
    </r>
  </si>
  <si>
    <r>
      <rPr>
        <sz val="10"/>
        <color rgb="FF000000"/>
        <rFont val="Cambria"/>
        <family val="1"/>
      </rPr>
      <t>u(V</t>
    </r>
    <r>
      <rPr>
        <vertAlign val="subscript"/>
        <sz val="10"/>
        <color rgb="FF000000"/>
        <rFont val="Cambria"/>
        <family val="1"/>
      </rPr>
      <t>d</t>
    </r>
    <r>
      <rPr>
        <sz val="10"/>
        <color rgb="FF000000"/>
        <rFont val="Cambria"/>
        <family val="1"/>
      </rPr>
      <t>)</t>
    </r>
  </si>
  <si>
    <r>
      <rPr>
        <sz val="10"/>
        <color rgb="FF000000"/>
        <rFont val="Cambria"/>
        <family val="1"/>
      </rPr>
      <t>u(V</t>
    </r>
    <r>
      <rPr>
        <vertAlign val="subscript"/>
        <sz val="10"/>
        <color rgb="FF000000"/>
        <rFont val="Cambria"/>
        <family val="1"/>
      </rPr>
      <t>emf</t>
    </r>
    <r>
      <rPr>
        <sz val="10"/>
        <color rgb="FF000000"/>
        <rFont val="Cambria"/>
        <family val="1"/>
      </rPr>
      <t>)</t>
    </r>
  </si>
  <si>
    <r>
      <rPr>
        <i/>
        <sz val="10"/>
        <color rgb="FF000000"/>
        <rFont val="Cambria"/>
        <family val="1"/>
      </rPr>
      <t xml:space="preserve">Derajat Kebebasan Efektif, v </t>
    </r>
    <r>
      <rPr>
        <i/>
        <vertAlign val="subscript"/>
        <sz val="10"/>
        <color rgb="FF000000"/>
        <rFont val="Cambria"/>
        <family val="1"/>
      </rPr>
      <t>eff</t>
    </r>
  </si>
  <si>
    <r>
      <rPr>
        <i/>
        <sz val="10"/>
        <color rgb="FF000000"/>
        <rFont val="Cambria"/>
        <family val="1"/>
      </rPr>
      <t>Faktor Cakupan, k-student's for v</t>
    </r>
    <r>
      <rPr>
        <i/>
        <vertAlign val="subscript"/>
        <sz val="10"/>
        <color rgb="FF000000"/>
        <rFont val="Cambria"/>
        <family val="1"/>
      </rPr>
      <t>eff</t>
    </r>
    <r>
      <rPr>
        <i/>
        <sz val="10"/>
        <color rgb="FF000000"/>
        <rFont val="Cambria"/>
        <family val="1"/>
      </rPr>
      <t xml:space="preserve"> and CL 95 %</t>
    </r>
  </si>
  <si>
    <r>
      <rPr>
        <b/>
        <sz val="10"/>
        <color rgb="FF000000"/>
        <rFont val="Cambria"/>
        <family val="1"/>
      </rPr>
      <t>(Ui.Ci)</t>
    </r>
    <r>
      <rPr>
        <b/>
        <vertAlign val="superscript"/>
        <sz val="10"/>
        <color rgb="FF000000"/>
        <rFont val="Cambria"/>
        <family val="1"/>
      </rPr>
      <t>2</t>
    </r>
  </si>
  <si>
    <r>
      <rPr>
        <b/>
        <sz val="10"/>
        <color rgb="FF000000"/>
        <rFont val="Cambria"/>
        <family val="1"/>
      </rPr>
      <t>(Ui.Ci)</t>
    </r>
    <r>
      <rPr>
        <b/>
        <vertAlign val="superscript"/>
        <sz val="10"/>
        <color rgb="FF000000"/>
        <rFont val="Cambria"/>
        <family val="1"/>
      </rPr>
      <t>4</t>
    </r>
    <r>
      <rPr>
        <b/>
        <sz val="10"/>
        <color rgb="FF000000"/>
        <rFont val="Cambria"/>
        <family val="1"/>
      </rPr>
      <t>/ vi</t>
    </r>
  </si>
  <si>
    <r>
      <rPr>
        <sz val="10"/>
        <color rgb="FF000000"/>
        <rFont val="Cambria"/>
        <family val="1"/>
      </rPr>
      <t>u(V</t>
    </r>
    <r>
      <rPr>
        <vertAlign val="subscript"/>
        <sz val="10"/>
        <color rgb="FF000000"/>
        <rFont val="Cambria"/>
        <family val="1"/>
      </rPr>
      <t>u1</t>
    </r>
    <r>
      <rPr>
        <sz val="10"/>
        <color rgb="FF000000"/>
        <rFont val="Cambria"/>
        <family val="1"/>
      </rPr>
      <t>)</t>
    </r>
  </si>
  <si>
    <r>
      <rPr>
        <sz val="10"/>
        <color rgb="FF000000"/>
        <rFont val="Cambria"/>
        <family val="1"/>
      </rPr>
      <t>u(V</t>
    </r>
    <r>
      <rPr>
        <vertAlign val="subscript"/>
        <sz val="10"/>
        <color rgb="FF000000"/>
        <rFont val="Cambria"/>
        <family val="1"/>
      </rPr>
      <t>u2</t>
    </r>
    <r>
      <rPr>
        <sz val="10"/>
        <color rgb="FF000000"/>
        <rFont val="Cambria"/>
        <family val="1"/>
      </rPr>
      <t>)</t>
    </r>
  </si>
  <si>
    <r>
      <rPr>
        <sz val="10"/>
        <color rgb="FF000000"/>
        <rFont val="Cambria"/>
        <family val="1"/>
      </rPr>
      <t>u(V</t>
    </r>
    <r>
      <rPr>
        <vertAlign val="subscript"/>
        <sz val="10"/>
        <color rgb="FF000000"/>
        <rFont val="Cambria"/>
        <family val="1"/>
      </rPr>
      <t>s</t>
    </r>
    <r>
      <rPr>
        <sz val="10"/>
        <color rgb="FF000000"/>
        <rFont val="Cambria"/>
        <family val="1"/>
      </rPr>
      <t>)</t>
    </r>
  </si>
  <si>
    <r>
      <rPr>
        <sz val="10"/>
        <color rgb="FF000000"/>
        <rFont val="Cambria"/>
        <family val="1"/>
      </rPr>
      <t>u(V</t>
    </r>
    <r>
      <rPr>
        <vertAlign val="subscript"/>
        <sz val="10"/>
        <color rgb="FF000000"/>
        <rFont val="Cambria"/>
        <family val="1"/>
      </rPr>
      <t>d</t>
    </r>
    <r>
      <rPr>
        <sz val="10"/>
        <color rgb="FF000000"/>
        <rFont val="Cambria"/>
        <family val="1"/>
      </rPr>
      <t>)</t>
    </r>
  </si>
  <si>
    <r>
      <rPr>
        <sz val="10"/>
        <color rgb="FF000000"/>
        <rFont val="Cambria"/>
        <family val="1"/>
      </rPr>
      <t>u(V</t>
    </r>
    <r>
      <rPr>
        <vertAlign val="subscript"/>
        <sz val="10"/>
        <color rgb="FF000000"/>
        <rFont val="Cambria"/>
        <family val="1"/>
      </rPr>
      <t>emf</t>
    </r>
    <r>
      <rPr>
        <sz val="10"/>
        <color rgb="FF000000"/>
        <rFont val="Cambria"/>
        <family val="1"/>
      </rPr>
      <t>)</t>
    </r>
  </si>
  <si>
    <r>
      <rPr>
        <i/>
        <sz val="10"/>
        <color rgb="FF000000"/>
        <rFont val="Cambria"/>
        <family val="1"/>
      </rPr>
      <t xml:space="preserve">Derajat Kebebasan Efektif, v </t>
    </r>
    <r>
      <rPr>
        <i/>
        <vertAlign val="subscript"/>
        <sz val="10"/>
        <color rgb="FF000000"/>
        <rFont val="Cambria"/>
        <family val="1"/>
      </rPr>
      <t>eff</t>
    </r>
  </si>
  <si>
    <r>
      <rPr>
        <i/>
        <sz val="10"/>
        <color rgb="FF000000"/>
        <rFont val="Cambria"/>
        <family val="1"/>
      </rPr>
      <t>Faktor Cakupan, k-student's for v</t>
    </r>
    <r>
      <rPr>
        <i/>
        <vertAlign val="subscript"/>
        <sz val="10"/>
        <color rgb="FF000000"/>
        <rFont val="Cambria"/>
        <family val="1"/>
      </rPr>
      <t>eff</t>
    </r>
    <r>
      <rPr>
        <i/>
        <sz val="10"/>
        <color rgb="FF000000"/>
        <rFont val="Cambria"/>
        <family val="1"/>
      </rPr>
      <t xml:space="preserve"> and CL 95 %</t>
    </r>
  </si>
  <si>
    <r>
      <rPr>
        <b/>
        <sz val="10"/>
        <color rgb="FF000000"/>
        <rFont val="Cambria"/>
        <family val="1"/>
      </rPr>
      <t>(Ui.Ci)</t>
    </r>
    <r>
      <rPr>
        <b/>
        <vertAlign val="superscript"/>
        <sz val="10"/>
        <color rgb="FF000000"/>
        <rFont val="Cambria"/>
        <family val="1"/>
      </rPr>
      <t>2</t>
    </r>
  </si>
  <si>
    <r>
      <rPr>
        <b/>
        <sz val="10"/>
        <color rgb="FF000000"/>
        <rFont val="Cambria"/>
        <family val="1"/>
      </rPr>
      <t>(Ui.Ci)</t>
    </r>
    <r>
      <rPr>
        <b/>
        <vertAlign val="superscript"/>
        <sz val="10"/>
        <color rgb="FF000000"/>
        <rFont val="Cambria"/>
        <family val="1"/>
      </rPr>
      <t>4</t>
    </r>
    <r>
      <rPr>
        <b/>
        <sz val="10"/>
        <color rgb="FF000000"/>
        <rFont val="Cambria"/>
        <family val="1"/>
      </rPr>
      <t>/ vi</t>
    </r>
  </si>
  <si>
    <r>
      <rPr>
        <sz val="10"/>
        <color rgb="FF000000"/>
        <rFont val="Cambria"/>
        <family val="1"/>
      </rPr>
      <t>u(V</t>
    </r>
    <r>
      <rPr>
        <vertAlign val="subscript"/>
        <sz val="10"/>
        <color rgb="FF000000"/>
        <rFont val="Cambria"/>
        <family val="1"/>
      </rPr>
      <t>u1</t>
    </r>
    <r>
      <rPr>
        <sz val="10"/>
        <color rgb="FF000000"/>
        <rFont val="Cambria"/>
        <family val="1"/>
      </rPr>
      <t>)</t>
    </r>
  </si>
  <si>
    <r>
      <rPr>
        <sz val="10"/>
        <color rgb="FF000000"/>
        <rFont val="Cambria"/>
        <family val="1"/>
      </rPr>
      <t>u(V</t>
    </r>
    <r>
      <rPr>
        <vertAlign val="subscript"/>
        <sz val="10"/>
        <color rgb="FF000000"/>
        <rFont val="Cambria"/>
        <family val="1"/>
      </rPr>
      <t>u2</t>
    </r>
    <r>
      <rPr>
        <sz val="10"/>
        <color rgb="FF000000"/>
        <rFont val="Cambria"/>
        <family val="1"/>
      </rPr>
      <t>)</t>
    </r>
  </si>
  <si>
    <r>
      <rPr>
        <sz val="10"/>
        <color rgb="FF000000"/>
        <rFont val="Cambria"/>
        <family val="1"/>
      </rPr>
      <t>u(V</t>
    </r>
    <r>
      <rPr>
        <vertAlign val="subscript"/>
        <sz val="10"/>
        <color rgb="FF000000"/>
        <rFont val="Cambria"/>
        <family val="1"/>
      </rPr>
      <t>s</t>
    </r>
    <r>
      <rPr>
        <sz val="10"/>
        <color rgb="FF000000"/>
        <rFont val="Cambria"/>
        <family val="1"/>
      </rPr>
      <t>)</t>
    </r>
  </si>
  <si>
    <r>
      <rPr>
        <sz val="10"/>
        <color rgb="FF000000"/>
        <rFont val="Cambria"/>
        <family val="1"/>
      </rPr>
      <t>u(V</t>
    </r>
    <r>
      <rPr>
        <vertAlign val="subscript"/>
        <sz val="10"/>
        <color rgb="FF000000"/>
        <rFont val="Cambria"/>
        <family val="1"/>
      </rPr>
      <t>d</t>
    </r>
    <r>
      <rPr>
        <sz val="10"/>
        <color rgb="FF000000"/>
        <rFont val="Cambria"/>
        <family val="1"/>
      </rPr>
      <t>)</t>
    </r>
  </si>
  <si>
    <r>
      <rPr>
        <sz val="10"/>
        <color rgb="FF000000"/>
        <rFont val="Cambria"/>
        <family val="1"/>
      </rPr>
      <t>u(V</t>
    </r>
    <r>
      <rPr>
        <vertAlign val="subscript"/>
        <sz val="10"/>
        <color rgb="FF000000"/>
        <rFont val="Cambria"/>
        <family val="1"/>
      </rPr>
      <t>emf</t>
    </r>
    <r>
      <rPr>
        <sz val="10"/>
        <color rgb="FF000000"/>
        <rFont val="Cambria"/>
        <family val="1"/>
      </rPr>
      <t>)</t>
    </r>
  </si>
  <si>
    <r>
      <rPr>
        <i/>
        <sz val="10"/>
        <color rgb="FF000000"/>
        <rFont val="Cambria"/>
        <family val="1"/>
      </rPr>
      <t xml:space="preserve">Derajat Kebebasan Efektif, v </t>
    </r>
    <r>
      <rPr>
        <i/>
        <vertAlign val="subscript"/>
        <sz val="10"/>
        <color rgb="FF000000"/>
        <rFont val="Cambria"/>
        <family val="1"/>
      </rPr>
      <t>eff</t>
    </r>
  </si>
  <si>
    <r>
      <rPr>
        <i/>
        <sz val="10"/>
        <color rgb="FF000000"/>
        <rFont val="Cambria"/>
        <family val="1"/>
      </rPr>
      <t>Faktor Cakupan, k-student's for v</t>
    </r>
    <r>
      <rPr>
        <i/>
        <vertAlign val="subscript"/>
        <sz val="10"/>
        <color rgb="FF000000"/>
        <rFont val="Cambria"/>
        <family val="1"/>
      </rPr>
      <t>eff</t>
    </r>
    <r>
      <rPr>
        <i/>
        <sz val="10"/>
        <color rgb="FF000000"/>
        <rFont val="Cambria"/>
        <family val="1"/>
      </rPr>
      <t xml:space="preserve"> and CL 95 %</t>
    </r>
  </si>
  <si>
    <t>50 Hz</t>
  </si>
  <si>
    <t>Freq</t>
  </si>
  <si>
    <r>
      <rPr>
        <sz val="10"/>
        <color rgb="FF000000"/>
        <rFont val="Cambria"/>
        <family val="1"/>
      </rPr>
      <t>C = V</t>
    </r>
    <r>
      <rPr>
        <vertAlign val="subscript"/>
        <sz val="10"/>
        <color rgb="FF000000"/>
        <rFont val="Cambria"/>
        <family val="1"/>
      </rPr>
      <t xml:space="preserve">s </t>
    </r>
    <r>
      <rPr>
        <sz val="10"/>
        <color rgb="FF000000"/>
        <rFont val="Cambria"/>
        <family val="1"/>
      </rPr>
      <t>- V</t>
    </r>
    <r>
      <rPr>
        <vertAlign val="subscript"/>
        <sz val="10"/>
        <color rgb="FF000000"/>
        <rFont val="Cambria"/>
        <family val="1"/>
      </rPr>
      <t>UUT</t>
    </r>
  </si>
  <si>
    <r>
      <rPr>
        <sz val="10"/>
        <color rgb="FF000000"/>
        <rFont val="Cambria"/>
        <family val="1"/>
      </rPr>
      <t>C = V</t>
    </r>
    <r>
      <rPr>
        <vertAlign val="subscript"/>
        <sz val="10"/>
        <color rgb="FF000000"/>
        <rFont val="Cambria"/>
        <family val="1"/>
      </rPr>
      <t xml:space="preserve">s </t>
    </r>
    <r>
      <rPr>
        <sz val="10"/>
        <color rgb="FF000000"/>
        <rFont val="Cambria"/>
        <family val="1"/>
      </rPr>
      <t xml:space="preserve">+ </t>
    </r>
    <r>
      <rPr>
        <sz val="10"/>
        <color rgb="FF000000"/>
        <rFont val="Calibri"/>
        <family val="2"/>
      </rPr>
      <t>δ</t>
    </r>
    <r>
      <rPr>
        <sz val="10"/>
        <color rgb="FF000000"/>
        <rFont val="Cambria"/>
        <family val="1"/>
      </rPr>
      <t>V</t>
    </r>
    <r>
      <rPr>
        <vertAlign val="subscript"/>
        <sz val="10"/>
        <color rgb="FF000000"/>
        <rFont val="Cambria"/>
        <family val="1"/>
      </rPr>
      <t>s</t>
    </r>
    <r>
      <rPr>
        <sz val="10"/>
        <color rgb="FF000000"/>
        <rFont val="Cambria"/>
        <family val="1"/>
      </rPr>
      <t xml:space="preserve"> - V</t>
    </r>
    <r>
      <rPr>
        <vertAlign val="subscript"/>
        <sz val="10"/>
        <color rgb="FF000000"/>
        <rFont val="Cambria"/>
        <family val="1"/>
      </rPr>
      <t>UUT</t>
    </r>
  </si>
  <si>
    <r>
      <rPr>
        <sz val="10"/>
        <color rgb="FF000000"/>
        <rFont val="Cambria"/>
        <family val="1"/>
      </rPr>
      <t>V</t>
    </r>
    <r>
      <rPr>
        <vertAlign val="subscript"/>
        <sz val="10"/>
        <color rgb="FF000000"/>
        <rFont val="Cambria"/>
        <family val="1"/>
      </rPr>
      <t>s</t>
    </r>
  </si>
  <si>
    <r>
      <rPr>
        <sz val="10"/>
        <color rgb="FF000000"/>
        <rFont val="Calibri"/>
        <family val="2"/>
      </rPr>
      <t>δ</t>
    </r>
    <r>
      <rPr>
        <sz val="10"/>
        <color rgb="FF000000"/>
        <rFont val="Cambria"/>
        <family val="1"/>
      </rPr>
      <t>V</t>
    </r>
    <r>
      <rPr>
        <vertAlign val="subscript"/>
        <sz val="10"/>
        <color rgb="FF000000"/>
        <rFont val="Cambria"/>
        <family val="1"/>
      </rPr>
      <t>s</t>
    </r>
  </si>
  <si>
    <r>
      <rPr>
        <sz val="10"/>
        <color rgb="FF000000"/>
        <rFont val="Cambria"/>
        <family val="1"/>
      </rPr>
      <t>V</t>
    </r>
    <r>
      <rPr>
        <vertAlign val="subscript"/>
        <sz val="10"/>
        <color rgb="FF000000"/>
        <rFont val="Cambria"/>
        <family val="1"/>
      </rPr>
      <t>UUT</t>
    </r>
  </si>
  <si>
    <t>AC Voltage-Measure</t>
  </si>
  <si>
    <r>
      <rPr>
        <b/>
        <sz val="10"/>
        <color rgb="FF000000"/>
        <rFont val="Cambria"/>
        <family val="1"/>
      </rPr>
      <t>(Ui.Ci)</t>
    </r>
    <r>
      <rPr>
        <b/>
        <vertAlign val="superscript"/>
        <sz val="10"/>
        <color rgb="FF000000"/>
        <rFont val="Cambria"/>
        <family val="1"/>
      </rPr>
      <t>2</t>
    </r>
  </si>
  <si>
    <r>
      <rPr>
        <b/>
        <sz val="10"/>
        <color rgb="FF000000"/>
        <rFont val="Cambria"/>
        <family val="1"/>
      </rPr>
      <t>(Ui.Ci)</t>
    </r>
    <r>
      <rPr>
        <b/>
        <vertAlign val="superscript"/>
        <sz val="10"/>
        <color rgb="FF000000"/>
        <rFont val="Cambria"/>
        <family val="1"/>
      </rPr>
      <t>4</t>
    </r>
    <r>
      <rPr>
        <b/>
        <sz val="10"/>
        <color rgb="FF000000"/>
        <rFont val="Cambria"/>
        <family val="1"/>
      </rPr>
      <t>/ vi</t>
    </r>
  </si>
  <si>
    <r>
      <rPr>
        <sz val="10"/>
        <color rgb="FF000000"/>
        <rFont val="Cambria"/>
        <family val="1"/>
      </rPr>
      <t>u(V</t>
    </r>
    <r>
      <rPr>
        <vertAlign val="subscript"/>
        <sz val="10"/>
        <color rgb="FF000000"/>
        <rFont val="Cambria"/>
        <family val="1"/>
      </rPr>
      <t>u1</t>
    </r>
    <r>
      <rPr>
        <sz val="10"/>
        <color rgb="FF000000"/>
        <rFont val="Cambria"/>
        <family val="1"/>
      </rPr>
      <t>)</t>
    </r>
  </si>
  <si>
    <r>
      <rPr>
        <sz val="10"/>
        <color rgb="FF000000"/>
        <rFont val="Cambria"/>
        <family val="1"/>
      </rPr>
      <t>u(V</t>
    </r>
    <r>
      <rPr>
        <vertAlign val="subscript"/>
        <sz val="10"/>
        <color rgb="FF000000"/>
        <rFont val="Cambria"/>
        <family val="1"/>
      </rPr>
      <t>u2</t>
    </r>
    <r>
      <rPr>
        <sz val="10"/>
        <color rgb="FF000000"/>
        <rFont val="Cambria"/>
        <family val="1"/>
      </rPr>
      <t>)</t>
    </r>
  </si>
  <si>
    <r>
      <rPr>
        <sz val="10"/>
        <color rgb="FF000000"/>
        <rFont val="Cambria"/>
        <family val="1"/>
      </rPr>
      <t>u(V</t>
    </r>
    <r>
      <rPr>
        <vertAlign val="subscript"/>
        <sz val="10"/>
        <color rgb="FF000000"/>
        <rFont val="Cambria"/>
        <family val="1"/>
      </rPr>
      <t>s</t>
    </r>
    <r>
      <rPr>
        <sz val="10"/>
        <color rgb="FF000000"/>
        <rFont val="Cambria"/>
        <family val="1"/>
      </rPr>
      <t>)</t>
    </r>
  </si>
  <si>
    <r>
      <rPr>
        <sz val="10"/>
        <color rgb="FF000000"/>
        <rFont val="Cambria"/>
        <family val="1"/>
      </rPr>
      <t>u(V</t>
    </r>
    <r>
      <rPr>
        <vertAlign val="subscript"/>
        <sz val="10"/>
        <color rgb="FF000000"/>
        <rFont val="Cambria"/>
        <family val="1"/>
      </rPr>
      <t>d</t>
    </r>
    <r>
      <rPr>
        <sz val="10"/>
        <color rgb="FF000000"/>
        <rFont val="Cambria"/>
        <family val="1"/>
      </rPr>
      <t>)</t>
    </r>
  </si>
  <si>
    <r>
      <rPr>
        <i/>
        <sz val="10"/>
        <color rgb="FF000000"/>
        <rFont val="Cambria"/>
        <family val="1"/>
      </rPr>
      <t xml:space="preserve">Derajat Kebebasan Efektif, v </t>
    </r>
    <r>
      <rPr>
        <i/>
        <vertAlign val="subscript"/>
        <sz val="10"/>
        <color rgb="FF000000"/>
        <rFont val="Cambria"/>
        <family val="1"/>
      </rPr>
      <t>eff</t>
    </r>
  </si>
  <si>
    <r>
      <rPr>
        <i/>
        <sz val="10"/>
        <color rgb="FF000000"/>
        <rFont val="Cambria"/>
        <family val="1"/>
      </rPr>
      <t>Faktor Cakupan, k-student's for v</t>
    </r>
    <r>
      <rPr>
        <i/>
        <vertAlign val="subscript"/>
        <sz val="10"/>
        <color rgb="FF000000"/>
        <rFont val="Cambria"/>
        <family val="1"/>
      </rPr>
      <t>eff</t>
    </r>
    <r>
      <rPr>
        <i/>
        <sz val="10"/>
        <color rgb="FF000000"/>
        <rFont val="Cambria"/>
        <family val="1"/>
      </rPr>
      <t xml:space="preserve"> and CL 95 %</t>
    </r>
  </si>
  <si>
    <r>
      <rPr>
        <b/>
        <sz val="10"/>
        <color rgb="FF000000"/>
        <rFont val="Cambria"/>
        <family val="1"/>
      </rPr>
      <t>(Ui.Ci)</t>
    </r>
    <r>
      <rPr>
        <b/>
        <vertAlign val="superscript"/>
        <sz val="10"/>
        <color rgb="FF000000"/>
        <rFont val="Cambria"/>
        <family val="1"/>
      </rPr>
      <t>2</t>
    </r>
  </si>
  <si>
    <r>
      <rPr>
        <b/>
        <sz val="10"/>
        <color rgb="FF000000"/>
        <rFont val="Cambria"/>
        <family val="1"/>
      </rPr>
      <t>(Ui.Ci)</t>
    </r>
    <r>
      <rPr>
        <b/>
        <vertAlign val="superscript"/>
        <sz val="10"/>
        <color rgb="FF000000"/>
        <rFont val="Cambria"/>
        <family val="1"/>
      </rPr>
      <t>4</t>
    </r>
    <r>
      <rPr>
        <b/>
        <sz val="10"/>
        <color rgb="FF000000"/>
        <rFont val="Cambria"/>
        <family val="1"/>
      </rPr>
      <t>/ vi</t>
    </r>
  </si>
  <si>
    <r>
      <rPr>
        <sz val="10"/>
        <color rgb="FF000000"/>
        <rFont val="Cambria"/>
        <family val="1"/>
      </rPr>
      <t>u(V</t>
    </r>
    <r>
      <rPr>
        <vertAlign val="subscript"/>
        <sz val="10"/>
        <color rgb="FF000000"/>
        <rFont val="Cambria"/>
        <family val="1"/>
      </rPr>
      <t>u1</t>
    </r>
    <r>
      <rPr>
        <sz val="10"/>
        <color rgb="FF000000"/>
        <rFont val="Cambria"/>
        <family val="1"/>
      </rPr>
      <t>)</t>
    </r>
  </si>
  <si>
    <r>
      <rPr>
        <sz val="10"/>
        <color rgb="FF000000"/>
        <rFont val="Cambria"/>
        <family val="1"/>
      </rPr>
      <t>u(V</t>
    </r>
    <r>
      <rPr>
        <vertAlign val="subscript"/>
        <sz val="10"/>
        <color rgb="FF000000"/>
        <rFont val="Cambria"/>
        <family val="1"/>
      </rPr>
      <t>u2</t>
    </r>
    <r>
      <rPr>
        <sz val="10"/>
        <color rgb="FF000000"/>
        <rFont val="Cambria"/>
        <family val="1"/>
      </rPr>
      <t>)</t>
    </r>
  </si>
  <si>
    <r>
      <rPr>
        <sz val="10"/>
        <color rgb="FF000000"/>
        <rFont val="Cambria"/>
        <family val="1"/>
      </rPr>
      <t>u(V</t>
    </r>
    <r>
      <rPr>
        <vertAlign val="subscript"/>
        <sz val="10"/>
        <color rgb="FF000000"/>
        <rFont val="Cambria"/>
        <family val="1"/>
      </rPr>
      <t>s</t>
    </r>
    <r>
      <rPr>
        <sz val="10"/>
        <color rgb="FF000000"/>
        <rFont val="Cambria"/>
        <family val="1"/>
      </rPr>
      <t>)</t>
    </r>
  </si>
  <si>
    <r>
      <rPr>
        <sz val="10"/>
        <color rgb="FF000000"/>
        <rFont val="Cambria"/>
        <family val="1"/>
      </rPr>
      <t>u(V</t>
    </r>
    <r>
      <rPr>
        <vertAlign val="subscript"/>
        <sz val="10"/>
        <color rgb="FF000000"/>
        <rFont val="Cambria"/>
        <family val="1"/>
      </rPr>
      <t>d</t>
    </r>
    <r>
      <rPr>
        <sz val="10"/>
        <color rgb="FF000000"/>
        <rFont val="Cambria"/>
        <family val="1"/>
      </rPr>
      <t>)</t>
    </r>
  </si>
  <si>
    <r>
      <rPr>
        <i/>
        <sz val="10"/>
        <color rgb="FF000000"/>
        <rFont val="Cambria"/>
        <family val="1"/>
      </rPr>
      <t xml:space="preserve">Derajat Kebebasan Efektif, v </t>
    </r>
    <r>
      <rPr>
        <i/>
        <vertAlign val="subscript"/>
        <sz val="10"/>
        <color rgb="FF000000"/>
        <rFont val="Cambria"/>
        <family val="1"/>
      </rPr>
      <t>eff</t>
    </r>
  </si>
  <si>
    <r>
      <rPr>
        <i/>
        <sz val="10"/>
        <color rgb="FF000000"/>
        <rFont val="Cambria"/>
        <family val="1"/>
      </rPr>
      <t>Faktor Cakupan, k-student's for v</t>
    </r>
    <r>
      <rPr>
        <i/>
        <vertAlign val="subscript"/>
        <sz val="10"/>
        <color rgb="FF000000"/>
        <rFont val="Cambria"/>
        <family val="1"/>
      </rPr>
      <t>eff</t>
    </r>
    <r>
      <rPr>
        <i/>
        <sz val="10"/>
        <color rgb="FF000000"/>
        <rFont val="Cambria"/>
        <family val="1"/>
      </rPr>
      <t xml:space="preserve"> and CL 95 %</t>
    </r>
  </si>
  <si>
    <r>
      <rPr>
        <b/>
        <sz val="10"/>
        <color rgb="FF000000"/>
        <rFont val="Cambria"/>
        <family val="1"/>
      </rPr>
      <t>(Ui.Ci)</t>
    </r>
    <r>
      <rPr>
        <b/>
        <vertAlign val="superscript"/>
        <sz val="10"/>
        <color rgb="FF000000"/>
        <rFont val="Cambria"/>
        <family val="1"/>
      </rPr>
      <t>2</t>
    </r>
  </si>
  <si>
    <r>
      <rPr>
        <b/>
        <sz val="10"/>
        <color rgb="FF000000"/>
        <rFont val="Cambria"/>
        <family val="1"/>
      </rPr>
      <t>(Ui.Ci)</t>
    </r>
    <r>
      <rPr>
        <b/>
        <vertAlign val="superscript"/>
        <sz val="10"/>
        <color rgb="FF000000"/>
        <rFont val="Cambria"/>
        <family val="1"/>
      </rPr>
      <t>4</t>
    </r>
    <r>
      <rPr>
        <b/>
        <sz val="10"/>
        <color rgb="FF000000"/>
        <rFont val="Cambria"/>
        <family val="1"/>
      </rPr>
      <t>/ vi</t>
    </r>
  </si>
  <si>
    <r>
      <rPr>
        <sz val="10"/>
        <color rgb="FF000000"/>
        <rFont val="Cambria"/>
        <family val="1"/>
      </rPr>
      <t>u(V</t>
    </r>
    <r>
      <rPr>
        <vertAlign val="subscript"/>
        <sz val="10"/>
        <color rgb="FF000000"/>
        <rFont val="Cambria"/>
        <family val="1"/>
      </rPr>
      <t>u1</t>
    </r>
    <r>
      <rPr>
        <sz val="10"/>
        <color rgb="FF000000"/>
        <rFont val="Cambria"/>
        <family val="1"/>
      </rPr>
      <t>)</t>
    </r>
  </si>
  <si>
    <r>
      <rPr>
        <sz val="10"/>
        <color rgb="FF000000"/>
        <rFont val="Cambria"/>
        <family val="1"/>
      </rPr>
      <t>u(V</t>
    </r>
    <r>
      <rPr>
        <vertAlign val="subscript"/>
        <sz val="10"/>
        <color rgb="FF000000"/>
        <rFont val="Cambria"/>
        <family val="1"/>
      </rPr>
      <t>u2</t>
    </r>
    <r>
      <rPr>
        <sz val="10"/>
        <color rgb="FF000000"/>
        <rFont val="Cambria"/>
        <family val="1"/>
      </rPr>
      <t>)</t>
    </r>
  </si>
  <si>
    <r>
      <rPr>
        <sz val="10"/>
        <color rgb="FF000000"/>
        <rFont val="Cambria"/>
        <family val="1"/>
      </rPr>
      <t>u(V</t>
    </r>
    <r>
      <rPr>
        <vertAlign val="subscript"/>
        <sz val="10"/>
        <color rgb="FF000000"/>
        <rFont val="Cambria"/>
        <family val="1"/>
      </rPr>
      <t>s</t>
    </r>
    <r>
      <rPr>
        <sz val="10"/>
        <color rgb="FF000000"/>
        <rFont val="Cambria"/>
        <family val="1"/>
      </rPr>
      <t>)</t>
    </r>
  </si>
  <si>
    <r>
      <rPr>
        <sz val="10"/>
        <color rgb="FF000000"/>
        <rFont val="Cambria"/>
        <family val="1"/>
      </rPr>
      <t>u(V</t>
    </r>
    <r>
      <rPr>
        <vertAlign val="subscript"/>
        <sz val="10"/>
        <color rgb="FF000000"/>
        <rFont val="Cambria"/>
        <family val="1"/>
      </rPr>
      <t>d</t>
    </r>
    <r>
      <rPr>
        <sz val="10"/>
        <color rgb="FF000000"/>
        <rFont val="Cambria"/>
        <family val="1"/>
      </rPr>
      <t>)</t>
    </r>
  </si>
  <si>
    <r>
      <rPr>
        <i/>
        <sz val="10"/>
        <color rgb="FF000000"/>
        <rFont val="Cambria"/>
        <family val="1"/>
      </rPr>
      <t xml:space="preserve">Derajat Kebebasan Efektif, v </t>
    </r>
    <r>
      <rPr>
        <i/>
        <vertAlign val="subscript"/>
        <sz val="10"/>
        <color rgb="FF000000"/>
        <rFont val="Cambria"/>
        <family val="1"/>
      </rPr>
      <t>eff</t>
    </r>
  </si>
  <si>
    <r>
      <rPr>
        <i/>
        <sz val="10"/>
        <color rgb="FF000000"/>
        <rFont val="Cambria"/>
        <family val="1"/>
      </rPr>
      <t>Faktor Cakupan, k-student's for v</t>
    </r>
    <r>
      <rPr>
        <i/>
        <vertAlign val="subscript"/>
        <sz val="10"/>
        <color rgb="FF000000"/>
        <rFont val="Cambria"/>
        <family val="1"/>
      </rPr>
      <t>eff</t>
    </r>
    <r>
      <rPr>
        <i/>
        <sz val="10"/>
        <color rgb="FF000000"/>
        <rFont val="Cambria"/>
        <family val="1"/>
      </rPr>
      <t xml:space="preserve"> and CL 95 %</t>
    </r>
  </si>
  <si>
    <r>
      <rPr>
        <b/>
        <sz val="10"/>
        <color rgb="FF000000"/>
        <rFont val="Cambria"/>
        <family val="1"/>
      </rPr>
      <t>(Ui.Ci)</t>
    </r>
    <r>
      <rPr>
        <b/>
        <vertAlign val="superscript"/>
        <sz val="10"/>
        <color rgb="FF000000"/>
        <rFont val="Cambria"/>
        <family val="1"/>
      </rPr>
      <t>2</t>
    </r>
  </si>
  <si>
    <r>
      <rPr>
        <b/>
        <sz val="10"/>
        <color rgb="FF000000"/>
        <rFont val="Cambria"/>
        <family val="1"/>
      </rPr>
      <t>(Ui.Ci)</t>
    </r>
    <r>
      <rPr>
        <b/>
        <vertAlign val="superscript"/>
        <sz val="10"/>
        <color rgb="FF000000"/>
        <rFont val="Cambria"/>
        <family val="1"/>
      </rPr>
      <t>4</t>
    </r>
    <r>
      <rPr>
        <b/>
        <sz val="10"/>
        <color rgb="FF000000"/>
        <rFont val="Cambria"/>
        <family val="1"/>
      </rPr>
      <t>/ vi</t>
    </r>
  </si>
  <si>
    <r>
      <rPr>
        <sz val="10"/>
        <color rgb="FF000000"/>
        <rFont val="Cambria"/>
        <family val="1"/>
      </rPr>
      <t>u(V</t>
    </r>
    <r>
      <rPr>
        <vertAlign val="subscript"/>
        <sz val="10"/>
        <color rgb="FF000000"/>
        <rFont val="Cambria"/>
        <family val="1"/>
      </rPr>
      <t>u1</t>
    </r>
    <r>
      <rPr>
        <sz val="10"/>
        <color rgb="FF000000"/>
        <rFont val="Cambria"/>
        <family val="1"/>
      </rPr>
      <t>)</t>
    </r>
  </si>
  <si>
    <r>
      <rPr>
        <sz val="10"/>
        <color rgb="FF000000"/>
        <rFont val="Cambria"/>
        <family val="1"/>
      </rPr>
      <t>u(V</t>
    </r>
    <r>
      <rPr>
        <vertAlign val="subscript"/>
        <sz val="10"/>
        <color rgb="FF000000"/>
        <rFont val="Cambria"/>
        <family val="1"/>
      </rPr>
      <t>u2</t>
    </r>
    <r>
      <rPr>
        <sz val="10"/>
        <color rgb="FF000000"/>
        <rFont val="Cambria"/>
        <family val="1"/>
      </rPr>
      <t>)</t>
    </r>
  </si>
  <si>
    <r>
      <rPr>
        <sz val="10"/>
        <color rgb="FF000000"/>
        <rFont val="Cambria"/>
        <family val="1"/>
      </rPr>
      <t>u(V</t>
    </r>
    <r>
      <rPr>
        <vertAlign val="subscript"/>
        <sz val="10"/>
        <color rgb="FF000000"/>
        <rFont val="Cambria"/>
        <family val="1"/>
      </rPr>
      <t>s</t>
    </r>
    <r>
      <rPr>
        <sz val="10"/>
        <color rgb="FF000000"/>
        <rFont val="Cambria"/>
        <family val="1"/>
      </rPr>
      <t>)</t>
    </r>
  </si>
  <si>
    <r>
      <rPr>
        <sz val="10"/>
        <color rgb="FF000000"/>
        <rFont val="Cambria"/>
        <family val="1"/>
      </rPr>
      <t>u(V</t>
    </r>
    <r>
      <rPr>
        <vertAlign val="subscript"/>
        <sz val="10"/>
        <color rgb="FF000000"/>
        <rFont val="Cambria"/>
        <family val="1"/>
      </rPr>
      <t>d</t>
    </r>
    <r>
      <rPr>
        <sz val="10"/>
        <color rgb="FF000000"/>
        <rFont val="Cambria"/>
        <family val="1"/>
      </rPr>
      <t>)</t>
    </r>
  </si>
  <si>
    <r>
      <rPr>
        <i/>
        <sz val="10"/>
        <color rgb="FF000000"/>
        <rFont val="Cambria"/>
        <family val="1"/>
      </rPr>
      <t xml:space="preserve">Derajat Kebebasan Efektif, v </t>
    </r>
    <r>
      <rPr>
        <i/>
        <vertAlign val="subscript"/>
        <sz val="10"/>
        <color rgb="FF000000"/>
        <rFont val="Cambria"/>
        <family val="1"/>
      </rPr>
      <t>eff</t>
    </r>
  </si>
  <si>
    <r>
      <rPr>
        <i/>
        <sz val="10"/>
        <color rgb="FF000000"/>
        <rFont val="Cambria"/>
        <family val="1"/>
      </rPr>
      <t>Faktor Cakupan, k-student's for v</t>
    </r>
    <r>
      <rPr>
        <i/>
        <vertAlign val="subscript"/>
        <sz val="10"/>
        <color rgb="FF000000"/>
        <rFont val="Cambria"/>
        <family val="1"/>
      </rPr>
      <t>eff</t>
    </r>
    <r>
      <rPr>
        <i/>
        <sz val="10"/>
        <color rgb="FF000000"/>
        <rFont val="Cambria"/>
        <family val="1"/>
      </rPr>
      <t xml:space="preserve"> and CL 95 %</t>
    </r>
  </si>
  <si>
    <r>
      <rPr>
        <b/>
        <sz val="10"/>
        <color rgb="FF000000"/>
        <rFont val="Cambria"/>
        <family val="1"/>
      </rPr>
      <t>(Ui.Ci)</t>
    </r>
    <r>
      <rPr>
        <b/>
        <vertAlign val="superscript"/>
        <sz val="10"/>
        <color rgb="FF000000"/>
        <rFont val="Cambria"/>
        <family val="1"/>
      </rPr>
      <t>2</t>
    </r>
  </si>
  <si>
    <r>
      <rPr>
        <b/>
        <sz val="10"/>
        <color rgb="FF000000"/>
        <rFont val="Cambria"/>
        <family val="1"/>
      </rPr>
      <t>(Ui.Ci)</t>
    </r>
    <r>
      <rPr>
        <b/>
        <vertAlign val="superscript"/>
        <sz val="10"/>
        <color rgb="FF000000"/>
        <rFont val="Cambria"/>
        <family val="1"/>
      </rPr>
      <t>4</t>
    </r>
    <r>
      <rPr>
        <b/>
        <sz val="10"/>
        <color rgb="FF000000"/>
        <rFont val="Cambria"/>
        <family val="1"/>
      </rPr>
      <t>/ vi</t>
    </r>
  </si>
  <si>
    <r>
      <rPr>
        <sz val="10"/>
        <color rgb="FF000000"/>
        <rFont val="Cambria"/>
        <family val="1"/>
      </rPr>
      <t>u(V</t>
    </r>
    <r>
      <rPr>
        <vertAlign val="subscript"/>
        <sz val="10"/>
        <color rgb="FF000000"/>
        <rFont val="Cambria"/>
        <family val="1"/>
      </rPr>
      <t>u1</t>
    </r>
    <r>
      <rPr>
        <sz val="10"/>
        <color rgb="FF000000"/>
        <rFont val="Cambria"/>
        <family val="1"/>
      </rPr>
      <t>)</t>
    </r>
  </si>
  <si>
    <r>
      <rPr>
        <sz val="10"/>
        <color rgb="FF000000"/>
        <rFont val="Cambria"/>
        <family val="1"/>
      </rPr>
      <t>u(V</t>
    </r>
    <r>
      <rPr>
        <vertAlign val="subscript"/>
        <sz val="10"/>
        <color rgb="FF000000"/>
        <rFont val="Cambria"/>
        <family val="1"/>
      </rPr>
      <t>u2</t>
    </r>
    <r>
      <rPr>
        <sz val="10"/>
        <color rgb="FF000000"/>
        <rFont val="Cambria"/>
        <family val="1"/>
      </rPr>
      <t>)</t>
    </r>
  </si>
  <si>
    <r>
      <rPr>
        <sz val="10"/>
        <color rgb="FF000000"/>
        <rFont val="Cambria"/>
        <family val="1"/>
      </rPr>
      <t>u(V</t>
    </r>
    <r>
      <rPr>
        <vertAlign val="subscript"/>
        <sz val="10"/>
        <color rgb="FF000000"/>
        <rFont val="Cambria"/>
        <family val="1"/>
      </rPr>
      <t>s</t>
    </r>
    <r>
      <rPr>
        <sz val="10"/>
        <color rgb="FF000000"/>
        <rFont val="Cambria"/>
        <family val="1"/>
      </rPr>
      <t>)</t>
    </r>
  </si>
  <si>
    <r>
      <rPr>
        <sz val="10"/>
        <color rgb="FF000000"/>
        <rFont val="Cambria"/>
        <family val="1"/>
      </rPr>
      <t>u(V</t>
    </r>
    <r>
      <rPr>
        <vertAlign val="subscript"/>
        <sz val="10"/>
        <color rgb="FF000000"/>
        <rFont val="Cambria"/>
        <family val="1"/>
      </rPr>
      <t>d</t>
    </r>
    <r>
      <rPr>
        <sz val="10"/>
        <color rgb="FF000000"/>
        <rFont val="Cambria"/>
        <family val="1"/>
      </rPr>
      <t>)</t>
    </r>
  </si>
  <si>
    <r>
      <rPr>
        <i/>
        <sz val="10"/>
        <color rgb="FF000000"/>
        <rFont val="Cambria"/>
        <family val="1"/>
      </rPr>
      <t xml:space="preserve">Derajat Kebebasan Efektif, v </t>
    </r>
    <r>
      <rPr>
        <i/>
        <vertAlign val="subscript"/>
        <sz val="10"/>
        <color rgb="FF000000"/>
        <rFont val="Cambria"/>
        <family val="1"/>
      </rPr>
      <t>eff</t>
    </r>
  </si>
  <si>
    <r>
      <rPr>
        <i/>
        <sz val="10"/>
        <color rgb="FF000000"/>
        <rFont val="Cambria"/>
        <family val="1"/>
      </rPr>
      <t>Faktor Cakupan, k-student's for v</t>
    </r>
    <r>
      <rPr>
        <i/>
        <vertAlign val="subscript"/>
        <sz val="10"/>
        <color rgb="FF000000"/>
        <rFont val="Cambria"/>
        <family val="1"/>
      </rPr>
      <t>eff</t>
    </r>
    <r>
      <rPr>
        <i/>
        <sz val="10"/>
        <color rgb="FF000000"/>
        <rFont val="Cambria"/>
        <family val="1"/>
      </rPr>
      <t xml:space="preserve"> and CL 95 %</t>
    </r>
  </si>
  <si>
    <r>
      <rPr>
        <b/>
        <sz val="10"/>
        <color rgb="FF000000"/>
        <rFont val="Cambria"/>
        <family val="1"/>
      </rPr>
      <t>(Ui.Ci)</t>
    </r>
    <r>
      <rPr>
        <b/>
        <vertAlign val="superscript"/>
        <sz val="10"/>
        <color rgb="FF000000"/>
        <rFont val="Cambria"/>
        <family val="1"/>
      </rPr>
      <t>2</t>
    </r>
  </si>
  <si>
    <r>
      <rPr>
        <b/>
        <sz val="10"/>
        <color rgb="FF000000"/>
        <rFont val="Cambria"/>
        <family val="1"/>
      </rPr>
      <t>(Ui.Ci)</t>
    </r>
    <r>
      <rPr>
        <b/>
        <vertAlign val="superscript"/>
        <sz val="10"/>
        <color rgb="FF000000"/>
        <rFont val="Cambria"/>
        <family val="1"/>
      </rPr>
      <t>4</t>
    </r>
    <r>
      <rPr>
        <b/>
        <sz val="10"/>
        <color rgb="FF000000"/>
        <rFont val="Cambria"/>
        <family val="1"/>
      </rPr>
      <t>/ vi</t>
    </r>
  </si>
  <si>
    <r>
      <rPr>
        <sz val="10"/>
        <color rgb="FF000000"/>
        <rFont val="Cambria"/>
        <family val="1"/>
      </rPr>
      <t>u(V</t>
    </r>
    <r>
      <rPr>
        <vertAlign val="subscript"/>
        <sz val="10"/>
        <color rgb="FF000000"/>
        <rFont val="Cambria"/>
        <family val="1"/>
      </rPr>
      <t>u1</t>
    </r>
    <r>
      <rPr>
        <sz val="10"/>
        <color rgb="FF000000"/>
        <rFont val="Cambria"/>
        <family val="1"/>
      </rPr>
      <t>)</t>
    </r>
  </si>
  <si>
    <r>
      <rPr>
        <sz val="10"/>
        <color rgb="FF000000"/>
        <rFont val="Cambria"/>
        <family val="1"/>
      </rPr>
      <t>u(V</t>
    </r>
    <r>
      <rPr>
        <vertAlign val="subscript"/>
        <sz val="10"/>
        <color rgb="FF000000"/>
        <rFont val="Cambria"/>
        <family val="1"/>
      </rPr>
      <t>u2</t>
    </r>
    <r>
      <rPr>
        <sz val="10"/>
        <color rgb="FF000000"/>
        <rFont val="Cambria"/>
        <family val="1"/>
      </rPr>
      <t>)</t>
    </r>
  </si>
  <si>
    <r>
      <rPr>
        <sz val="10"/>
        <color rgb="FF000000"/>
        <rFont val="Cambria"/>
        <family val="1"/>
      </rPr>
      <t>u(V</t>
    </r>
    <r>
      <rPr>
        <vertAlign val="subscript"/>
        <sz val="10"/>
        <color rgb="FF000000"/>
        <rFont val="Cambria"/>
        <family val="1"/>
      </rPr>
      <t>s</t>
    </r>
    <r>
      <rPr>
        <sz val="10"/>
        <color rgb="FF000000"/>
        <rFont val="Cambria"/>
        <family val="1"/>
      </rPr>
      <t>)</t>
    </r>
  </si>
  <si>
    <r>
      <rPr>
        <sz val="10"/>
        <color rgb="FF000000"/>
        <rFont val="Cambria"/>
        <family val="1"/>
      </rPr>
      <t>u(V</t>
    </r>
    <r>
      <rPr>
        <vertAlign val="subscript"/>
        <sz val="10"/>
        <color rgb="FF000000"/>
        <rFont val="Cambria"/>
        <family val="1"/>
      </rPr>
      <t>d</t>
    </r>
    <r>
      <rPr>
        <sz val="10"/>
        <color rgb="FF000000"/>
        <rFont val="Cambria"/>
        <family val="1"/>
      </rPr>
      <t>)</t>
    </r>
  </si>
  <si>
    <r>
      <rPr>
        <i/>
        <sz val="10"/>
        <color rgb="FF000000"/>
        <rFont val="Cambria"/>
        <family val="1"/>
      </rPr>
      <t xml:space="preserve">Derajat Kebebasan Efektif, v </t>
    </r>
    <r>
      <rPr>
        <i/>
        <vertAlign val="subscript"/>
        <sz val="10"/>
        <color rgb="FF000000"/>
        <rFont val="Cambria"/>
        <family val="1"/>
      </rPr>
      <t>eff</t>
    </r>
  </si>
  <si>
    <r>
      <rPr>
        <i/>
        <sz val="10"/>
        <color rgb="FF000000"/>
        <rFont val="Cambria"/>
        <family val="1"/>
      </rPr>
      <t>Faktor Cakupan, k-student's for v</t>
    </r>
    <r>
      <rPr>
        <i/>
        <vertAlign val="subscript"/>
        <sz val="10"/>
        <color rgb="FF000000"/>
        <rFont val="Cambria"/>
        <family val="1"/>
      </rPr>
      <t>eff</t>
    </r>
    <r>
      <rPr>
        <i/>
        <sz val="10"/>
        <color rgb="FF000000"/>
        <rFont val="Cambria"/>
        <family val="1"/>
      </rPr>
      <t xml:space="preserve"> and CL 95 %</t>
    </r>
  </si>
  <si>
    <r>
      <rPr>
        <b/>
        <sz val="10"/>
        <color rgb="FF000000"/>
        <rFont val="Cambria"/>
        <family val="1"/>
      </rPr>
      <t>(Ui.Ci)</t>
    </r>
    <r>
      <rPr>
        <b/>
        <vertAlign val="superscript"/>
        <sz val="10"/>
        <color rgb="FF000000"/>
        <rFont val="Cambria"/>
        <family val="1"/>
      </rPr>
      <t>2</t>
    </r>
  </si>
  <si>
    <r>
      <rPr>
        <b/>
        <sz val="10"/>
        <color rgb="FF000000"/>
        <rFont val="Cambria"/>
        <family val="1"/>
      </rPr>
      <t>(Ui.Ci)</t>
    </r>
    <r>
      <rPr>
        <b/>
        <vertAlign val="superscript"/>
        <sz val="10"/>
        <color rgb="FF000000"/>
        <rFont val="Cambria"/>
        <family val="1"/>
      </rPr>
      <t>4</t>
    </r>
    <r>
      <rPr>
        <b/>
        <sz val="10"/>
        <color rgb="FF000000"/>
        <rFont val="Cambria"/>
        <family val="1"/>
      </rPr>
      <t>/ vi</t>
    </r>
  </si>
  <si>
    <r>
      <rPr>
        <sz val="10"/>
        <color rgb="FF000000"/>
        <rFont val="Cambria"/>
        <family val="1"/>
      </rPr>
      <t>u(V</t>
    </r>
    <r>
      <rPr>
        <vertAlign val="subscript"/>
        <sz val="10"/>
        <color rgb="FF000000"/>
        <rFont val="Cambria"/>
        <family val="1"/>
      </rPr>
      <t>u1</t>
    </r>
    <r>
      <rPr>
        <sz val="10"/>
        <color rgb="FF000000"/>
        <rFont val="Cambria"/>
        <family val="1"/>
      </rPr>
      <t>)</t>
    </r>
  </si>
  <si>
    <r>
      <rPr>
        <sz val="10"/>
        <color rgb="FF000000"/>
        <rFont val="Cambria"/>
        <family val="1"/>
      </rPr>
      <t>u(V</t>
    </r>
    <r>
      <rPr>
        <vertAlign val="subscript"/>
        <sz val="10"/>
        <color rgb="FF000000"/>
        <rFont val="Cambria"/>
        <family val="1"/>
      </rPr>
      <t>u2</t>
    </r>
    <r>
      <rPr>
        <sz val="10"/>
        <color rgb="FF000000"/>
        <rFont val="Cambria"/>
        <family val="1"/>
      </rPr>
      <t>)</t>
    </r>
  </si>
  <si>
    <r>
      <rPr>
        <sz val="10"/>
        <color rgb="FF000000"/>
        <rFont val="Cambria"/>
        <family val="1"/>
      </rPr>
      <t>u(V</t>
    </r>
    <r>
      <rPr>
        <vertAlign val="subscript"/>
        <sz val="10"/>
        <color rgb="FF000000"/>
        <rFont val="Cambria"/>
        <family val="1"/>
      </rPr>
      <t>s</t>
    </r>
    <r>
      <rPr>
        <sz val="10"/>
        <color rgb="FF000000"/>
        <rFont val="Cambria"/>
        <family val="1"/>
      </rPr>
      <t>)</t>
    </r>
  </si>
  <si>
    <r>
      <rPr>
        <sz val="10"/>
        <color rgb="FF000000"/>
        <rFont val="Cambria"/>
        <family val="1"/>
      </rPr>
      <t>u(V</t>
    </r>
    <r>
      <rPr>
        <vertAlign val="subscript"/>
        <sz val="10"/>
        <color rgb="FF000000"/>
        <rFont val="Cambria"/>
        <family val="1"/>
      </rPr>
      <t>d</t>
    </r>
    <r>
      <rPr>
        <sz val="10"/>
        <color rgb="FF000000"/>
        <rFont val="Cambria"/>
        <family val="1"/>
      </rPr>
      <t>)</t>
    </r>
  </si>
  <si>
    <r>
      <rPr>
        <i/>
        <sz val="10"/>
        <color rgb="FF000000"/>
        <rFont val="Cambria"/>
        <family val="1"/>
      </rPr>
      <t xml:space="preserve">Derajat Kebebasan Efektif, v </t>
    </r>
    <r>
      <rPr>
        <i/>
        <vertAlign val="subscript"/>
        <sz val="10"/>
        <color rgb="FF000000"/>
        <rFont val="Cambria"/>
        <family val="1"/>
      </rPr>
      <t>eff</t>
    </r>
  </si>
  <si>
    <r>
      <rPr>
        <i/>
        <sz val="10"/>
        <color rgb="FF000000"/>
        <rFont val="Cambria"/>
        <family val="1"/>
      </rPr>
      <t>Faktor Cakupan, k-student's for v</t>
    </r>
    <r>
      <rPr>
        <i/>
        <vertAlign val="subscript"/>
        <sz val="10"/>
        <color rgb="FF000000"/>
        <rFont val="Cambria"/>
        <family val="1"/>
      </rPr>
      <t>eff</t>
    </r>
    <r>
      <rPr>
        <i/>
        <sz val="10"/>
        <color rgb="FF000000"/>
        <rFont val="Cambria"/>
        <family val="1"/>
      </rPr>
      <t xml:space="preserve"> and CL 95 %</t>
    </r>
  </si>
  <si>
    <r>
      <rPr>
        <b/>
        <sz val="10"/>
        <color rgb="FF000000"/>
        <rFont val="Cambria"/>
        <family val="1"/>
      </rPr>
      <t>(Ui.Ci)</t>
    </r>
    <r>
      <rPr>
        <b/>
        <vertAlign val="superscript"/>
        <sz val="10"/>
        <color rgb="FF000000"/>
        <rFont val="Cambria"/>
        <family val="1"/>
      </rPr>
      <t>2</t>
    </r>
  </si>
  <si>
    <r>
      <rPr>
        <b/>
        <sz val="10"/>
        <color rgb="FF000000"/>
        <rFont val="Cambria"/>
        <family val="1"/>
      </rPr>
      <t>(Ui.Ci)</t>
    </r>
    <r>
      <rPr>
        <b/>
        <vertAlign val="superscript"/>
        <sz val="10"/>
        <color rgb="FF000000"/>
        <rFont val="Cambria"/>
        <family val="1"/>
      </rPr>
      <t>4</t>
    </r>
    <r>
      <rPr>
        <b/>
        <sz val="10"/>
        <color rgb="FF000000"/>
        <rFont val="Cambria"/>
        <family val="1"/>
      </rPr>
      <t>/ vi</t>
    </r>
  </si>
  <si>
    <r>
      <rPr>
        <sz val="10"/>
        <color rgb="FF000000"/>
        <rFont val="Cambria"/>
        <family val="1"/>
      </rPr>
      <t>u(V</t>
    </r>
    <r>
      <rPr>
        <vertAlign val="subscript"/>
        <sz val="10"/>
        <color rgb="FF000000"/>
        <rFont val="Cambria"/>
        <family val="1"/>
      </rPr>
      <t>u1</t>
    </r>
    <r>
      <rPr>
        <sz val="10"/>
        <color rgb="FF000000"/>
        <rFont val="Cambria"/>
        <family val="1"/>
      </rPr>
      <t>)</t>
    </r>
  </si>
  <si>
    <r>
      <rPr>
        <sz val="10"/>
        <color rgb="FF000000"/>
        <rFont val="Cambria"/>
        <family val="1"/>
      </rPr>
      <t>u(V</t>
    </r>
    <r>
      <rPr>
        <vertAlign val="subscript"/>
        <sz val="10"/>
        <color rgb="FF000000"/>
        <rFont val="Cambria"/>
        <family val="1"/>
      </rPr>
      <t>u2</t>
    </r>
    <r>
      <rPr>
        <sz val="10"/>
        <color rgb="FF000000"/>
        <rFont val="Cambria"/>
        <family val="1"/>
      </rPr>
      <t>)</t>
    </r>
  </si>
  <si>
    <r>
      <rPr>
        <sz val="10"/>
        <color rgb="FF000000"/>
        <rFont val="Cambria"/>
        <family val="1"/>
      </rPr>
      <t>u(V</t>
    </r>
    <r>
      <rPr>
        <vertAlign val="subscript"/>
        <sz val="10"/>
        <color rgb="FF000000"/>
        <rFont val="Cambria"/>
        <family val="1"/>
      </rPr>
      <t>s</t>
    </r>
    <r>
      <rPr>
        <sz val="10"/>
        <color rgb="FF000000"/>
        <rFont val="Cambria"/>
        <family val="1"/>
      </rPr>
      <t>)</t>
    </r>
  </si>
  <si>
    <r>
      <rPr>
        <sz val="10"/>
        <color rgb="FF000000"/>
        <rFont val="Cambria"/>
        <family val="1"/>
      </rPr>
      <t>u(V</t>
    </r>
    <r>
      <rPr>
        <vertAlign val="subscript"/>
        <sz val="10"/>
        <color rgb="FF000000"/>
        <rFont val="Cambria"/>
        <family val="1"/>
      </rPr>
      <t>d</t>
    </r>
    <r>
      <rPr>
        <sz val="10"/>
        <color rgb="FF000000"/>
        <rFont val="Cambria"/>
        <family val="1"/>
      </rPr>
      <t>)</t>
    </r>
  </si>
  <si>
    <r>
      <rPr>
        <i/>
        <sz val="10"/>
        <color rgb="FF000000"/>
        <rFont val="Cambria"/>
        <family val="1"/>
      </rPr>
      <t xml:space="preserve">Derajat Kebebasan Efektif, v </t>
    </r>
    <r>
      <rPr>
        <i/>
        <vertAlign val="subscript"/>
        <sz val="10"/>
        <color rgb="FF000000"/>
        <rFont val="Cambria"/>
        <family val="1"/>
      </rPr>
      <t>eff</t>
    </r>
  </si>
  <si>
    <r>
      <rPr>
        <i/>
        <sz val="10"/>
        <color rgb="FF000000"/>
        <rFont val="Cambria"/>
        <family val="1"/>
      </rPr>
      <t>Faktor Cakupan, k-student's for v</t>
    </r>
    <r>
      <rPr>
        <i/>
        <vertAlign val="subscript"/>
        <sz val="10"/>
        <color rgb="FF000000"/>
        <rFont val="Cambria"/>
        <family val="1"/>
      </rPr>
      <t>eff</t>
    </r>
    <r>
      <rPr>
        <i/>
        <sz val="10"/>
        <color rgb="FF000000"/>
        <rFont val="Cambria"/>
        <family val="1"/>
      </rPr>
      <t xml:space="preserve"> and CL 95 %</t>
    </r>
  </si>
  <si>
    <r>
      <rPr>
        <b/>
        <sz val="10"/>
        <color rgb="FF000000"/>
        <rFont val="Cambria"/>
        <family val="1"/>
      </rPr>
      <t>(Ui.Ci)</t>
    </r>
    <r>
      <rPr>
        <b/>
        <vertAlign val="superscript"/>
        <sz val="10"/>
        <color rgb="FF000000"/>
        <rFont val="Cambria"/>
        <family val="1"/>
      </rPr>
      <t>2</t>
    </r>
  </si>
  <si>
    <r>
      <rPr>
        <b/>
        <sz val="10"/>
        <color rgb="FF000000"/>
        <rFont val="Cambria"/>
        <family val="1"/>
      </rPr>
      <t>(Ui.Ci)</t>
    </r>
    <r>
      <rPr>
        <b/>
        <vertAlign val="superscript"/>
        <sz val="10"/>
        <color rgb="FF000000"/>
        <rFont val="Cambria"/>
        <family val="1"/>
      </rPr>
      <t>4</t>
    </r>
    <r>
      <rPr>
        <b/>
        <sz val="10"/>
        <color rgb="FF000000"/>
        <rFont val="Cambria"/>
        <family val="1"/>
      </rPr>
      <t>/ vi</t>
    </r>
  </si>
  <si>
    <r>
      <rPr>
        <sz val="10"/>
        <color rgb="FF000000"/>
        <rFont val="Cambria"/>
        <family val="1"/>
      </rPr>
      <t>u(V</t>
    </r>
    <r>
      <rPr>
        <vertAlign val="subscript"/>
        <sz val="10"/>
        <color rgb="FF000000"/>
        <rFont val="Cambria"/>
        <family val="1"/>
      </rPr>
      <t>u1</t>
    </r>
    <r>
      <rPr>
        <sz val="10"/>
        <color rgb="FF000000"/>
        <rFont val="Cambria"/>
        <family val="1"/>
      </rPr>
      <t>)</t>
    </r>
  </si>
  <si>
    <r>
      <rPr>
        <sz val="10"/>
        <color rgb="FF000000"/>
        <rFont val="Cambria"/>
        <family val="1"/>
      </rPr>
      <t>u(V</t>
    </r>
    <r>
      <rPr>
        <vertAlign val="subscript"/>
        <sz val="10"/>
        <color rgb="FF000000"/>
        <rFont val="Cambria"/>
        <family val="1"/>
      </rPr>
      <t>u2</t>
    </r>
    <r>
      <rPr>
        <sz val="10"/>
        <color rgb="FF000000"/>
        <rFont val="Cambria"/>
        <family val="1"/>
      </rPr>
      <t>)</t>
    </r>
  </si>
  <si>
    <r>
      <rPr>
        <sz val="10"/>
        <color rgb="FF000000"/>
        <rFont val="Cambria"/>
        <family val="1"/>
      </rPr>
      <t>u(V</t>
    </r>
    <r>
      <rPr>
        <vertAlign val="subscript"/>
        <sz val="10"/>
        <color rgb="FF000000"/>
        <rFont val="Cambria"/>
        <family val="1"/>
      </rPr>
      <t>s</t>
    </r>
    <r>
      <rPr>
        <sz val="10"/>
        <color rgb="FF000000"/>
        <rFont val="Cambria"/>
        <family val="1"/>
      </rPr>
      <t>)</t>
    </r>
  </si>
  <si>
    <r>
      <rPr>
        <sz val="10"/>
        <color rgb="FF000000"/>
        <rFont val="Cambria"/>
        <family val="1"/>
      </rPr>
      <t>u(V</t>
    </r>
    <r>
      <rPr>
        <vertAlign val="subscript"/>
        <sz val="10"/>
        <color rgb="FF000000"/>
        <rFont val="Cambria"/>
        <family val="1"/>
      </rPr>
      <t>d</t>
    </r>
    <r>
      <rPr>
        <sz val="10"/>
        <color rgb="FF000000"/>
        <rFont val="Cambria"/>
        <family val="1"/>
      </rPr>
      <t>)</t>
    </r>
  </si>
  <si>
    <r>
      <rPr>
        <i/>
        <sz val="10"/>
        <color rgb="FF000000"/>
        <rFont val="Cambria"/>
        <family val="1"/>
      </rPr>
      <t xml:space="preserve">Derajat Kebebasan Efektif, v </t>
    </r>
    <r>
      <rPr>
        <i/>
        <vertAlign val="subscript"/>
        <sz val="10"/>
        <color rgb="FF000000"/>
        <rFont val="Cambria"/>
        <family val="1"/>
      </rPr>
      <t>eff</t>
    </r>
  </si>
  <si>
    <r>
      <rPr>
        <i/>
        <sz val="10"/>
        <color rgb="FF000000"/>
        <rFont val="Cambria"/>
        <family val="1"/>
      </rPr>
      <t>Faktor Cakupan, k-student's for v</t>
    </r>
    <r>
      <rPr>
        <i/>
        <vertAlign val="subscript"/>
        <sz val="10"/>
        <color rgb="FF000000"/>
        <rFont val="Cambria"/>
        <family val="1"/>
      </rPr>
      <t>eff</t>
    </r>
    <r>
      <rPr>
        <i/>
        <sz val="10"/>
        <color rgb="FF000000"/>
        <rFont val="Cambria"/>
        <family val="1"/>
      </rPr>
      <t xml:space="preserve"> and CL 95 %</t>
    </r>
  </si>
  <si>
    <r>
      <rPr>
        <b/>
        <sz val="10"/>
        <color rgb="FF000000"/>
        <rFont val="Cambria"/>
        <family val="1"/>
      </rPr>
      <t>(Ui.Ci)</t>
    </r>
    <r>
      <rPr>
        <b/>
        <vertAlign val="superscript"/>
        <sz val="10"/>
        <color rgb="FF000000"/>
        <rFont val="Cambria"/>
        <family val="1"/>
      </rPr>
      <t>2</t>
    </r>
  </si>
  <si>
    <r>
      <rPr>
        <b/>
        <sz val="10"/>
        <color rgb="FF000000"/>
        <rFont val="Cambria"/>
        <family val="1"/>
      </rPr>
      <t>(Ui.Ci)</t>
    </r>
    <r>
      <rPr>
        <b/>
        <vertAlign val="superscript"/>
        <sz val="10"/>
        <color rgb="FF000000"/>
        <rFont val="Cambria"/>
        <family val="1"/>
      </rPr>
      <t>4</t>
    </r>
    <r>
      <rPr>
        <b/>
        <sz val="10"/>
        <color rgb="FF000000"/>
        <rFont val="Cambria"/>
        <family val="1"/>
      </rPr>
      <t>/ vi</t>
    </r>
  </si>
  <si>
    <r>
      <rPr>
        <sz val="10"/>
        <color rgb="FF000000"/>
        <rFont val="Cambria"/>
        <family val="1"/>
      </rPr>
      <t>u(V</t>
    </r>
    <r>
      <rPr>
        <vertAlign val="subscript"/>
        <sz val="10"/>
        <color rgb="FF000000"/>
        <rFont val="Cambria"/>
        <family val="1"/>
      </rPr>
      <t>u1</t>
    </r>
    <r>
      <rPr>
        <sz val="10"/>
        <color rgb="FF000000"/>
        <rFont val="Cambria"/>
        <family val="1"/>
      </rPr>
      <t>)</t>
    </r>
  </si>
  <si>
    <r>
      <rPr>
        <sz val="10"/>
        <color rgb="FF000000"/>
        <rFont val="Cambria"/>
        <family val="1"/>
      </rPr>
      <t>u(V</t>
    </r>
    <r>
      <rPr>
        <vertAlign val="subscript"/>
        <sz val="10"/>
        <color rgb="FF000000"/>
        <rFont val="Cambria"/>
        <family val="1"/>
      </rPr>
      <t>u2</t>
    </r>
    <r>
      <rPr>
        <sz val="10"/>
        <color rgb="FF000000"/>
        <rFont val="Cambria"/>
        <family val="1"/>
      </rPr>
      <t>)</t>
    </r>
  </si>
  <si>
    <r>
      <rPr>
        <sz val="10"/>
        <color rgb="FF000000"/>
        <rFont val="Cambria"/>
        <family val="1"/>
      </rPr>
      <t>u(V</t>
    </r>
    <r>
      <rPr>
        <vertAlign val="subscript"/>
        <sz val="10"/>
        <color rgb="FF000000"/>
        <rFont val="Cambria"/>
        <family val="1"/>
      </rPr>
      <t>s</t>
    </r>
    <r>
      <rPr>
        <sz val="10"/>
        <color rgb="FF000000"/>
        <rFont val="Cambria"/>
        <family val="1"/>
      </rPr>
      <t>)</t>
    </r>
  </si>
  <si>
    <r>
      <rPr>
        <sz val="10"/>
        <color rgb="FF000000"/>
        <rFont val="Cambria"/>
        <family val="1"/>
      </rPr>
      <t>u(V</t>
    </r>
    <r>
      <rPr>
        <vertAlign val="subscript"/>
        <sz val="10"/>
        <color rgb="FF000000"/>
        <rFont val="Cambria"/>
        <family val="1"/>
      </rPr>
      <t>d</t>
    </r>
    <r>
      <rPr>
        <sz val="10"/>
        <color rgb="FF000000"/>
        <rFont val="Cambria"/>
        <family val="1"/>
      </rPr>
      <t>)</t>
    </r>
  </si>
  <si>
    <r>
      <rPr>
        <i/>
        <sz val="10"/>
        <color rgb="FF000000"/>
        <rFont val="Cambria"/>
        <family val="1"/>
      </rPr>
      <t xml:space="preserve">Derajat Kebebasan Efektif, v </t>
    </r>
    <r>
      <rPr>
        <i/>
        <vertAlign val="subscript"/>
        <sz val="10"/>
        <color rgb="FF000000"/>
        <rFont val="Cambria"/>
        <family val="1"/>
      </rPr>
      <t>eff</t>
    </r>
  </si>
  <si>
    <r>
      <rPr>
        <i/>
        <sz val="10"/>
        <color rgb="FF000000"/>
        <rFont val="Cambria"/>
        <family val="1"/>
      </rPr>
      <t>Faktor Cakupan, k-student's for v</t>
    </r>
    <r>
      <rPr>
        <i/>
        <vertAlign val="subscript"/>
        <sz val="10"/>
        <color rgb="FF000000"/>
        <rFont val="Cambria"/>
        <family val="1"/>
      </rPr>
      <t>eff</t>
    </r>
    <r>
      <rPr>
        <i/>
        <sz val="10"/>
        <color rgb="FF000000"/>
        <rFont val="Cambria"/>
        <family val="1"/>
      </rPr>
      <t xml:space="preserve"> and CL 95 %</t>
    </r>
  </si>
  <si>
    <r>
      <rPr>
        <b/>
        <sz val="10"/>
        <color rgb="FF000000"/>
        <rFont val="Cambria"/>
        <family val="1"/>
      </rPr>
      <t>(Ui.Ci)</t>
    </r>
    <r>
      <rPr>
        <b/>
        <vertAlign val="superscript"/>
        <sz val="10"/>
        <color rgb="FF000000"/>
        <rFont val="Cambria"/>
        <family val="1"/>
      </rPr>
      <t>2</t>
    </r>
  </si>
  <si>
    <r>
      <rPr>
        <b/>
        <sz val="10"/>
        <color rgb="FF000000"/>
        <rFont val="Cambria"/>
        <family val="1"/>
      </rPr>
      <t>(Ui.Ci)</t>
    </r>
    <r>
      <rPr>
        <b/>
        <vertAlign val="superscript"/>
        <sz val="10"/>
        <color rgb="FF000000"/>
        <rFont val="Cambria"/>
        <family val="1"/>
      </rPr>
      <t>4</t>
    </r>
    <r>
      <rPr>
        <b/>
        <sz val="10"/>
        <color rgb="FF000000"/>
        <rFont val="Cambria"/>
        <family val="1"/>
      </rPr>
      <t>/ vi</t>
    </r>
  </si>
  <si>
    <r>
      <rPr>
        <sz val="10"/>
        <color rgb="FF000000"/>
        <rFont val="Cambria"/>
        <family val="1"/>
      </rPr>
      <t>u(V</t>
    </r>
    <r>
      <rPr>
        <vertAlign val="subscript"/>
        <sz val="10"/>
        <color rgb="FF000000"/>
        <rFont val="Cambria"/>
        <family val="1"/>
      </rPr>
      <t>u1</t>
    </r>
    <r>
      <rPr>
        <sz val="10"/>
        <color rgb="FF000000"/>
        <rFont val="Cambria"/>
        <family val="1"/>
      </rPr>
      <t>)</t>
    </r>
  </si>
  <si>
    <r>
      <rPr>
        <sz val="10"/>
        <color rgb="FF000000"/>
        <rFont val="Cambria"/>
        <family val="1"/>
      </rPr>
      <t>u(V</t>
    </r>
    <r>
      <rPr>
        <vertAlign val="subscript"/>
        <sz val="10"/>
        <color rgb="FF000000"/>
        <rFont val="Cambria"/>
        <family val="1"/>
      </rPr>
      <t>u2</t>
    </r>
    <r>
      <rPr>
        <sz val="10"/>
        <color rgb="FF000000"/>
        <rFont val="Cambria"/>
        <family val="1"/>
      </rPr>
      <t>)</t>
    </r>
  </si>
  <si>
    <r>
      <rPr>
        <sz val="10"/>
        <color rgb="FF000000"/>
        <rFont val="Cambria"/>
        <family val="1"/>
      </rPr>
      <t>u(V</t>
    </r>
    <r>
      <rPr>
        <vertAlign val="subscript"/>
        <sz val="10"/>
        <color rgb="FF000000"/>
        <rFont val="Cambria"/>
        <family val="1"/>
      </rPr>
      <t>s</t>
    </r>
    <r>
      <rPr>
        <sz val="10"/>
        <color rgb="FF000000"/>
        <rFont val="Cambria"/>
        <family val="1"/>
      </rPr>
      <t>)</t>
    </r>
  </si>
  <si>
    <r>
      <rPr>
        <sz val="10"/>
        <color rgb="FF000000"/>
        <rFont val="Cambria"/>
        <family val="1"/>
      </rPr>
      <t>u(V</t>
    </r>
    <r>
      <rPr>
        <vertAlign val="subscript"/>
        <sz val="10"/>
        <color rgb="FF000000"/>
        <rFont val="Cambria"/>
        <family val="1"/>
      </rPr>
      <t>d</t>
    </r>
    <r>
      <rPr>
        <sz val="10"/>
        <color rgb="FF000000"/>
        <rFont val="Cambria"/>
        <family val="1"/>
      </rPr>
      <t>)</t>
    </r>
  </si>
  <si>
    <r>
      <rPr>
        <i/>
        <sz val="10"/>
        <color rgb="FF000000"/>
        <rFont val="Cambria"/>
        <family val="1"/>
      </rPr>
      <t xml:space="preserve">Derajat Kebebasan Efektif, v </t>
    </r>
    <r>
      <rPr>
        <i/>
        <vertAlign val="subscript"/>
        <sz val="10"/>
        <color rgb="FF000000"/>
        <rFont val="Cambria"/>
        <family val="1"/>
      </rPr>
      <t>eff</t>
    </r>
  </si>
  <si>
    <r>
      <rPr>
        <i/>
        <sz val="10"/>
        <color rgb="FF000000"/>
        <rFont val="Cambria"/>
        <family val="1"/>
      </rPr>
      <t>Faktor Cakupan, k-student's for v</t>
    </r>
    <r>
      <rPr>
        <i/>
        <vertAlign val="subscript"/>
        <sz val="10"/>
        <color rgb="FF000000"/>
        <rFont val="Cambria"/>
        <family val="1"/>
      </rPr>
      <t>eff</t>
    </r>
    <r>
      <rPr>
        <i/>
        <sz val="10"/>
        <color rgb="FF000000"/>
        <rFont val="Cambria"/>
        <family val="1"/>
      </rPr>
      <t xml:space="preserve"> and CL 95 %</t>
    </r>
  </si>
  <si>
    <r>
      <rPr>
        <b/>
        <sz val="10"/>
        <color rgb="FF000000"/>
        <rFont val="Cambria"/>
        <family val="1"/>
      </rPr>
      <t>(Ui.Ci)</t>
    </r>
    <r>
      <rPr>
        <b/>
        <vertAlign val="superscript"/>
        <sz val="10"/>
        <color rgb="FF000000"/>
        <rFont val="Cambria"/>
        <family val="1"/>
      </rPr>
      <t>2</t>
    </r>
  </si>
  <si>
    <r>
      <rPr>
        <b/>
        <sz val="10"/>
        <color rgb="FF000000"/>
        <rFont val="Cambria"/>
        <family val="1"/>
      </rPr>
      <t>(Ui.Ci)</t>
    </r>
    <r>
      <rPr>
        <b/>
        <vertAlign val="superscript"/>
        <sz val="10"/>
        <color rgb="FF000000"/>
        <rFont val="Cambria"/>
        <family val="1"/>
      </rPr>
      <t>4</t>
    </r>
    <r>
      <rPr>
        <b/>
        <sz val="10"/>
        <color rgb="FF000000"/>
        <rFont val="Cambria"/>
        <family val="1"/>
      </rPr>
      <t>/ vi</t>
    </r>
  </si>
  <si>
    <r>
      <rPr>
        <sz val="10"/>
        <color rgb="FF000000"/>
        <rFont val="Cambria"/>
        <family val="1"/>
      </rPr>
      <t>u(V</t>
    </r>
    <r>
      <rPr>
        <vertAlign val="subscript"/>
        <sz val="10"/>
        <color rgb="FF000000"/>
        <rFont val="Cambria"/>
        <family val="1"/>
      </rPr>
      <t>u1</t>
    </r>
    <r>
      <rPr>
        <sz val="10"/>
        <color rgb="FF000000"/>
        <rFont val="Cambria"/>
        <family val="1"/>
      </rPr>
      <t>)</t>
    </r>
  </si>
  <si>
    <r>
      <rPr>
        <sz val="10"/>
        <color rgb="FF000000"/>
        <rFont val="Cambria"/>
        <family val="1"/>
      </rPr>
      <t>u(V</t>
    </r>
    <r>
      <rPr>
        <vertAlign val="subscript"/>
        <sz val="10"/>
        <color rgb="FF000000"/>
        <rFont val="Cambria"/>
        <family val="1"/>
      </rPr>
      <t>u2</t>
    </r>
    <r>
      <rPr>
        <sz val="10"/>
        <color rgb="FF000000"/>
        <rFont val="Cambria"/>
        <family val="1"/>
      </rPr>
      <t>)</t>
    </r>
  </si>
  <si>
    <r>
      <rPr>
        <sz val="10"/>
        <color rgb="FF000000"/>
        <rFont val="Cambria"/>
        <family val="1"/>
      </rPr>
      <t>u(V</t>
    </r>
    <r>
      <rPr>
        <vertAlign val="subscript"/>
        <sz val="10"/>
        <color rgb="FF000000"/>
        <rFont val="Cambria"/>
        <family val="1"/>
      </rPr>
      <t>s</t>
    </r>
    <r>
      <rPr>
        <sz val="10"/>
        <color rgb="FF000000"/>
        <rFont val="Cambria"/>
        <family val="1"/>
      </rPr>
      <t>)</t>
    </r>
  </si>
  <si>
    <r>
      <rPr>
        <sz val="10"/>
        <color rgb="FF000000"/>
        <rFont val="Cambria"/>
        <family val="1"/>
      </rPr>
      <t>u(V</t>
    </r>
    <r>
      <rPr>
        <vertAlign val="subscript"/>
        <sz val="10"/>
        <color rgb="FF000000"/>
        <rFont val="Cambria"/>
        <family val="1"/>
      </rPr>
      <t>d</t>
    </r>
    <r>
      <rPr>
        <sz val="10"/>
        <color rgb="FF000000"/>
        <rFont val="Cambria"/>
        <family val="1"/>
      </rPr>
      <t>)</t>
    </r>
  </si>
  <si>
    <r>
      <rPr>
        <i/>
        <sz val="10"/>
        <color rgb="FF000000"/>
        <rFont val="Cambria"/>
        <family val="1"/>
      </rPr>
      <t xml:space="preserve">Derajat Kebebasan Efektif, v </t>
    </r>
    <r>
      <rPr>
        <i/>
        <vertAlign val="subscript"/>
        <sz val="10"/>
        <color rgb="FF000000"/>
        <rFont val="Cambria"/>
        <family val="1"/>
      </rPr>
      <t>eff</t>
    </r>
  </si>
  <si>
    <r>
      <rPr>
        <i/>
        <sz val="10"/>
        <color rgb="FF000000"/>
        <rFont val="Cambria"/>
        <family val="1"/>
      </rPr>
      <t>Faktor Cakupan, k-student's for v</t>
    </r>
    <r>
      <rPr>
        <i/>
        <vertAlign val="subscript"/>
        <sz val="10"/>
        <color rgb="FF000000"/>
        <rFont val="Cambria"/>
        <family val="1"/>
      </rPr>
      <t>eff</t>
    </r>
    <r>
      <rPr>
        <i/>
        <sz val="10"/>
        <color rgb="FF000000"/>
        <rFont val="Cambria"/>
        <family val="1"/>
      </rPr>
      <t xml:space="preserve"> and CL 95 %</t>
    </r>
  </si>
  <si>
    <t>KorStan 22</t>
  </si>
  <si>
    <t>KorStan 20</t>
  </si>
  <si>
    <t>KorStan 18</t>
  </si>
  <si>
    <r>
      <rPr>
        <sz val="10"/>
        <color rgb="FF000000"/>
        <rFont val="Cambria"/>
        <family val="1"/>
      </rPr>
      <t>C = I</t>
    </r>
    <r>
      <rPr>
        <vertAlign val="subscript"/>
        <sz val="10"/>
        <color rgb="FF000000"/>
        <rFont val="Cambria"/>
        <family val="1"/>
      </rPr>
      <t xml:space="preserve">s </t>
    </r>
    <r>
      <rPr>
        <sz val="10"/>
        <color rgb="FF000000"/>
        <rFont val="Cambria"/>
        <family val="1"/>
      </rPr>
      <t>- I</t>
    </r>
    <r>
      <rPr>
        <vertAlign val="subscript"/>
        <sz val="10"/>
        <color rgb="FF000000"/>
        <rFont val="Cambria"/>
        <family val="1"/>
      </rPr>
      <t>UUT</t>
    </r>
  </si>
  <si>
    <r>
      <rPr>
        <sz val="10"/>
        <color rgb="FF000000"/>
        <rFont val="Cambria"/>
        <family val="1"/>
      </rPr>
      <t>C = I</t>
    </r>
    <r>
      <rPr>
        <vertAlign val="subscript"/>
        <sz val="10"/>
        <color rgb="FF000000"/>
        <rFont val="Cambria"/>
        <family val="1"/>
      </rPr>
      <t xml:space="preserve">s </t>
    </r>
    <r>
      <rPr>
        <sz val="10"/>
        <color rgb="FF000000"/>
        <rFont val="Cambria"/>
        <family val="1"/>
      </rPr>
      <t>+ δI</t>
    </r>
    <r>
      <rPr>
        <vertAlign val="subscript"/>
        <sz val="10"/>
        <color rgb="FF000000"/>
        <rFont val="Cambria"/>
        <family val="1"/>
      </rPr>
      <t>s</t>
    </r>
    <r>
      <rPr>
        <sz val="10"/>
        <color rgb="FF000000"/>
        <rFont val="Cambria"/>
        <family val="1"/>
      </rPr>
      <t xml:space="preserve"> - I</t>
    </r>
    <r>
      <rPr>
        <vertAlign val="subscript"/>
        <sz val="10"/>
        <color rgb="FF000000"/>
        <rFont val="Cambria"/>
        <family val="1"/>
      </rPr>
      <t>UUT</t>
    </r>
  </si>
  <si>
    <t>: koreksi arus UUT</t>
  </si>
  <si>
    <r>
      <rPr>
        <sz val="10"/>
        <color rgb="FF000000"/>
        <rFont val="Cambria"/>
        <family val="1"/>
      </rPr>
      <t>I</t>
    </r>
    <r>
      <rPr>
        <vertAlign val="subscript"/>
        <sz val="10"/>
        <color rgb="FF000000"/>
        <rFont val="Cambria"/>
        <family val="1"/>
      </rPr>
      <t>s</t>
    </r>
  </si>
  <si>
    <t>: arus standar</t>
  </si>
  <si>
    <r>
      <rPr>
        <sz val="10"/>
        <color rgb="FF000000"/>
        <rFont val="Cambria"/>
        <family val="1"/>
      </rPr>
      <t>δI</t>
    </r>
    <r>
      <rPr>
        <vertAlign val="subscript"/>
        <sz val="10"/>
        <color rgb="FF000000"/>
        <rFont val="Cambria"/>
        <family val="1"/>
      </rPr>
      <t>s</t>
    </r>
  </si>
  <si>
    <t>: koreksi arus standar</t>
  </si>
  <si>
    <r>
      <rPr>
        <sz val="10"/>
        <color rgb="FF000000"/>
        <rFont val="Cambria"/>
        <family val="1"/>
      </rPr>
      <t>I</t>
    </r>
    <r>
      <rPr>
        <vertAlign val="subscript"/>
        <sz val="10"/>
        <color rgb="FF000000"/>
        <rFont val="Cambria"/>
        <family val="1"/>
      </rPr>
      <t>UUT</t>
    </r>
  </si>
  <si>
    <t>: arus UUT</t>
  </si>
  <si>
    <t>DC Current-Measure</t>
  </si>
  <si>
    <r>
      <rPr>
        <b/>
        <sz val="10"/>
        <color rgb="FF000000"/>
        <rFont val="Cambria"/>
        <family val="1"/>
      </rPr>
      <t>(Ui.Ci)</t>
    </r>
    <r>
      <rPr>
        <b/>
        <vertAlign val="superscript"/>
        <sz val="10"/>
        <color rgb="FF000000"/>
        <rFont val="Cambria"/>
        <family val="1"/>
      </rPr>
      <t>2</t>
    </r>
  </si>
  <si>
    <r>
      <rPr>
        <b/>
        <sz val="10"/>
        <color rgb="FF000000"/>
        <rFont val="Cambria"/>
        <family val="1"/>
      </rPr>
      <t>(Ui.Ci)</t>
    </r>
    <r>
      <rPr>
        <b/>
        <vertAlign val="superscript"/>
        <sz val="10"/>
        <color rgb="FF000000"/>
        <rFont val="Cambria"/>
        <family val="1"/>
      </rPr>
      <t>4</t>
    </r>
    <r>
      <rPr>
        <b/>
        <sz val="10"/>
        <color rgb="FF000000"/>
        <rFont val="Cambria"/>
        <family val="1"/>
      </rPr>
      <t>/ vi</t>
    </r>
  </si>
  <si>
    <r>
      <rPr>
        <sz val="10"/>
        <color rgb="FF000000"/>
        <rFont val="Cambria"/>
        <family val="1"/>
      </rPr>
      <t>u(I</t>
    </r>
    <r>
      <rPr>
        <vertAlign val="subscript"/>
        <sz val="10"/>
        <color rgb="FF000000"/>
        <rFont val="Cambria"/>
        <family val="1"/>
      </rPr>
      <t>u1</t>
    </r>
    <r>
      <rPr>
        <sz val="10"/>
        <color rgb="FF000000"/>
        <rFont val="Cambria"/>
        <family val="1"/>
      </rPr>
      <t>)</t>
    </r>
  </si>
  <si>
    <r>
      <rPr>
        <sz val="10"/>
        <color rgb="FF000000"/>
        <rFont val="Cambria"/>
        <family val="1"/>
      </rPr>
      <t>u(I</t>
    </r>
    <r>
      <rPr>
        <vertAlign val="subscript"/>
        <sz val="10"/>
        <color rgb="FF000000"/>
        <rFont val="Cambria"/>
        <family val="1"/>
      </rPr>
      <t>u2</t>
    </r>
    <r>
      <rPr>
        <sz val="10"/>
        <color rgb="FF000000"/>
        <rFont val="Cambria"/>
        <family val="1"/>
      </rPr>
      <t>)</t>
    </r>
  </si>
  <si>
    <r>
      <rPr>
        <sz val="10"/>
        <color rgb="FF000000"/>
        <rFont val="Cambria"/>
        <family val="1"/>
      </rPr>
      <t>u(I</t>
    </r>
    <r>
      <rPr>
        <vertAlign val="subscript"/>
        <sz val="10"/>
        <color rgb="FF000000"/>
        <rFont val="Cambria"/>
        <family val="1"/>
      </rPr>
      <t>s</t>
    </r>
    <r>
      <rPr>
        <sz val="10"/>
        <color rgb="FF000000"/>
        <rFont val="Cambria"/>
        <family val="1"/>
      </rPr>
      <t>)</t>
    </r>
  </si>
  <si>
    <r>
      <rPr>
        <sz val="10"/>
        <color rgb="FF000000"/>
        <rFont val="Cambria"/>
        <family val="1"/>
      </rPr>
      <t>u(I</t>
    </r>
    <r>
      <rPr>
        <vertAlign val="subscript"/>
        <sz val="10"/>
        <color rgb="FF000000"/>
        <rFont val="Cambria"/>
        <family val="1"/>
      </rPr>
      <t>ds</t>
    </r>
    <r>
      <rPr>
        <sz val="10"/>
        <color rgb="FF000000"/>
        <rFont val="Cambria"/>
        <family val="1"/>
      </rPr>
      <t>)</t>
    </r>
  </si>
  <si>
    <r>
      <rPr>
        <i/>
        <sz val="10"/>
        <color rgb="FF000000"/>
        <rFont val="Cambria"/>
        <family val="1"/>
      </rPr>
      <t xml:space="preserve">Derajat Kebebasan Efektif, v </t>
    </r>
    <r>
      <rPr>
        <i/>
        <vertAlign val="subscript"/>
        <sz val="10"/>
        <color rgb="FF000000"/>
        <rFont val="Cambria"/>
        <family val="1"/>
      </rPr>
      <t>eff</t>
    </r>
  </si>
  <si>
    <r>
      <rPr>
        <i/>
        <sz val="10"/>
        <color rgb="FF000000"/>
        <rFont val="Cambria"/>
        <family val="1"/>
      </rPr>
      <t>Faktor Cakupan, k-student's for v</t>
    </r>
    <r>
      <rPr>
        <i/>
        <vertAlign val="subscript"/>
        <sz val="10"/>
        <color rgb="FF000000"/>
        <rFont val="Cambria"/>
        <family val="1"/>
      </rPr>
      <t>eff</t>
    </r>
    <r>
      <rPr>
        <i/>
        <sz val="10"/>
        <color rgb="FF000000"/>
        <rFont val="Cambria"/>
        <family val="1"/>
      </rPr>
      <t xml:space="preserve"> and CL 95 %</t>
    </r>
  </si>
  <si>
    <r>
      <rPr>
        <b/>
        <sz val="10"/>
        <color rgb="FF000000"/>
        <rFont val="Cambria"/>
        <family val="1"/>
      </rPr>
      <t>(Ui.Ci)</t>
    </r>
    <r>
      <rPr>
        <b/>
        <vertAlign val="superscript"/>
        <sz val="10"/>
        <color rgb="FF000000"/>
        <rFont val="Cambria"/>
        <family val="1"/>
      </rPr>
      <t>2</t>
    </r>
  </si>
  <si>
    <r>
      <rPr>
        <b/>
        <sz val="10"/>
        <color rgb="FF000000"/>
        <rFont val="Cambria"/>
        <family val="1"/>
      </rPr>
      <t>(Ui.Ci)</t>
    </r>
    <r>
      <rPr>
        <b/>
        <vertAlign val="superscript"/>
        <sz val="10"/>
        <color rgb="FF000000"/>
        <rFont val="Cambria"/>
        <family val="1"/>
      </rPr>
      <t>4</t>
    </r>
    <r>
      <rPr>
        <b/>
        <sz val="10"/>
        <color rgb="FF000000"/>
        <rFont val="Cambria"/>
        <family val="1"/>
      </rPr>
      <t>/ vi</t>
    </r>
  </si>
  <si>
    <r>
      <rPr>
        <sz val="10"/>
        <color rgb="FF000000"/>
        <rFont val="Cambria"/>
        <family val="1"/>
      </rPr>
      <t>u(I</t>
    </r>
    <r>
      <rPr>
        <vertAlign val="subscript"/>
        <sz val="10"/>
        <color rgb="FF000000"/>
        <rFont val="Cambria"/>
        <family val="1"/>
      </rPr>
      <t>u1</t>
    </r>
    <r>
      <rPr>
        <sz val="10"/>
        <color rgb="FF000000"/>
        <rFont val="Cambria"/>
        <family val="1"/>
      </rPr>
      <t>)</t>
    </r>
  </si>
  <si>
    <r>
      <rPr>
        <sz val="10"/>
        <color rgb="FF000000"/>
        <rFont val="Cambria"/>
        <family val="1"/>
      </rPr>
      <t>u(I</t>
    </r>
    <r>
      <rPr>
        <vertAlign val="subscript"/>
        <sz val="10"/>
        <color rgb="FF000000"/>
        <rFont val="Cambria"/>
        <family val="1"/>
      </rPr>
      <t>u2</t>
    </r>
    <r>
      <rPr>
        <sz val="10"/>
        <color rgb="FF000000"/>
        <rFont val="Cambria"/>
        <family val="1"/>
      </rPr>
      <t>)</t>
    </r>
  </si>
  <si>
    <r>
      <rPr>
        <sz val="10"/>
        <color rgb="FF000000"/>
        <rFont val="Cambria"/>
        <family val="1"/>
      </rPr>
      <t>u(I</t>
    </r>
    <r>
      <rPr>
        <vertAlign val="subscript"/>
        <sz val="10"/>
        <color rgb="FF000000"/>
        <rFont val="Cambria"/>
        <family val="1"/>
      </rPr>
      <t>s</t>
    </r>
    <r>
      <rPr>
        <sz val="10"/>
        <color rgb="FF000000"/>
        <rFont val="Cambria"/>
        <family val="1"/>
      </rPr>
      <t>)</t>
    </r>
  </si>
  <si>
    <r>
      <rPr>
        <sz val="10"/>
        <color rgb="FF000000"/>
        <rFont val="Cambria"/>
        <family val="1"/>
      </rPr>
      <t>u(I</t>
    </r>
    <r>
      <rPr>
        <vertAlign val="subscript"/>
        <sz val="10"/>
        <color rgb="FF000000"/>
        <rFont val="Cambria"/>
        <family val="1"/>
      </rPr>
      <t>ds</t>
    </r>
    <r>
      <rPr>
        <sz val="10"/>
        <color rgb="FF000000"/>
        <rFont val="Cambria"/>
        <family val="1"/>
      </rPr>
      <t>)</t>
    </r>
  </si>
  <si>
    <r>
      <rPr>
        <i/>
        <sz val="10"/>
        <color rgb="FF000000"/>
        <rFont val="Cambria"/>
        <family val="1"/>
      </rPr>
      <t xml:space="preserve">Derajat Kebebasan Efektif, v </t>
    </r>
    <r>
      <rPr>
        <i/>
        <vertAlign val="subscript"/>
        <sz val="10"/>
        <color rgb="FF000000"/>
        <rFont val="Cambria"/>
        <family val="1"/>
      </rPr>
      <t>eff</t>
    </r>
  </si>
  <si>
    <r>
      <rPr>
        <i/>
        <sz val="10"/>
        <color rgb="FF000000"/>
        <rFont val="Cambria"/>
        <family val="1"/>
      </rPr>
      <t>Faktor Cakupan, k-student's for v</t>
    </r>
    <r>
      <rPr>
        <i/>
        <vertAlign val="subscript"/>
        <sz val="10"/>
        <color rgb="FF000000"/>
        <rFont val="Cambria"/>
        <family val="1"/>
      </rPr>
      <t>eff</t>
    </r>
    <r>
      <rPr>
        <i/>
        <sz val="10"/>
        <color rgb="FF000000"/>
        <rFont val="Cambria"/>
        <family val="1"/>
      </rPr>
      <t xml:space="preserve"> and CL 95 %</t>
    </r>
  </si>
  <si>
    <r>
      <rPr>
        <b/>
        <sz val="10"/>
        <color rgb="FF000000"/>
        <rFont val="Cambria"/>
        <family val="1"/>
      </rPr>
      <t>(Ui.Ci)</t>
    </r>
    <r>
      <rPr>
        <b/>
        <vertAlign val="superscript"/>
        <sz val="10"/>
        <color rgb="FF000000"/>
        <rFont val="Cambria"/>
        <family val="1"/>
      </rPr>
      <t>2</t>
    </r>
  </si>
  <si>
    <r>
      <rPr>
        <b/>
        <sz val="10"/>
        <color rgb="FF000000"/>
        <rFont val="Cambria"/>
        <family val="1"/>
      </rPr>
      <t>(Ui.Ci)</t>
    </r>
    <r>
      <rPr>
        <b/>
        <vertAlign val="superscript"/>
        <sz val="10"/>
        <color rgb="FF000000"/>
        <rFont val="Cambria"/>
        <family val="1"/>
      </rPr>
      <t>4</t>
    </r>
    <r>
      <rPr>
        <b/>
        <sz val="10"/>
        <color rgb="FF000000"/>
        <rFont val="Cambria"/>
        <family val="1"/>
      </rPr>
      <t>/ vi</t>
    </r>
  </si>
  <si>
    <r>
      <rPr>
        <sz val="10"/>
        <color rgb="FF000000"/>
        <rFont val="Cambria"/>
        <family val="1"/>
      </rPr>
      <t>u(I</t>
    </r>
    <r>
      <rPr>
        <vertAlign val="subscript"/>
        <sz val="10"/>
        <color rgb="FF000000"/>
        <rFont val="Cambria"/>
        <family val="1"/>
      </rPr>
      <t>u1</t>
    </r>
    <r>
      <rPr>
        <sz val="10"/>
        <color rgb="FF000000"/>
        <rFont val="Cambria"/>
        <family val="1"/>
      </rPr>
      <t>)</t>
    </r>
  </si>
  <si>
    <r>
      <rPr>
        <sz val="10"/>
        <color rgb="FF000000"/>
        <rFont val="Cambria"/>
        <family val="1"/>
      </rPr>
      <t>u(I</t>
    </r>
    <r>
      <rPr>
        <vertAlign val="subscript"/>
        <sz val="10"/>
        <color rgb="FF000000"/>
        <rFont val="Cambria"/>
        <family val="1"/>
      </rPr>
      <t>u2</t>
    </r>
    <r>
      <rPr>
        <sz val="10"/>
        <color rgb="FF000000"/>
        <rFont val="Cambria"/>
        <family val="1"/>
      </rPr>
      <t>)</t>
    </r>
  </si>
  <si>
    <r>
      <rPr>
        <sz val="10"/>
        <color rgb="FF000000"/>
        <rFont val="Cambria"/>
        <family val="1"/>
      </rPr>
      <t>u(I</t>
    </r>
    <r>
      <rPr>
        <vertAlign val="subscript"/>
        <sz val="10"/>
        <color rgb="FF000000"/>
        <rFont val="Cambria"/>
        <family val="1"/>
      </rPr>
      <t>s</t>
    </r>
    <r>
      <rPr>
        <sz val="10"/>
        <color rgb="FF000000"/>
        <rFont val="Cambria"/>
        <family val="1"/>
      </rPr>
      <t>)</t>
    </r>
  </si>
  <si>
    <r>
      <rPr>
        <sz val="10"/>
        <color rgb="FF000000"/>
        <rFont val="Cambria"/>
        <family val="1"/>
      </rPr>
      <t>u(I</t>
    </r>
    <r>
      <rPr>
        <vertAlign val="subscript"/>
        <sz val="10"/>
        <color rgb="FF000000"/>
        <rFont val="Cambria"/>
        <family val="1"/>
      </rPr>
      <t>ds</t>
    </r>
    <r>
      <rPr>
        <sz val="10"/>
        <color rgb="FF000000"/>
        <rFont val="Cambria"/>
        <family val="1"/>
      </rPr>
      <t>)</t>
    </r>
  </si>
  <si>
    <r>
      <rPr>
        <i/>
        <sz val="10"/>
        <color rgb="FF000000"/>
        <rFont val="Cambria"/>
        <family val="1"/>
      </rPr>
      <t xml:space="preserve">Derajat Kebebasan Efektif, v </t>
    </r>
    <r>
      <rPr>
        <i/>
        <vertAlign val="subscript"/>
        <sz val="10"/>
        <color rgb="FF000000"/>
        <rFont val="Cambria"/>
        <family val="1"/>
      </rPr>
      <t>eff</t>
    </r>
  </si>
  <si>
    <r>
      <rPr>
        <i/>
        <sz val="10"/>
        <color rgb="FF000000"/>
        <rFont val="Cambria"/>
        <family val="1"/>
      </rPr>
      <t>Faktor Cakupan, k-student's for v</t>
    </r>
    <r>
      <rPr>
        <i/>
        <vertAlign val="subscript"/>
        <sz val="10"/>
        <color rgb="FF000000"/>
        <rFont val="Cambria"/>
        <family val="1"/>
      </rPr>
      <t>eff</t>
    </r>
    <r>
      <rPr>
        <i/>
        <sz val="10"/>
        <color rgb="FF000000"/>
        <rFont val="Cambria"/>
        <family val="1"/>
      </rPr>
      <t xml:space="preserve"> and CL 95 %</t>
    </r>
  </si>
  <si>
    <r>
      <rPr>
        <b/>
        <sz val="10"/>
        <color rgb="FF000000"/>
        <rFont val="Cambria"/>
        <family val="1"/>
      </rPr>
      <t>(Ui.Ci)</t>
    </r>
    <r>
      <rPr>
        <b/>
        <vertAlign val="superscript"/>
        <sz val="10"/>
        <color rgb="FF000000"/>
        <rFont val="Cambria"/>
        <family val="1"/>
      </rPr>
      <t>2</t>
    </r>
  </si>
  <si>
    <r>
      <rPr>
        <b/>
        <sz val="10"/>
        <color rgb="FF000000"/>
        <rFont val="Cambria"/>
        <family val="1"/>
      </rPr>
      <t>(Ui.Ci)</t>
    </r>
    <r>
      <rPr>
        <b/>
        <vertAlign val="superscript"/>
        <sz val="10"/>
        <color rgb="FF000000"/>
        <rFont val="Cambria"/>
        <family val="1"/>
      </rPr>
      <t>4</t>
    </r>
    <r>
      <rPr>
        <b/>
        <sz val="10"/>
        <color rgb="FF000000"/>
        <rFont val="Cambria"/>
        <family val="1"/>
      </rPr>
      <t>/ vi</t>
    </r>
  </si>
  <si>
    <r>
      <rPr>
        <sz val="10"/>
        <color rgb="FF000000"/>
        <rFont val="Cambria"/>
        <family val="1"/>
      </rPr>
      <t>u(I</t>
    </r>
    <r>
      <rPr>
        <vertAlign val="subscript"/>
        <sz val="10"/>
        <color rgb="FF000000"/>
        <rFont val="Cambria"/>
        <family val="1"/>
      </rPr>
      <t>u1</t>
    </r>
    <r>
      <rPr>
        <sz val="10"/>
        <color rgb="FF000000"/>
        <rFont val="Cambria"/>
        <family val="1"/>
      </rPr>
      <t>)</t>
    </r>
  </si>
  <si>
    <r>
      <rPr>
        <sz val="10"/>
        <color rgb="FF000000"/>
        <rFont val="Cambria"/>
        <family val="1"/>
      </rPr>
      <t>u(I</t>
    </r>
    <r>
      <rPr>
        <vertAlign val="subscript"/>
        <sz val="10"/>
        <color rgb="FF000000"/>
        <rFont val="Cambria"/>
        <family val="1"/>
      </rPr>
      <t>u2</t>
    </r>
    <r>
      <rPr>
        <sz val="10"/>
        <color rgb="FF000000"/>
        <rFont val="Cambria"/>
        <family val="1"/>
      </rPr>
      <t>)</t>
    </r>
  </si>
  <si>
    <r>
      <rPr>
        <sz val="10"/>
        <color rgb="FF000000"/>
        <rFont val="Cambria"/>
        <family val="1"/>
      </rPr>
      <t>u(I</t>
    </r>
    <r>
      <rPr>
        <vertAlign val="subscript"/>
        <sz val="10"/>
        <color rgb="FF000000"/>
        <rFont val="Cambria"/>
        <family val="1"/>
      </rPr>
      <t>s</t>
    </r>
    <r>
      <rPr>
        <sz val="10"/>
        <color rgb="FF000000"/>
        <rFont val="Cambria"/>
        <family val="1"/>
      </rPr>
      <t>)</t>
    </r>
  </si>
  <si>
    <r>
      <rPr>
        <sz val="10"/>
        <color rgb="FF000000"/>
        <rFont val="Cambria"/>
        <family val="1"/>
      </rPr>
      <t>u(I</t>
    </r>
    <r>
      <rPr>
        <vertAlign val="subscript"/>
        <sz val="10"/>
        <color rgb="FF000000"/>
        <rFont val="Cambria"/>
        <family val="1"/>
      </rPr>
      <t>ds</t>
    </r>
    <r>
      <rPr>
        <sz val="10"/>
        <color rgb="FF000000"/>
        <rFont val="Cambria"/>
        <family val="1"/>
      </rPr>
      <t>)</t>
    </r>
  </si>
  <si>
    <r>
      <rPr>
        <i/>
        <sz val="10"/>
        <color rgb="FF000000"/>
        <rFont val="Cambria"/>
        <family val="1"/>
      </rPr>
      <t xml:space="preserve">Derajat Kebebasan Efektif, v </t>
    </r>
    <r>
      <rPr>
        <i/>
        <vertAlign val="subscript"/>
        <sz val="10"/>
        <color rgb="FF000000"/>
        <rFont val="Cambria"/>
        <family val="1"/>
      </rPr>
      <t>eff</t>
    </r>
  </si>
  <si>
    <r>
      <rPr>
        <i/>
        <sz val="10"/>
        <color rgb="FF000000"/>
        <rFont val="Cambria"/>
        <family val="1"/>
      </rPr>
      <t>Faktor Cakupan, k-student's for v</t>
    </r>
    <r>
      <rPr>
        <i/>
        <vertAlign val="subscript"/>
        <sz val="10"/>
        <color rgb="FF000000"/>
        <rFont val="Cambria"/>
        <family val="1"/>
      </rPr>
      <t>eff</t>
    </r>
    <r>
      <rPr>
        <i/>
        <sz val="10"/>
        <color rgb="FF000000"/>
        <rFont val="Cambria"/>
        <family val="1"/>
      </rPr>
      <t xml:space="preserve"> and CL 95 %</t>
    </r>
  </si>
  <si>
    <r>
      <rPr>
        <b/>
        <sz val="10"/>
        <color rgb="FF000000"/>
        <rFont val="Cambria"/>
        <family val="1"/>
      </rPr>
      <t>(Ui.Ci)</t>
    </r>
    <r>
      <rPr>
        <b/>
        <vertAlign val="superscript"/>
        <sz val="10"/>
        <color rgb="FF000000"/>
        <rFont val="Cambria"/>
        <family val="1"/>
      </rPr>
      <t>2</t>
    </r>
  </si>
  <si>
    <r>
      <rPr>
        <b/>
        <sz val="10"/>
        <color rgb="FF000000"/>
        <rFont val="Cambria"/>
        <family val="1"/>
      </rPr>
      <t>(Ui.Ci)</t>
    </r>
    <r>
      <rPr>
        <b/>
        <vertAlign val="superscript"/>
        <sz val="10"/>
        <color rgb="FF000000"/>
        <rFont val="Cambria"/>
        <family val="1"/>
      </rPr>
      <t>4</t>
    </r>
    <r>
      <rPr>
        <b/>
        <sz val="10"/>
        <color rgb="FF000000"/>
        <rFont val="Cambria"/>
        <family val="1"/>
      </rPr>
      <t>/ vi</t>
    </r>
  </si>
  <si>
    <r>
      <rPr>
        <sz val="10"/>
        <color rgb="FF000000"/>
        <rFont val="Cambria"/>
        <family val="1"/>
      </rPr>
      <t>u(I</t>
    </r>
    <r>
      <rPr>
        <vertAlign val="subscript"/>
        <sz val="10"/>
        <color rgb="FF000000"/>
        <rFont val="Cambria"/>
        <family val="1"/>
      </rPr>
      <t>u1</t>
    </r>
    <r>
      <rPr>
        <sz val="10"/>
        <color rgb="FF000000"/>
        <rFont val="Cambria"/>
        <family val="1"/>
      </rPr>
      <t>)</t>
    </r>
  </si>
  <si>
    <r>
      <rPr>
        <sz val="10"/>
        <color rgb="FF000000"/>
        <rFont val="Cambria"/>
        <family val="1"/>
      </rPr>
      <t>u(I</t>
    </r>
    <r>
      <rPr>
        <vertAlign val="subscript"/>
        <sz val="10"/>
        <color rgb="FF000000"/>
        <rFont val="Cambria"/>
        <family val="1"/>
      </rPr>
      <t>u2</t>
    </r>
    <r>
      <rPr>
        <sz val="10"/>
        <color rgb="FF000000"/>
        <rFont val="Cambria"/>
        <family val="1"/>
      </rPr>
      <t>)</t>
    </r>
  </si>
  <si>
    <r>
      <rPr>
        <sz val="10"/>
        <color rgb="FF000000"/>
        <rFont val="Cambria"/>
        <family val="1"/>
      </rPr>
      <t>u(I</t>
    </r>
    <r>
      <rPr>
        <vertAlign val="subscript"/>
        <sz val="10"/>
        <color rgb="FF000000"/>
        <rFont val="Cambria"/>
        <family val="1"/>
      </rPr>
      <t>s</t>
    </r>
    <r>
      <rPr>
        <sz val="10"/>
        <color rgb="FF000000"/>
        <rFont val="Cambria"/>
        <family val="1"/>
      </rPr>
      <t>)</t>
    </r>
  </si>
  <si>
    <r>
      <rPr>
        <sz val="10"/>
        <color rgb="FF000000"/>
        <rFont val="Cambria"/>
        <family val="1"/>
      </rPr>
      <t>u(I</t>
    </r>
    <r>
      <rPr>
        <vertAlign val="subscript"/>
        <sz val="10"/>
        <color rgb="FF000000"/>
        <rFont val="Cambria"/>
        <family val="1"/>
      </rPr>
      <t>ds</t>
    </r>
    <r>
      <rPr>
        <sz val="10"/>
        <color rgb="FF000000"/>
        <rFont val="Cambria"/>
        <family val="1"/>
      </rPr>
      <t>)</t>
    </r>
  </si>
  <si>
    <r>
      <rPr>
        <i/>
        <sz val="10"/>
        <color rgb="FF000000"/>
        <rFont val="Cambria"/>
        <family val="1"/>
      </rPr>
      <t xml:space="preserve">Derajat Kebebasan Efektif, v </t>
    </r>
    <r>
      <rPr>
        <i/>
        <vertAlign val="subscript"/>
        <sz val="10"/>
        <color rgb="FF000000"/>
        <rFont val="Cambria"/>
        <family val="1"/>
      </rPr>
      <t>eff</t>
    </r>
  </si>
  <si>
    <r>
      <rPr>
        <i/>
        <sz val="10"/>
        <color rgb="FF000000"/>
        <rFont val="Cambria"/>
        <family val="1"/>
      </rPr>
      <t>Faktor Cakupan, k-student's for v</t>
    </r>
    <r>
      <rPr>
        <i/>
        <vertAlign val="subscript"/>
        <sz val="10"/>
        <color rgb="FF000000"/>
        <rFont val="Cambria"/>
        <family val="1"/>
      </rPr>
      <t>eff</t>
    </r>
    <r>
      <rPr>
        <i/>
        <sz val="10"/>
        <color rgb="FF000000"/>
        <rFont val="Cambria"/>
        <family val="1"/>
      </rPr>
      <t xml:space="preserve"> and CL 95 %</t>
    </r>
  </si>
  <si>
    <r>
      <rPr>
        <b/>
        <sz val="10"/>
        <color rgb="FF000000"/>
        <rFont val="Cambria"/>
        <family val="1"/>
      </rPr>
      <t>(Ui.Ci)</t>
    </r>
    <r>
      <rPr>
        <b/>
        <vertAlign val="superscript"/>
        <sz val="10"/>
        <color rgb="FF000000"/>
        <rFont val="Cambria"/>
        <family val="1"/>
      </rPr>
      <t>2</t>
    </r>
  </si>
  <si>
    <r>
      <rPr>
        <b/>
        <sz val="10"/>
        <color rgb="FF000000"/>
        <rFont val="Cambria"/>
        <family val="1"/>
      </rPr>
      <t>(Ui.Ci)</t>
    </r>
    <r>
      <rPr>
        <b/>
        <vertAlign val="superscript"/>
        <sz val="10"/>
        <color rgb="FF000000"/>
        <rFont val="Cambria"/>
        <family val="1"/>
      </rPr>
      <t>4</t>
    </r>
    <r>
      <rPr>
        <b/>
        <sz val="10"/>
        <color rgb="FF000000"/>
        <rFont val="Cambria"/>
        <family val="1"/>
      </rPr>
      <t>/ vi</t>
    </r>
  </si>
  <si>
    <r>
      <rPr>
        <sz val="10"/>
        <color rgb="FF000000"/>
        <rFont val="Cambria"/>
        <family val="1"/>
      </rPr>
      <t>u(I</t>
    </r>
    <r>
      <rPr>
        <vertAlign val="subscript"/>
        <sz val="10"/>
        <color rgb="FF000000"/>
        <rFont val="Cambria"/>
        <family val="1"/>
      </rPr>
      <t>u1</t>
    </r>
    <r>
      <rPr>
        <sz val="10"/>
        <color rgb="FF000000"/>
        <rFont val="Cambria"/>
        <family val="1"/>
      </rPr>
      <t>)</t>
    </r>
  </si>
  <si>
    <r>
      <rPr>
        <sz val="10"/>
        <color rgb="FF000000"/>
        <rFont val="Cambria"/>
        <family val="1"/>
      </rPr>
      <t>u(I</t>
    </r>
    <r>
      <rPr>
        <vertAlign val="subscript"/>
        <sz val="10"/>
        <color rgb="FF000000"/>
        <rFont val="Cambria"/>
        <family val="1"/>
      </rPr>
      <t>u2</t>
    </r>
    <r>
      <rPr>
        <sz val="10"/>
        <color rgb="FF000000"/>
        <rFont val="Cambria"/>
        <family val="1"/>
      </rPr>
      <t>)</t>
    </r>
  </si>
  <si>
    <r>
      <rPr>
        <sz val="10"/>
        <color rgb="FF000000"/>
        <rFont val="Cambria"/>
        <family val="1"/>
      </rPr>
      <t>u(I</t>
    </r>
    <r>
      <rPr>
        <vertAlign val="subscript"/>
        <sz val="10"/>
        <color rgb="FF000000"/>
        <rFont val="Cambria"/>
        <family val="1"/>
      </rPr>
      <t>s</t>
    </r>
    <r>
      <rPr>
        <sz val="10"/>
        <color rgb="FF000000"/>
        <rFont val="Cambria"/>
        <family val="1"/>
      </rPr>
      <t>)</t>
    </r>
  </si>
  <si>
    <r>
      <rPr>
        <sz val="10"/>
        <color rgb="FF000000"/>
        <rFont val="Cambria"/>
        <family val="1"/>
      </rPr>
      <t>u(I</t>
    </r>
    <r>
      <rPr>
        <vertAlign val="subscript"/>
        <sz val="10"/>
        <color rgb="FF000000"/>
        <rFont val="Cambria"/>
        <family val="1"/>
      </rPr>
      <t>ds</t>
    </r>
    <r>
      <rPr>
        <sz val="10"/>
        <color rgb="FF000000"/>
        <rFont val="Cambria"/>
        <family val="1"/>
      </rPr>
      <t>)</t>
    </r>
  </si>
  <si>
    <r>
      <rPr>
        <i/>
        <sz val="10"/>
        <color rgb="FF000000"/>
        <rFont val="Cambria"/>
        <family val="1"/>
      </rPr>
      <t xml:space="preserve">Derajat Kebebasan Efektif, v </t>
    </r>
    <r>
      <rPr>
        <i/>
        <vertAlign val="subscript"/>
        <sz val="10"/>
        <color rgb="FF000000"/>
        <rFont val="Cambria"/>
        <family val="1"/>
      </rPr>
      <t>eff</t>
    </r>
  </si>
  <si>
    <r>
      <rPr>
        <i/>
        <sz val="10"/>
        <color rgb="FF000000"/>
        <rFont val="Cambria"/>
        <family val="1"/>
      </rPr>
      <t>Faktor Cakupan, k-student's for v</t>
    </r>
    <r>
      <rPr>
        <i/>
        <vertAlign val="subscript"/>
        <sz val="10"/>
        <color rgb="FF000000"/>
        <rFont val="Cambria"/>
        <family val="1"/>
      </rPr>
      <t>eff</t>
    </r>
    <r>
      <rPr>
        <i/>
        <sz val="10"/>
        <color rgb="FF000000"/>
        <rFont val="Cambria"/>
        <family val="1"/>
      </rPr>
      <t xml:space="preserve"> and CL 95 %</t>
    </r>
  </si>
  <si>
    <r>
      <rPr>
        <sz val="10"/>
        <color rgb="FF000000"/>
        <rFont val="Cambria"/>
        <family val="1"/>
      </rPr>
      <t>∆R = R</t>
    </r>
    <r>
      <rPr>
        <vertAlign val="subscript"/>
        <sz val="10"/>
        <color rgb="FF000000"/>
        <rFont val="Cambria"/>
        <family val="1"/>
      </rPr>
      <t xml:space="preserve">s </t>
    </r>
    <r>
      <rPr>
        <sz val="10"/>
        <color rgb="FF000000"/>
        <rFont val="Cambria"/>
        <family val="1"/>
      </rPr>
      <t>- R</t>
    </r>
    <r>
      <rPr>
        <vertAlign val="subscript"/>
        <sz val="10"/>
        <color rgb="FF000000"/>
        <rFont val="Cambria"/>
        <family val="1"/>
      </rPr>
      <t>UUT</t>
    </r>
  </si>
  <si>
    <r>
      <rPr>
        <sz val="10"/>
        <color rgb="FF000000"/>
        <rFont val="Cambria"/>
        <family val="1"/>
      </rPr>
      <t>∆R = R</t>
    </r>
    <r>
      <rPr>
        <vertAlign val="subscript"/>
        <sz val="10"/>
        <color rgb="FF000000"/>
        <rFont val="Cambria"/>
        <family val="1"/>
      </rPr>
      <t xml:space="preserve">s </t>
    </r>
    <r>
      <rPr>
        <sz val="10"/>
        <color rgb="FF000000"/>
        <rFont val="Cambria"/>
        <family val="1"/>
      </rPr>
      <t>+ δR</t>
    </r>
    <r>
      <rPr>
        <vertAlign val="subscript"/>
        <sz val="10"/>
        <color rgb="FF000000"/>
        <rFont val="Cambria"/>
        <family val="1"/>
      </rPr>
      <t>s</t>
    </r>
    <r>
      <rPr>
        <sz val="10"/>
        <color rgb="FF000000"/>
        <rFont val="Cambria"/>
        <family val="1"/>
      </rPr>
      <t xml:space="preserve"> - R</t>
    </r>
    <r>
      <rPr>
        <vertAlign val="subscript"/>
        <sz val="10"/>
        <color rgb="FF000000"/>
        <rFont val="Cambria"/>
        <family val="1"/>
      </rPr>
      <t>UUT</t>
    </r>
  </si>
  <si>
    <t>∆R</t>
  </si>
  <si>
    <t>: koreksi tahanan UUT</t>
  </si>
  <si>
    <r>
      <rPr>
        <sz val="10"/>
        <color rgb="FF000000"/>
        <rFont val="Cambria"/>
        <family val="1"/>
      </rPr>
      <t>R</t>
    </r>
    <r>
      <rPr>
        <vertAlign val="subscript"/>
        <sz val="10"/>
        <color rgb="FF000000"/>
        <rFont val="Cambria"/>
        <family val="1"/>
      </rPr>
      <t>s</t>
    </r>
  </si>
  <si>
    <t>: tahanan standar</t>
  </si>
  <si>
    <r>
      <rPr>
        <sz val="10"/>
        <color rgb="FF000000"/>
        <rFont val="Cambria"/>
        <family val="1"/>
      </rPr>
      <t>δR</t>
    </r>
    <r>
      <rPr>
        <vertAlign val="subscript"/>
        <sz val="10"/>
        <color rgb="FF000000"/>
        <rFont val="Cambria"/>
        <family val="1"/>
      </rPr>
      <t>s</t>
    </r>
  </si>
  <si>
    <t>: koreksi tahanan standar</t>
  </si>
  <si>
    <r>
      <rPr>
        <sz val="10"/>
        <color rgb="FF000000"/>
        <rFont val="Cambria"/>
        <family val="1"/>
      </rPr>
      <t>R</t>
    </r>
    <r>
      <rPr>
        <vertAlign val="subscript"/>
        <sz val="10"/>
        <color rgb="FF000000"/>
        <rFont val="Cambria"/>
        <family val="1"/>
      </rPr>
      <t>UUT</t>
    </r>
  </si>
  <si>
    <t>: tahanan UUT</t>
  </si>
  <si>
    <t>Resistance-Measure</t>
  </si>
  <si>
    <t>Tpe</t>
  </si>
  <si>
    <r>
      <rPr>
        <b/>
        <sz val="10"/>
        <color rgb="FF000000"/>
        <rFont val="Cambria"/>
        <family val="1"/>
      </rPr>
      <t>(Ui.Ci)</t>
    </r>
    <r>
      <rPr>
        <b/>
        <vertAlign val="superscript"/>
        <sz val="10"/>
        <color rgb="FF000000"/>
        <rFont val="Cambria"/>
        <family val="1"/>
      </rPr>
      <t>2</t>
    </r>
  </si>
  <si>
    <r>
      <rPr>
        <b/>
        <sz val="10"/>
        <color rgb="FF000000"/>
        <rFont val="Cambria"/>
        <family val="1"/>
      </rPr>
      <t>(Ui.Ci)</t>
    </r>
    <r>
      <rPr>
        <b/>
        <vertAlign val="superscript"/>
        <sz val="10"/>
        <color rgb="FF000000"/>
        <rFont val="Cambria"/>
        <family val="1"/>
      </rPr>
      <t>4</t>
    </r>
    <r>
      <rPr>
        <b/>
        <sz val="10"/>
        <color rgb="FF000000"/>
        <rFont val="Cambria"/>
        <family val="1"/>
      </rPr>
      <t>/ vi</t>
    </r>
  </si>
  <si>
    <r>
      <rPr>
        <i/>
        <sz val="10"/>
        <color rgb="FF000000"/>
        <rFont val="Cambria"/>
        <family val="1"/>
      </rPr>
      <t>u(R</t>
    </r>
    <r>
      <rPr>
        <i/>
        <vertAlign val="subscript"/>
        <sz val="10"/>
        <color rgb="FF000000"/>
        <rFont val="Cambria"/>
        <family val="1"/>
      </rPr>
      <t>u1</t>
    </r>
    <r>
      <rPr>
        <i/>
        <sz val="10"/>
        <color rgb="FF000000"/>
        <rFont val="Cambria"/>
        <family val="1"/>
      </rPr>
      <t>)</t>
    </r>
  </si>
  <si>
    <r>
      <rPr>
        <i/>
        <sz val="10"/>
        <color rgb="FF000000"/>
        <rFont val="Cambria"/>
        <family val="1"/>
      </rPr>
      <t>u(R</t>
    </r>
    <r>
      <rPr>
        <i/>
        <vertAlign val="subscript"/>
        <sz val="10"/>
        <color rgb="FF000000"/>
        <rFont val="Cambria"/>
        <family val="1"/>
      </rPr>
      <t>u2</t>
    </r>
    <r>
      <rPr>
        <i/>
        <sz val="10"/>
        <color rgb="FF000000"/>
        <rFont val="Cambria"/>
        <family val="1"/>
      </rPr>
      <t>)</t>
    </r>
  </si>
  <si>
    <r>
      <rPr>
        <i/>
        <sz val="10"/>
        <color rgb="FF000000"/>
        <rFont val="Cambria"/>
        <family val="1"/>
      </rPr>
      <t>u(R</t>
    </r>
    <r>
      <rPr>
        <i/>
        <vertAlign val="subscript"/>
        <sz val="10"/>
        <color rgb="FF000000"/>
        <rFont val="Cambria"/>
        <family val="1"/>
      </rPr>
      <t>s</t>
    </r>
    <r>
      <rPr>
        <i/>
        <sz val="10"/>
        <color rgb="FF000000"/>
        <rFont val="Cambria"/>
        <family val="1"/>
      </rPr>
      <t>)</t>
    </r>
  </si>
  <si>
    <r>
      <rPr>
        <i/>
        <sz val="10"/>
        <color rgb="FF000000"/>
        <rFont val="Cambria"/>
        <family val="1"/>
      </rPr>
      <t>u(R</t>
    </r>
    <r>
      <rPr>
        <i/>
        <vertAlign val="subscript"/>
        <sz val="10"/>
        <color rgb="FF000000"/>
        <rFont val="Cambria"/>
        <family val="1"/>
      </rPr>
      <t>d</t>
    </r>
    <r>
      <rPr>
        <i/>
        <sz val="10"/>
        <color rgb="FF000000"/>
        <rFont val="Cambria"/>
        <family val="1"/>
      </rPr>
      <t>)</t>
    </r>
  </si>
  <si>
    <r>
      <rPr>
        <i/>
        <sz val="10"/>
        <color rgb="FF000000"/>
        <rFont val="Cambria"/>
        <family val="1"/>
      </rPr>
      <t xml:space="preserve">Derajat Kebebasan Efektif, v </t>
    </r>
    <r>
      <rPr>
        <i/>
        <vertAlign val="subscript"/>
        <sz val="10"/>
        <color rgb="FF000000"/>
        <rFont val="Cambria"/>
        <family val="1"/>
      </rPr>
      <t>eff</t>
    </r>
  </si>
  <si>
    <r>
      <rPr>
        <i/>
        <sz val="10"/>
        <color rgb="FF000000"/>
        <rFont val="Cambria"/>
        <family val="1"/>
      </rPr>
      <t>Faktor Cakupan, k-student's for v</t>
    </r>
    <r>
      <rPr>
        <i/>
        <vertAlign val="subscript"/>
        <sz val="10"/>
        <color rgb="FF000000"/>
        <rFont val="Cambria"/>
        <family val="1"/>
      </rPr>
      <t>eff</t>
    </r>
    <r>
      <rPr>
        <i/>
        <sz val="10"/>
        <color rgb="FF000000"/>
        <rFont val="Cambria"/>
        <family val="1"/>
      </rPr>
      <t xml:space="preserve"> and CL 95 %</t>
    </r>
  </si>
  <si>
    <r>
      <rPr>
        <b/>
        <sz val="10"/>
        <color rgb="FF000000"/>
        <rFont val="Cambria"/>
        <family val="1"/>
      </rPr>
      <t>(Ui.Ci)</t>
    </r>
    <r>
      <rPr>
        <b/>
        <vertAlign val="superscript"/>
        <sz val="10"/>
        <color rgb="FF000000"/>
        <rFont val="Cambria"/>
        <family val="1"/>
      </rPr>
      <t>2</t>
    </r>
  </si>
  <si>
    <r>
      <rPr>
        <b/>
        <sz val="10"/>
        <color rgb="FF000000"/>
        <rFont val="Cambria"/>
        <family val="1"/>
      </rPr>
      <t>(Ui.Ci)</t>
    </r>
    <r>
      <rPr>
        <b/>
        <vertAlign val="superscript"/>
        <sz val="10"/>
        <color rgb="FF000000"/>
        <rFont val="Cambria"/>
        <family val="1"/>
      </rPr>
      <t>4</t>
    </r>
    <r>
      <rPr>
        <b/>
        <sz val="10"/>
        <color rgb="FF000000"/>
        <rFont val="Cambria"/>
        <family val="1"/>
      </rPr>
      <t>/ vi</t>
    </r>
  </si>
  <si>
    <r>
      <rPr>
        <i/>
        <sz val="10"/>
        <color rgb="FF000000"/>
        <rFont val="Cambria"/>
        <family val="1"/>
      </rPr>
      <t>u(R</t>
    </r>
    <r>
      <rPr>
        <i/>
        <vertAlign val="subscript"/>
        <sz val="10"/>
        <color rgb="FF000000"/>
        <rFont val="Cambria"/>
        <family val="1"/>
      </rPr>
      <t>u1</t>
    </r>
    <r>
      <rPr>
        <i/>
        <sz val="10"/>
        <color rgb="FF000000"/>
        <rFont val="Cambria"/>
        <family val="1"/>
      </rPr>
      <t>)</t>
    </r>
  </si>
  <si>
    <r>
      <rPr>
        <i/>
        <sz val="10"/>
        <color rgb="FF000000"/>
        <rFont val="Cambria"/>
        <family val="1"/>
      </rPr>
      <t>u(R</t>
    </r>
    <r>
      <rPr>
        <i/>
        <vertAlign val="subscript"/>
        <sz val="10"/>
        <color rgb="FF000000"/>
        <rFont val="Cambria"/>
        <family val="1"/>
      </rPr>
      <t>u2</t>
    </r>
    <r>
      <rPr>
        <i/>
        <sz val="10"/>
        <color rgb="FF000000"/>
        <rFont val="Cambria"/>
        <family val="1"/>
      </rPr>
      <t>)</t>
    </r>
  </si>
  <si>
    <r>
      <rPr>
        <i/>
        <sz val="10"/>
        <color rgb="FF000000"/>
        <rFont val="Cambria"/>
        <family val="1"/>
      </rPr>
      <t>u(R</t>
    </r>
    <r>
      <rPr>
        <i/>
        <vertAlign val="subscript"/>
        <sz val="10"/>
        <color rgb="FF000000"/>
        <rFont val="Cambria"/>
        <family val="1"/>
      </rPr>
      <t>s</t>
    </r>
    <r>
      <rPr>
        <i/>
        <sz val="10"/>
        <color rgb="FF000000"/>
        <rFont val="Cambria"/>
        <family val="1"/>
      </rPr>
      <t>)</t>
    </r>
  </si>
  <si>
    <r>
      <rPr>
        <i/>
        <sz val="10"/>
        <color rgb="FF000000"/>
        <rFont val="Cambria"/>
        <family val="1"/>
      </rPr>
      <t>u(R</t>
    </r>
    <r>
      <rPr>
        <i/>
        <vertAlign val="subscript"/>
        <sz val="10"/>
        <color rgb="FF000000"/>
        <rFont val="Cambria"/>
        <family val="1"/>
      </rPr>
      <t>d</t>
    </r>
    <r>
      <rPr>
        <i/>
        <sz val="10"/>
        <color rgb="FF000000"/>
        <rFont val="Cambria"/>
        <family val="1"/>
      </rPr>
      <t>)</t>
    </r>
  </si>
  <si>
    <r>
      <rPr>
        <i/>
        <sz val="10"/>
        <color rgb="FF000000"/>
        <rFont val="Cambria"/>
        <family val="1"/>
      </rPr>
      <t xml:space="preserve">Derajat Kebebasan Efektif, v </t>
    </r>
    <r>
      <rPr>
        <i/>
        <vertAlign val="subscript"/>
        <sz val="10"/>
        <color rgb="FF000000"/>
        <rFont val="Cambria"/>
        <family val="1"/>
      </rPr>
      <t>eff</t>
    </r>
  </si>
  <si>
    <r>
      <rPr>
        <i/>
        <sz val="10"/>
        <color rgb="FF000000"/>
        <rFont val="Cambria"/>
        <family val="1"/>
      </rPr>
      <t>Faktor Cakupan, k-student's for v</t>
    </r>
    <r>
      <rPr>
        <i/>
        <vertAlign val="subscript"/>
        <sz val="10"/>
        <color rgb="FF000000"/>
        <rFont val="Cambria"/>
        <family val="1"/>
      </rPr>
      <t>eff</t>
    </r>
    <r>
      <rPr>
        <i/>
        <sz val="10"/>
        <color rgb="FF000000"/>
        <rFont val="Cambria"/>
        <family val="1"/>
      </rPr>
      <t xml:space="preserve"> and CL 95 %</t>
    </r>
  </si>
  <si>
    <r>
      <rPr>
        <b/>
        <sz val="10"/>
        <color rgb="FF000000"/>
        <rFont val="Cambria"/>
        <family val="1"/>
      </rPr>
      <t>(Ui.Ci)</t>
    </r>
    <r>
      <rPr>
        <b/>
        <vertAlign val="superscript"/>
        <sz val="10"/>
        <color rgb="FF000000"/>
        <rFont val="Cambria"/>
        <family val="1"/>
      </rPr>
      <t>2</t>
    </r>
  </si>
  <si>
    <r>
      <rPr>
        <b/>
        <sz val="10"/>
        <color rgb="FF000000"/>
        <rFont val="Cambria"/>
        <family val="1"/>
      </rPr>
      <t>(Ui.Ci)</t>
    </r>
    <r>
      <rPr>
        <b/>
        <vertAlign val="superscript"/>
        <sz val="10"/>
        <color rgb="FF000000"/>
        <rFont val="Cambria"/>
        <family val="1"/>
      </rPr>
      <t>4</t>
    </r>
    <r>
      <rPr>
        <b/>
        <sz val="10"/>
        <color rgb="FF000000"/>
        <rFont val="Cambria"/>
        <family val="1"/>
      </rPr>
      <t>/ vi</t>
    </r>
  </si>
  <si>
    <r>
      <rPr>
        <i/>
        <sz val="10"/>
        <color rgb="FF000000"/>
        <rFont val="Cambria"/>
        <family val="1"/>
      </rPr>
      <t>u(R</t>
    </r>
    <r>
      <rPr>
        <i/>
        <vertAlign val="subscript"/>
        <sz val="10"/>
        <color rgb="FF000000"/>
        <rFont val="Cambria"/>
        <family val="1"/>
      </rPr>
      <t>u1</t>
    </r>
    <r>
      <rPr>
        <i/>
        <sz val="10"/>
        <color rgb="FF000000"/>
        <rFont val="Cambria"/>
        <family val="1"/>
      </rPr>
      <t>)</t>
    </r>
  </si>
  <si>
    <r>
      <rPr>
        <i/>
        <sz val="10"/>
        <color rgb="FF000000"/>
        <rFont val="Cambria"/>
        <family val="1"/>
      </rPr>
      <t>u(R</t>
    </r>
    <r>
      <rPr>
        <i/>
        <vertAlign val="subscript"/>
        <sz val="10"/>
        <color rgb="FF000000"/>
        <rFont val="Cambria"/>
        <family val="1"/>
      </rPr>
      <t>u2</t>
    </r>
    <r>
      <rPr>
        <i/>
        <sz val="10"/>
        <color rgb="FF000000"/>
        <rFont val="Cambria"/>
        <family val="1"/>
      </rPr>
      <t>)</t>
    </r>
  </si>
  <si>
    <r>
      <rPr>
        <i/>
        <sz val="10"/>
        <color rgb="FF000000"/>
        <rFont val="Cambria"/>
        <family val="1"/>
      </rPr>
      <t>u(R</t>
    </r>
    <r>
      <rPr>
        <i/>
        <vertAlign val="subscript"/>
        <sz val="10"/>
        <color rgb="FF000000"/>
        <rFont val="Cambria"/>
        <family val="1"/>
      </rPr>
      <t>s</t>
    </r>
    <r>
      <rPr>
        <i/>
        <sz val="10"/>
        <color rgb="FF000000"/>
        <rFont val="Cambria"/>
        <family val="1"/>
      </rPr>
      <t>)</t>
    </r>
  </si>
  <si>
    <r>
      <rPr>
        <i/>
        <sz val="10"/>
        <color rgb="FF000000"/>
        <rFont val="Cambria"/>
        <family val="1"/>
      </rPr>
      <t>u(R</t>
    </r>
    <r>
      <rPr>
        <i/>
        <vertAlign val="subscript"/>
        <sz val="10"/>
        <color rgb="FF000000"/>
        <rFont val="Cambria"/>
        <family val="1"/>
      </rPr>
      <t>d</t>
    </r>
    <r>
      <rPr>
        <i/>
        <sz val="10"/>
        <color rgb="FF000000"/>
        <rFont val="Cambria"/>
        <family val="1"/>
      </rPr>
      <t>)</t>
    </r>
  </si>
  <si>
    <r>
      <rPr>
        <i/>
        <sz val="10"/>
        <color rgb="FF000000"/>
        <rFont val="Cambria"/>
        <family val="1"/>
      </rPr>
      <t xml:space="preserve">Derajat Kebebasan Efektif, v </t>
    </r>
    <r>
      <rPr>
        <i/>
        <vertAlign val="subscript"/>
        <sz val="10"/>
        <color rgb="FF000000"/>
        <rFont val="Cambria"/>
        <family val="1"/>
      </rPr>
      <t>eff</t>
    </r>
  </si>
  <si>
    <r>
      <rPr>
        <i/>
        <sz val="10"/>
        <color rgb="FF000000"/>
        <rFont val="Cambria"/>
        <family val="1"/>
      </rPr>
      <t>Faktor Cakupan, k-student's for v</t>
    </r>
    <r>
      <rPr>
        <i/>
        <vertAlign val="subscript"/>
        <sz val="10"/>
        <color rgb="FF000000"/>
        <rFont val="Cambria"/>
        <family val="1"/>
      </rPr>
      <t>eff</t>
    </r>
    <r>
      <rPr>
        <i/>
        <sz val="10"/>
        <color rgb="FF000000"/>
        <rFont val="Cambria"/>
        <family val="1"/>
      </rPr>
      <t xml:space="preserve"> and CL 95 %</t>
    </r>
  </si>
  <si>
    <r>
      <rPr>
        <b/>
        <sz val="10"/>
        <color rgb="FF000000"/>
        <rFont val="Cambria"/>
        <family val="1"/>
      </rPr>
      <t>(Ui.Ci)</t>
    </r>
    <r>
      <rPr>
        <b/>
        <vertAlign val="superscript"/>
        <sz val="10"/>
        <color rgb="FF000000"/>
        <rFont val="Cambria"/>
        <family val="1"/>
      </rPr>
      <t>2</t>
    </r>
  </si>
  <si>
    <r>
      <rPr>
        <b/>
        <sz val="10"/>
        <color rgb="FF000000"/>
        <rFont val="Cambria"/>
        <family val="1"/>
      </rPr>
      <t>(Ui.Ci)</t>
    </r>
    <r>
      <rPr>
        <b/>
        <vertAlign val="superscript"/>
        <sz val="10"/>
        <color rgb="FF000000"/>
        <rFont val="Cambria"/>
        <family val="1"/>
      </rPr>
      <t>4</t>
    </r>
    <r>
      <rPr>
        <b/>
        <sz val="10"/>
        <color rgb="FF000000"/>
        <rFont val="Cambria"/>
        <family val="1"/>
      </rPr>
      <t>/ vi</t>
    </r>
  </si>
  <si>
    <r>
      <rPr>
        <i/>
        <sz val="10"/>
        <color rgb="FF000000"/>
        <rFont val="Cambria"/>
        <family val="1"/>
      </rPr>
      <t>u(R</t>
    </r>
    <r>
      <rPr>
        <i/>
        <vertAlign val="subscript"/>
        <sz val="10"/>
        <color rgb="FF000000"/>
        <rFont val="Cambria"/>
        <family val="1"/>
      </rPr>
      <t>u1</t>
    </r>
    <r>
      <rPr>
        <i/>
        <sz val="10"/>
        <color rgb="FF000000"/>
        <rFont val="Cambria"/>
        <family val="1"/>
      </rPr>
      <t>)</t>
    </r>
  </si>
  <si>
    <r>
      <rPr>
        <i/>
        <sz val="10"/>
        <color rgb="FF000000"/>
        <rFont val="Cambria"/>
        <family val="1"/>
      </rPr>
      <t>u(R</t>
    </r>
    <r>
      <rPr>
        <i/>
        <vertAlign val="subscript"/>
        <sz val="10"/>
        <color rgb="FF000000"/>
        <rFont val="Cambria"/>
        <family val="1"/>
      </rPr>
      <t>u2</t>
    </r>
    <r>
      <rPr>
        <i/>
        <sz val="10"/>
        <color rgb="FF000000"/>
        <rFont val="Cambria"/>
        <family val="1"/>
      </rPr>
      <t>)</t>
    </r>
  </si>
  <si>
    <r>
      <rPr>
        <i/>
        <sz val="10"/>
        <color rgb="FF000000"/>
        <rFont val="Cambria"/>
        <family val="1"/>
      </rPr>
      <t>u(R</t>
    </r>
    <r>
      <rPr>
        <i/>
        <vertAlign val="subscript"/>
        <sz val="10"/>
        <color rgb="FF000000"/>
        <rFont val="Cambria"/>
        <family val="1"/>
      </rPr>
      <t>s</t>
    </r>
    <r>
      <rPr>
        <i/>
        <sz val="10"/>
        <color rgb="FF000000"/>
        <rFont val="Cambria"/>
        <family val="1"/>
      </rPr>
      <t>)</t>
    </r>
  </si>
  <si>
    <r>
      <rPr>
        <i/>
        <sz val="10"/>
        <color rgb="FF000000"/>
        <rFont val="Cambria"/>
        <family val="1"/>
      </rPr>
      <t>u(R</t>
    </r>
    <r>
      <rPr>
        <i/>
        <vertAlign val="subscript"/>
        <sz val="10"/>
        <color rgb="FF000000"/>
        <rFont val="Cambria"/>
        <family val="1"/>
      </rPr>
      <t>d</t>
    </r>
    <r>
      <rPr>
        <i/>
        <sz val="10"/>
        <color rgb="FF000000"/>
        <rFont val="Cambria"/>
        <family val="1"/>
      </rPr>
      <t>)</t>
    </r>
  </si>
  <si>
    <r>
      <rPr>
        <i/>
        <sz val="10"/>
        <color rgb="FF000000"/>
        <rFont val="Cambria"/>
        <family val="1"/>
      </rPr>
      <t xml:space="preserve">Derajat Kebebasan Efektif, v </t>
    </r>
    <r>
      <rPr>
        <i/>
        <vertAlign val="subscript"/>
        <sz val="10"/>
        <color rgb="FF000000"/>
        <rFont val="Cambria"/>
        <family val="1"/>
      </rPr>
      <t>eff</t>
    </r>
  </si>
  <si>
    <r>
      <rPr>
        <i/>
        <sz val="10"/>
        <color rgb="FF000000"/>
        <rFont val="Cambria"/>
        <family val="1"/>
      </rPr>
      <t>Faktor Cakupan, k-student's for v</t>
    </r>
    <r>
      <rPr>
        <i/>
        <vertAlign val="subscript"/>
        <sz val="10"/>
        <color rgb="FF000000"/>
        <rFont val="Cambria"/>
        <family val="1"/>
      </rPr>
      <t>eff</t>
    </r>
    <r>
      <rPr>
        <i/>
        <sz val="10"/>
        <color rgb="FF000000"/>
        <rFont val="Cambria"/>
        <family val="1"/>
      </rPr>
      <t xml:space="preserve"> and CL 95 %</t>
    </r>
  </si>
  <si>
    <r>
      <rPr>
        <b/>
        <sz val="10"/>
        <color rgb="FF000000"/>
        <rFont val="Cambria"/>
        <family val="1"/>
      </rPr>
      <t>(Ui.Ci)</t>
    </r>
    <r>
      <rPr>
        <b/>
        <vertAlign val="superscript"/>
        <sz val="10"/>
        <color rgb="FF000000"/>
        <rFont val="Cambria"/>
        <family val="1"/>
      </rPr>
      <t>2</t>
    </r>
  </si>
  <si>
    <r>
      <rPr>
        <b/>
        <sz val="10"/>
        <color rgb="FF000000"/>
        <rFont val="Cambria"/>
        <family val="1"/>
      </rPr>
      <t>(Ui.Ci)</t>
    </r>
    <r>
      <rPr>
        <b/>
        <vertAlign val="superscript"/>
        <sz val="10"/>
        <color rgb="FF000000"/>
        <rFont val="Cambria"/>
        <family val="1"/>
      </rPr>
      <t>4</t>
    </r>
    <r>
      <rPr>
        <b/>
        <sz val="10"/>
        <color rgb="FF000000"/>
        <rFont val="Cambria"/>
        <family val="1"/>
      </rPr>
      <t>/ vi</t>
    </r>
  </si>
  <si>
    <r>
      <rPr>
        <i/>
        <sz val="10"/>
        <color rgb="FF000000"/>
        <rFont val="Cambria"/>
        <family val="1"/>
      </rPr>
      <t>u(R</t>
    </r>
    <r>
      <rPr>
        <i/>
        <vertAlign val="subscript"/>
        <sz val="10"/>
        <color rgb="FF000000"/>
        <rFont val="Cambria"/>
        <family val="1"/>
      </rPr>
      <t>u1</t>
    </r>
    <r>
      <rPr>
        <i/>
        <sz val="10"/>
        <color rgb="FF000000"/>
        <rFont val="Cambria"/>
        <family val="1"/>
      </rPr>
      <t>)</t>
    </r>
  </si>
  <si>
    <r>
      <rPr>
        <i/>
        <sz val="10"/>
        <color rgb="FF000000"/>
        <rFont val="Cambria"/>
        <family val="1"/>
      </rPr>
      <t>u(R</t>
    </r>
    <r>
      <rPr>
        <i/>
        <vertAlign val="subscript"/>
        <sz val="10"/>
        <color rgb="FF000000"/>
        <rFont val="Cambria"/>
        <family val="1"/>
      </rPr>
      <t>u2</t>
    </r>
    <r>
      <rPr>
        <i/>
        <sz val="10"/>
        <color rgb="FF000000"/>
        <rFont val="Cambria"/>
        <family val="1"/>
      </rPr>
      <t>)</t>
    </r>
  </si>
  <si>
    <r>
      <rPr>
        <i/>
        <sz val="10"/>
        <color rgb="FF000000"/>
        <rFont val="Cambria"/>
        <family val="1"/>
      </rPr>
      <t>u(R</t>
    </r>
    <r>
      <rPr>
        <i/>
        <vertAlign val="subscript"/>
        <sz val="10"/>
        <color rgb="FF000000"/>
        <rFont val="Cambria"/>
        <family val="1"/>
      </rPr>
      <t>s</t>
    </r>
    <r>
      <rPr>
        <i/>
        <sz val="10"/>
        <color rgb="FF000000"/>
        <rFont val="Cambria"/>
        <family val="1"/>
      </rPr>
      <t>)</t>
    </r>
  </si>
  <si>
    <r>
      <rPr>
        <i/>
        <sz val="10"/>
        <color rgb="FF000000"/>
        <rFont val="Cambria"/>
        <family val="1"/>
      </rPr>
      <t>u(R</t>
    </r>
    <r>
      <rPr>
        <i/>
        <vertAlign val="subscript"/>
        <sz val="10"/>
        <color rgb="FF000000"/>
        <rFont val="Cambria"/>
        <family val="1"/>
      </rPr>
      <t>d</t>
    </r>
    <r>
      <rPr>
        <i/>
        <sz val="10"/>
        <color rgb="FF000000"/>
        <rFont val="Cambria"/>
        <family val="1"/>
      </rPr>
      <t>)</t>
    </r>
  </si>
  <si>
    <r>
      <rPr>
        <i/>
        <sz val="10"/>
        <color rgb="FF000000"/>
        <rFont val="Cambria"/>
        <family val="1"/>
      </rPr>
      <t xml:space="preserve">Derajat Kebebasan Efektif, v </t>
    </r>
    <r>
      <rPr>
        <i/>
        <vertAlign val="subscript"/>
        <sz val="10"/>
        <color rgb="FF000000"/>
        <rFont val="Cambria"/>
        <family val="1"/>
      </rPr>
      <t>eff</t>
    </r>
  </si>
  <si>
    <r>
      <rPr>
        <i/>
        <sz val="10"/>
        <color rgb="FF000000"/>
        <rFont val="Cambria"/>
        <family val="1"/>
      </rPr>
      <t>Faktor Cakupan, k-student's for v</t>
    </r>
    <r>
      <rPr>
        <i/>
        <vertAlign val="subscript"/>
        <sz val="10"/>
        <color rgb="FF000000"/>
        <rFont val="Cambria"/>
        <family val="1"/>
      </rPr>
      <t>eff</t>
    </r>
    <r>
      <rPr>
        <i/>
        <sz val="10"/>
        <color rgb="FF000000"/>
        <rFont val="Cambria"/>
        <family val="1"/>
      </rPr>
      <t xml:space="preserve"> and CL 95 %</t>
    </r>
  </si>
  <si>
    <r>
      <rPr>
        <b/>
        <sz val="10"/>
        <color rgb="FF000000"/>
        <rFont val="Cambria"/>
        <family val="1"/>
      </rPr>
      <t>(Ui.Ci)</t>
    </r>
    <r>
      <rPr>
        <b/>
        <vertAlign val="superscript"/>
        <sz val="10"/>
        <color rgb="FF000000"/>
        <rFont val="Cambria"/>
        <family val="1"/>
      </rPr>
      <t>2</t>
    </r>
  </si>
  <si>
    <r>
      <rPr>
        <b/>
        <sz val="10"/>
        <color rgb="FF000000"/>
        <rFont val="Cambria"/>
        <family val="1"/>
      </rPr>
      <t>(Ui.Ci)</t>
    </r>
    <r>
      <rPr>
        <b/>
        <vertAlign val="superscript"/>
        <sz val="10"/>
        <color rgb="FF000000"/>
        <rFont val="Cambria"/>
        <family val="1"/>
      </rPr>
      <t>4</t>
    </r>
    <r>
      <rPr>
        <b/>
        <sz val="10"/>
        <color rgb="FF000000"/>
        <rFont val="Cambria"/>
        <family val="1"/>
      </rPr>
      <t>/ vi</t>
    </r>
  </si>
  <si>
    <r>
      <rPr>
        <i/>
        <sz val="10"/>
        <color rgb="FF000000"/>
        <rFont val="Cambria"/>
        <family val="1"/>
      </rPr>
      <t>u(R</t>
    </r>
    <r>
      <rPr>
        <i/>
        <vertAlign val="subscript"/>
        <sz val="10"/>
        <color rgb="FF000000"/>
        <rFont val="Cambria"/>
        <family val="1"/>
      </rPr>
      <t>u1</t>
    </r>
    <r>
      <rPr>
        <i/>
        <sz val="10"/>
        <color rgb="FF000000"/>
        <rFont val="Cambria"/>
        <family val="1"/>
      </rPr>
      <t>)</t>
    </r>
  </si>
  <si>
    <r>
      <rPr>
        <i/>
        <sz val="10"/>
        <color rgb="FF000000"/>
        <rFont val="Cambria"/>
        <family val="1"/>
      </rPr>
      <t>u(R</t>
    </r>
    <r>
      <rPr>
        <i/>
        <vertAlign val="subscript"/>
        <sz val="10"/>
        <color rgb="FF000000"/>
        <rFont val="Cambria"/>
        <family val="1"/>
      </rPr>
      <t>u2</t>
    </r>
    <r>
      <rPr>
        <i/>
        <sz val="10"/>
        <color rgb="FF000000"/>
        <rFont val="Cambria"/>
        <family val="1"/>
      </rPr>
      <t>)</t>
    </r>
  </si>
  <si>
    <r>
      <rPr>
        <i/>
        <sz val="10"/>
        <color rgb="FF000000"/>
        <rFont val="Cambria"/>
        <family val="1"/>
      </rPr>
      <t>u(R</t>
    </r>
    <r>
      <rPr>
        <i/>
        <vertAlign val="subscript"/>
        <sz val="10"/>
        <color rgb="FF000000"/>
        <rFont val="Cambria"/>
        <family val="1"/>
      </rPr>
      <t>s</t>
    </r>
    <r>
      <rPr>
        <i/>
        <sz val="10"/>
        <color rgb="FF000000"/>
        <rFont val="Cambria"/>
        <family val="1"/>
      </rPr>
      <t>)</t>
    </r>
  </si>
  <si>
    <r>
      <rPr>
        <i/>
        <sz val="10"/>
        <color rgb="FF000000"/>
        <rFont val="Cambria"/>
        <family val="1"/>
      </rPr>
      <t>u(R</t>
    </r>
    <r>
      <rPr>
        <i/>
        <vertAlign val="subscript"/>
        <sz val="10"/>
        <color rgb="FF000000"/>
        <rFont val="Cambria"/>
        <family val="1"/>
      </rPr>
      <t>d</t>
    </r>
    <r>
      <rPr>
        <i/>
        <sz val="10"/>
        <color rgb="FF000000"/>
        <rFont val="Cambria"/>
        <family val="1"/>
      </rPr>
      <t>)</t>
    </r>
  </si>
  <si>
    <r>
      <rPr>
        <i/>
        <sz val="10"/>
        <color rgb="FF000000"/>
        <rFont val="Cambria"/>
        <family val="1"/>
      </rPr>
      <t xml:space="preserve">Derajat Kebebasan Efektif, v </t>
    </r>
    <r>
      <rPr>
        <i/>
        <vertAlign val="subscript"/>
        <sz val="10"/>
        <color rgb="FF000000"/>
        <rFont val="Cambria"/>
        <family val="1"/>
      </rPr>
      <t>eff</t>
    </r>
  </si>
  <si>
    <r>
      <rPr>
        <i/>
        <sz val="10"/>
        <color rgb="FF000000"/>
        <rFont val="Cambria"/>
        <family val="1"/>
      </rPr>
      <t>Faktor Cakupan, k-student's for v</t>
    </r>
    <r>
      <rPr>
        <i/>
        <vertAlign val="subscript"/>
        <sz val="10"/>
        <color rgb="FF000000"/>
        <rFont val="Cambria"/>
        <family val="1"/>
      </rPr>
      <t>eff</t>
    </r>
    <r>
      <rPr>
        <i/>
        <sz val="10"/>
        <color rgb="FF000000"/>
        <rFont val="Cambria"/>
        <family val="1"/>
      </rPr>
      <t xml:space="preserve"> and CL 95 %</t>
    </r>
  </si>
  <si>
    <r>
      <rPr>
        <b/>
        <sz val="10"/>
        <color rgb="FF000000"/>
        <rFont val="Cambria"/>
        <family val="1"/>
      </rPr>
      <t>(Ui.Ci)</t>
    </r>
    <r>
      <rPr>
        <b/>
        <vertAlign val="superscript"/>
        <sz val="10"/>
        <color rgb="FF000000"/>
        <rFont val="Cambria"/>
        <family val="1"/>
      </rPr>
      <t>2</t>
    </r>
  </si>
  <si>
    <r>
      <rPr>
        <b/>
        <sz val="10"/>
        <color rgb="FF000000"/>
        <rFont val="Cambria"/>
        <family val="1"/>
      </rPr>
      <t>(Ui.Ci)</t>
    </r>
    <r>
      <rPr>
        <b/>
        <vertAlign val="superscript"/>
        <sz val="10"/>
        <color rgb="FF000000"/>
        <rFont val="Cambria"/>
        <family val="1"/>
      </rPr>
      <t>4</t>
    </r>
    <r>
      <rPr>
        <b/>
        <sz val="10"/>
        <color rgb="FF000000"/>
        <rFont val="Cambria"/>
        <family val="1"/>
      </rPr>
      <t>/ vi</t>
    </r>
  </si>
  <si>
    <r>
      <rPr>
        <i/>
        <sz val="10"/>
        <color rgb="FF000000"/>
        <rFont val="Cambria"/>
        <family val="1"/>
      </rPr>
      <t>u(R</t>
    </r>
    <r>
      <rPr>
        <i/>
        <vertAlign val="subscript"/>
        <sz val="10"/>
        <color rgb="FF000000"/>
        <rFont val="Cambria"/>
        <family val="1"/>
      </rPr>
      <t>u1</t>
    </r>
    <r>
      <rPr>
        <i/>
        <sz val="10"/>
        <color rgb="FF000000"/>
        <rFont val="Cambria"/>
        <family val="1"/>
      </rPr>
      <t>)</t>
    </r>
  </si>
  <si>
    <r>
      <rPr>
        <i/>
        <sz val="10"/>
        <color rgb="FF000000"/>
        <rFont val="Cambria"/>
        <family val="1"/>
      </rPr>
      <t>u(R</t>
    </r>
    <r>
      <rPr>
        <i/>
        <vertAlign val="subscript"/>
        <sz val="10"/>
        <color rgb="FF000000"/>
        <rFont val="Cambria"/>
        <family val="1"/>
      </rPr>
      <t>u2</t>
    </r>
    <r>
      <rPr>
        <i/>
        <sz val="10"/>
        <color rgb="FF000000"/>
        <rFont val="Cambria"/>
        <family val="1"/>
      </rPr>
      <t>)</t>
    </r>
  </si>
  <si>
    <r>
      <rPr>
        <i/>
        <sz val="10"/>
        <color rgb="FF000000"/>
        <rFont val="Cambria"/>
        <family val="1"/>
      </rPr>
      <t>u(R</t>
    </r>
    <r>
      <rPr>
        <i/>
        <vertAlign val="subscript"/>
        <sz val="10"/>
        <color rgb="FF000000"/>
        <rFont val="Cambria"/>
        <family val="1"/>
      </rPr>
      <t>s</t>
    </r>
    <r>
      <rPr>
        <i/>
        <sz val="10"/>
        <color rgb="FF000000"/>
        <rFont val="Cambria"/>
        <family val="1"/>
      </rPr>
      <t>)</t>
    </r>
  </si>
  <si>
    <r>
      <rPr>
        <i/>
        <sz val="10"/>
        <color rgb="FF000000"/>
        <rFont val="Cambria"/>
        <family val="1"/>
      </rPr>
      <t>u(R</t>
    </r>
    <r>
      <rPr>
        <i/>
        <vertAlign val="subscript"/>
        <sz val="10"/>
        <color rgb="FF000000"/>
        <rFont val="Cambria"/>
        <family val="1"/>
      </rPr>
      <t>d</t>
    </r>
    <r>
      <rPr>
        <i/>
        <sz val="10"/>
        <color rgb="FF000000"/>
        <rFont val="Cambria"/>
        <family val="1"/>
      </rPr>
      <t>)</t>
    </r>
  </si>
  <si>
    <r>
      <rPr>
        <i/>
        <sz val="10"/>
        <color rgb="FF000000"/>
        <rFont val="Cambria"/>
        <family val="1"/>
      </rPr>
      <t xml:space="preserve">Derajat Kebebasan Efektif, v </t>
    </r>
    <r>
      <rPr>
        <i/>
        <vertAlign val="subscript"/>
        <sz val="10"/>
        <color rgb="FF000000"/>
        <rFont val="Cambria"/>
        <family val="1"/>
      </rPr>
      <t>eff</t>
    </r>
  </si>
  <si>
    <r>
      <rPr>
        <i/>
        <sz val="10"/>
        <color rgb="FF000000"/>
        <rFont val="Cambria"/>
        <family val="1"/>
      </rPr>
      <t>Faktor Cakupan, k-student's for v</t>
    </r>
    <r>
      <rPr>
        <i/>
        <vertAlign val="subscript"/>
        <sz val="10"/>
        <color rgb="FF000000"/>
        <rFont val="Cambria"/>
        <family val="1"/>
      </rPr>
      <t>eff</t>
    </r>
    <r>
      <rPr>
        <i/>
        <sz val="10"/>
        <color rgb="FF000000"/>
        <rFont val="Cambria"/>
        <family val="1"/>
      </rPr>
      <t xml:space="preserve"> and CL 95 %</t>
    </r>
  </si>
  <si>
    <r>
      <rPr>
        <b/>
        <sz val="10"/>
        <color rgb="FF000000"/>
        <rFont val="Cambria"/>
        <family val="1"/>
      </rPr>
      <t>(Ui.Ci)</t>
    </r>
    <r>
      <rPr>
        <b/>
        <vertAlign val="superscript"/>
        <sz val="10"/>
        <color rgb="FF000000"/>
        <rFont val="Cambria"/>
        <family val="1"/>
      </rPr>
      <t>2</t>
    </r>
  </si>
  <si>
    <r>
      <rPr>
        <b/>
        <sz val="10"/>
        <color rgb="FF000000"/>
        <rFont val="Cambria"/>
        <family val="1"/>
      </rPr>
      <t>(Ui.Ci)</t>
    </r>
    <r>
      <rPr>
        <b/>
        <vertAlign val="superscript"/>
        <sz val="10"/>
        <color rgb="FF000000"/>
        <rFont val="Cambria"/>
        <family val="1"/>
      </rPr>
      <t>4</t>
    </r>
    <r>
      <rPr>
        <b/>
        <sz val="10"/>
        <color rgb="FF000000"/>
        <rFont val="Cambria"/>
        <family val="1"/>
      </rPr>
      <t>/ vi</t>
    </r>
  </si>
  <si>
    <r>
      <rPr>
        <i/>
        <sz val="10"/>
        <color rgb="FF000000"/>
        <rFont val="Cambria"/>
        <family val="1"/>
      </rPr>
      <t>u(R</t>
    </r>
    <r>
      <rPr>
        <i/>
        <vertAlign val="subscript"/>
        <sz val="10"/>
        <color rgb="FF000000"/>
        <rFont val="Cambria"/>
        <family val="1"/>
      </rPr>
      <t>u1</t>
    </r>
    <r>
      <rPr>
        <i/>
        <sz val="10"/>
        <color rgb="FF000000"/>
        <rFont val="Cambria"/>
        <family val="1"/>
      </rPr>
      <t>)</t>
    </r>
  </si>
  <si>
    <r>
      <rPr>
        <i/>
        <sz val="10"/>
        <color rgb="FF000000"/>
        <rFont val="Cambria"/>
        <family val="1"/>
      </rPr>
      <t>u(R</t>
    </r>
    <r>
      <rPr>
        <i/>
        <vertAlign val="subscript"/>
        <sz val="10"/>
        <color rgb="FF000000"/>
        <rFont val="Cambria"/>
        <family val="1"/>
      </rPr>
      <t>u2</t>
    </r>
    <r>
      <rPr>
        <i/>
        <sz val="10"/>
        <color rgb="FF000000"/>
        <rFont val="Cambria"/>
        <family val="1"/>
      </rPr>
      <t>)</t>
    </r>
  </si>
  <si>
    <r>
      <rPr>
        <i/>
        <sz val="10"/>
        <color rgb="FF000000"/>
        <rFont val="Cambria"/>
        <family val="1"/>
      </rPr>
      <t>u(R</t>
    </r>
    <r>
      <rPr>
        <i/>
        <vertAlign val="subscript"/>
        <sz val="10"/>
        <color rgb="FF000000"/>
        <rFont val="Cambria"/>
        <family val="1"/>
      </rPr>
      <t>s</t>
    </r>
    <r>
      <rPr>
        <i/>
        <sz val="10"/>
        <color rgb="FF000000"/>
        <rFont val="Cambria"/>
        <family val="1"/>
      </rPr>
      <t>)</t>
    </r>
  </si>
  <si>
    <r>
      <rPr>
        <i/>
        <sz val="10"/>
        <color rgb="FF000000"/>
        <rFont val="Cambria"/>
        <family val="1"/>
      </rPr>
      <t>u(R</t>
    </r>
    <r>
      <rPr>
        <i/>
        <vertAlign val="subscript"/>
        <sz val="10"/>
        <color rgb="FF000000"/>
        <rFont val="Cambria"/>
        <family val="1"/>
      </rPr>
      <t>d</t>
    </r>
    <r>
      <rPr>
        <i/>
        <sz val="10"/>
        <color rgb="FF000000"/>
        <rFont val="Cambria"/>
        <family val="1"/>
      </rPr>
      <t>)</t>
    </r>
  </si>
  <si>
    <r>
      <rPr>
        <i/>
        <sz val="10"/>
        <color rgb="FF000000"/>
        <rFont val="Cambria"/>
        <family val="1"/>
      </rPr>
      <t xml:space="preserve">Derajat Kebebasan Efektif, v </t>
    </r>
    <r>
      <rPr>
        <i/>
        <vertAlign val="subscript"/>
        <sz val="10"/>
        <color rgb="FF000000"/>
        <rFont val="Cambria"/>
        <family val="1"/>
      </rPr>
      <t>eff</t>
    </r>
  </si>
  <si>
    <r>
      <rPr>
        <i/>
        <sz val="10"/>
        <color rgb="FF000000"/>
        <rFont val="Cambria"/>
        <family val="1"/>
      </rPr>
      <t>Faktor Cakupan, k-student's for v</t>
    </r>
    <r>
      <rPr>
        <i/>
        <vertAlign val="subscript"/>
        <sz val="10"/>
        <color rgb="FF000000"/>
        <rFont val="Cambria"/>
        <family val="1"/>
      </rPr>
      <t>eff</t>
    </r>
    <r>
      <rPr>
        <i/>
        <sz val="10"/>
        <color rgb="FF000000"/>
        <rFont val="Cambria"/>
        <family val="1"/>
      </rPr>
      <t xml:space="preserve"> and CL 95 %</t>
    </r>
  </si>
  <si>
    <r>
      <rPr>
        <b/>
        <sz val="10"/>
        <color rgb="FF000000"/>
        <rFont val="Cambria"/>
        <family val="1"/>
      </rPr>
      <t>(Ui.Ci)</t>
    </r>
    <r>
      <rPr>
        <b/>
        <vertAlign val="superscript"/>
        <sz val="10"/>
        <color rgb="FF000000"/>
        <rFont val="Cambria"/>
        <family val="1"/>
      </rPr>
      <t>2</t>
    </r>
  </si>
  <si>
    <r>
      <rPr>
        <b/>
        <sz val="10"/>
        <color rgb="FF000000"/>
        <rFont val="Cambria"/>
        <family val="1"/>
      </rPr>
      <t>(Ui.Ci)</t>
    </r>
    <r>
      <rPr>
        <b/>
        <vertAlign val="superscript"/>
        <sz val="10"/>
        <color rgb="FF000000"/>
        <rFont val="Cambria"/>
        <family val="1"/>
      </rPr>
      <t>4</t>
    </r>
    <r>
      <rPr>
        <b/>
        <sz val="10"/>
        <color rgb="FF000000"/>
        <rFont val="Cambria"/>
        <family val="1"/>
      </rPr>
      <t>/ vi</t>
    </r>
  </si>
  <si>
    <r>
      <rPr>
        <i/>
        <sz val="10"/>
        <color rgb="FF000000"/>
        <rFont val="Cambria"/>
        <family val="1"/>
      </rPr>
      <t>u(R</t>
    </r>
    <r>
      <rPr>
        <i/>
        <vertAlign val="subscript"/>
        <sz val="10"/>
        <color rgb="FF000000"/>
        <rFont val="Cambria"/>
        <family val="1"/>
      </rPr>
      <t>u1</t>
    </r>
    <r>
      <rPr>
        <i/>
        <sz val="10"/>
        <color rgb="FF000000"/>
        <rFont val="Cambria"/>
        <family val="1"/>
      </rPr>
      <t>)</t>
    </r>
  </si>
  <si>
    <r>
      <rPr>
        <i/>
        <sz val="10"/>
        <color rgb="FF000000"/>
        <rFont val="Cambria"/>
        <family val="1"/>
      </rPr>
      <t>u(R</t>
    </r>
    <r>
      <rPr>
        <i/>
        <vertAlign val="subscript"/>
        <sz val="10"/>
        <color rgb="FF000000"/>
        <rFont val="Cambria"/>
        <family val="1"/>
      </rPr>
      <t>u2</t>
    </r>
    <r>
      <rPr>
        <i/>
        <sz val="10"/>
        <color rgb="FF000000"/>
        <rFont val="Cambria"/>
        <family val="1"/>
      </rPr>
      <t>)</t>
    </r>
  </si>
  <si>
    <r>
      <rPr>
        <i/>
        <sz val="10"/>
        <color rgb="FF000000"/>
        <rFont val="Cambria"/>
        <family val="1"/>
      </rPr>
      <t>u(R</t>
    </r>
    <r>
      <rPr>
        <i/>
        <vertAlign val="subscript"/>
        <sz val="10"/>
        <color rgb="FF000000"/>
        <rFont val="Cambria"/>
        <family val="1"/>
      </rPr>
      <t>s</t>
    </r>
    <r>
      <rPr>
        <i/>
        <sz val="10"/>
        <color rgb="FF000000"/>
        <rFont val="Cambria"/>
        <family val="1"/>
      </rPr>
      <t>)</t>
    </r>
  </si>
  <si>
    <r>
      <rPr>
        <i/>
        <sz val="10"/>
        <color rgb="FF000000"/>
        <rFont val="Cambria"/>
        <family val="1"/>
      </rPr>
      <t>u(R</t>
    </r>
    <r>
      <rPr>
        <i/>
        <vertAlign val="subscript"/>
        <sz val="10"/>
        <color rgb="FF000000"/>
        <rFont val="Cambria"/>
        <family val="1"/>
      </rPr>
      <t>d</t>
    </r>
    <r>
      <rPr>
        <i/>
        <sz val="10"/>
        <color rgb="FF000000"/>
        <rFont val="Cambria"/>
        <family val="1"/>
      </rPr>
      <t>)</t>
    </r>
  </si>
  <si>
    <r>
      <rPr>
        <i/>
        <sz val="10"/>
        <color rgb="FF000000"/>
        <rFont val="Cambria"/>
        <family val="1"/>
      </rPr>
      <t xml:space="preserve">Derajat Kebebasan Efektif, v </t>
    </r>
    <r>
      <rPr>
        <i/>
        <vertAlign val="subscript"/>
        <sz val="10"/>
        <color rgb="FF000000"/>
        <rFont val="Cambria"/>
        <family val="1"/>
      </rPr>
      <t>eff</t>
    </r>
  </si>
  <si>
    <r>
      <rPr>
        <i/>
        <sz val="10"/>
        <color rgb="FF000000"/>
        <rFont val="Cambria"/>
        <family val="1"/>
      </rPr>
      <t>Faktor Cakupan, k-student's for v</t>
    </r>
    <r>
      <rPr>
        <i/>
        <vertAlign val="subscript"/>
        <sz val="10"/>
        <color rgb="FF000000"/>
        <rFont val="Cambria"/>
        <family val="1"/>
      </rPr>
      <t>eff</t>
    </r>
    <r>
      <rPr>
        <i/>
        <sz val="10"/>
        <color rgb="FF000000"/>
        <rFont val="Cambria"/>
        <family val="1"/>
      </rPr>
      <t xml:space="preserve"> and CL 95 %</t>
    </r>
  </si>
  <si>
    <r>
      <rPr>
        <b/>
        <sz val="10"/>
        <color rgb="FF000000"/>
        <rFont val="Cambria"/>
        <family val="1"/>
      </rPr>
      <t>(Ui.Ci)</t>
    </r>
    <r>
      <rPr>
        <b/>
        <vertAlign val="superscript"/>
        <sz val="10"/>
        <color rgb="FF000000"/>
        <rFont val="Cambria"/>
        <family val="1"/>
      </rPr>
      <t>2</t>
    </r>
  </si>
  <si>
    <r>
      <rPr>
        <b/>
        <sz val="10"/>
        <color rgb="FF000000"/>
        <rFont val="Cambria"/>
        <family val="1"/>
      </rPr>
      <t>(Ui.Ci)</t>
    </r>
    <r>
      <rPr>
        <b/>
        <vertAlign val="superscript"/>
        <sz val="10"/>
        <color rgb="FF000000"/>
        <rFont val="Cambria"/>
        <family val="1"/>
      </rPr>
      <t>4</t>
    </r>
    <r>
      <rPr>
        <b/>
        <sz val="10"/>
        <color rgb="FF000000"/>
        <rFont val="Cambria"/>
        <family val="1"/>
      </rPr>
      <t>/ vi</t>
    </r>
  </si>
  <si>
    <r>
      <rPr>
        <i/>
        <sz val="10"/>
        <color rgb="FF000000"/>
        <rFont val="Cambria"/>
        <family val="1"/>
      </rPr>
      <t>u(R</t>
    </r>
    <r>
      <rPr>
        <i/>
        <vertAlign val="subscript"/>
        <sz val="10"/>
        <color rgb="FF000000"/>
        <rFont val="Cambria"/>
        <family val="1"/>
      </rPr>
      <t>u1</t>
    </r>
    <r>
      <rPr>
        <i/>
        <sz val="10"/>
        <color rgb="FF000000"/>
        <rFont val="Cambria"/>
        <family val="1"/>
      </rPr>
      <t>)</t>
    </r>
  </si>
  <si>
    <r>
      <rPr>
        <i/>
        <sz val="10"/>
        <color rgb="FF000000"/>
        <rFont val="Cambria"/>
        <family val="1"/>
      </rPr>
      <t>u(R</t>
    </r>
    <r>
      <rPr>
        <i/>
        <vertAlign val="subscript"/>
        <sz val="10"/>
        <color rgb="FF000000"/>
        <rFont val="Cambria"/>
        <family val="1"/>
      </rPr>
      <t>u2</t>
    </r>
    <r>
      <rPr>
        <i/>
        <sz val="10"/>
        <color rgb="FF000000"/>
        <rFont val="Cambria"/>
        <family val="1"/>
      </rPr>
      <t>)</t>
    </r>
  </si>
  <si>
    <r>
      <rPr>
        <i/>
        <sz val="10"/>
        <color rgb="FF000000"/>
        <rFont val="Cambria"/>
        <family val="1"/>
      </rPr>
      <t>u(R</t>
    </r>
    <r>
      <rPr>
        <i/>
        <vertAlign val="subscript"/>
        <sz val="10"/>
        <color rgb="FF000000"/>
        <rFont val="Cambria"/>
        <family val="1"/>
      </rPr>
      <t>s</t>
    </r>
    <r>
      <rPr>
        <i/>
        <sz val="10"/>
        <color rgb="FF000000"/>
        <rFont val="Cambria"/>
        <family val="1"/>
      </rPr>
      <t>)</t>
    </r>
  </si>
  <si>
    <r>
      <rPr>
        <i/>
        <sz val="10"/>
        <color rgb="FF000000"/>
        <rFont val="Cambria"/>
        <family val="1"/>
      </rPr>
      <t>u(R</t>
    </r>
    <r>
      <rPr>
        <i/>
        <vertAlign val="subscript"/>
        <sz val="10"/>
        <color rgb="FF000000"/>
        <rFont val="Cambria"/>
        <family val="1"/>
      </rPr>
      <t>d</t>
    </r>
    <r>
      <rPr>
        <i/>
        <sz val="10"/>
        <color rgb="FF000000"/>
        <rFont val="Cambria"/>
        <family val="1"/>
      </rPr>
      <t>)</t>
    </r>
  </si>
  <si>
    <r>
      <rPr>
        <i/>
        <sz val="10"/>
        <color rgb="FF000000"/>
        <rFont val="Cambria"/>
        <family val="1"/>
      </rPr>
      <t xml:space="preserve">Derajat Kebebasan Efektif, v </t>
    </r>
    <r>
      <rPr>
        <i/>
        <vertAlign val="subscript"/>
        <sz val="10"/>
        <color rgb="FF000000"/>
        <rFont val="Cambria"/>
        <family val="1"/>
      </rPr>
      <t>eff</t>
    </r>
  </si>
  <si>
    <r>
      <rPr>
        <i/>
        <sz val="10"/>
        <color rgb="FF000000"/>
        <rFont val="Cambria"/>
        <family val="1"/>
      </rPr>
      <t>Faktor Cakupan, k-student's for v</t>
    </r>
    <r>
      <rPr>
        <i/>
        <vertAlign val="subscript"/>
        <sz val="10"/>
        <color rgb="FF000000"/>
        <rFont val="Cambria"/>
        <family val="1"/>
      </rPr>
      <t>eff</t>
    </r>
    <r>
      <rPr>
        <i/>
        <sz val="10"/>
        <color rgb="FF000000"/>
        <rFont val="Cambria"/>
        <family val="1"/>
      </rPr>
      <t xml:space="preserve"> and CL 95 %</t>
    </r>
  </si>
  <si>
    <r>
      <rPr>
        <b/>
        <sz val="10"/>
        <color rgb="FF000000"/>
        <rFont val="Cambria"/>
        <family val="1"/>
      </rPr>
      <t>(Ui.Ci)</t>
    </r>
    <r>
      <rPr>
        <b/>
        <vertAlign val="superscript"/>
        <sz val="10"/>
        <color rgb="FF000000"/>
        <rFont val="Cambria"/>
        <family val="1"/>
      </rPr>
      <t>2</t>
    </r>
  </si>
  <si>
    <r>
      <rPr>
        <b/>
        <sz val="10"/>
        <color rgb="FF000000"/>
        <rFont val="Cambria"/>
        <family val="1"/>
      </rPr>
      <t>(Ui.Ci)</t>
    </r>
    <r>
      <rPr>
        <b/>
        <vertAlign val="superscript"/>
        <sz val="10"/>
        <color rgb="FF000000"/>
        <rFont val="Cambria"/>
        <family val="1"/>
      </rPr>
      <t>4</t>
    </r>
    <r>
      <rPr>
        <b/>
        <sz val="10"/>
        <color rgb="FF000000"/>
        <rFont val="Cambria"/>
        <family val="1"/>
      </rPr>
      <t>/ vi</t>
    </r>
  </si>
  <si>
    <r>
      <rPr>
        <i/>
        <sz val="10"/>
        <color rgb="FF000000"/>
        <rFont val="Cambria"/>
        <family val="1"/>
      </rPr>
      <t>u(R</t>
    </r>
    <r>
      <rPr>
        <i/>
        <vertAlign val="subscript"/>
        <sz val="10"/>
        <color rgb="FF000000"/>
        <rFont val="Cambria"/>
        <family val="1"/>
      </rPr>
      <t>u1</t>
    </r>
    <r>
      <rPr>
        <i/>
        <sz val="10"/>
        <color rgb="FF000000"/>
        <rFont val="Cambria"/>
        <family val="1"/>
      </rPr>
      <t>)</t>
    </r>
  </si>
  <si>
    <r>
      <rPr>
        <i/>
        <sz val="10"/>
        <color rgb="FF000000"/>
        <rFont val="Cambria"/>
        <family val="1"/>
      </rPr>
      <t>u(R</t>
    </r>
    <r>
      <rPr>
        <i/>
        <vertAlign val="subscript"/>
        <sz val="10"/>
        <color rgb="FF000000"/>
        <rFont val="Cambria"/>
        <family val="1"/>
      </rPr>
      <t>u2</t>
    </r>
    <r>
      <rPr>
        <i/>
        <sz val="10"/>
        <color rgb="FF000000"/>
        <rFont val="Cambria"/>
        <family val="1"/>
      </rPr>
      <t>)</t>
    </r>
  </si>
  <si>
    <r>
      <rPr>
        <i/>
        <sz val="10"/>
        <color rgb="FF000000"/>
        <rFont val="Cambria"/>
        <family val="1"/>
      </rPr>
      <t>u(R</t>
    </r>
    <r>
      <rPr>
        <i/>
        <vertAlign val="subscript"/>
        <sz val="10"/>
        <color rgb="FF000000"/>
        <rFont val="Cambria"/>
        <family val="1"/>
      </rPr>
      <t>s</t>
    </r>
    <r>
      <rPr>
        <i/>
        <sz val="10"/>
        <color rgb="FF000000"/>
        <rFont val="Cambria"/>
        <family val="1"/>
      </rPr>
      <t>)</t>
    </r>
  </si>
  <si>
    <r>
      <rPr>
        <i/>
        <sz val="10"/>
        <color rgb="FF000000"/>
        <rFont val="Cambria"/>
        <family val="1"/>
      </rPr>
      <t>u(R</t>
    </r>
    <r>
      <rPr>
        <i/>
        <vertAlign val="subscript"/>
        <sz val="10"/>
        <color rgb="FF000000"/>
        <rFont val="Cambria"/>
        <family val="1"/>
      </rPr>
      <t>d</t>
    </r>
    <r>
      <rPr>
        <i/>
        <sz val="10"/>
        <color rgb="FF000000"/>
        <rFont val="Cambria"/>
        <family val="1"/>
      </rPr>
      <t>)</t>
    </r>
  </si>
  <si>
    <r>
      <rPr>
        <i/>
        <sz val="10"/>
        <color rgb="FF000000"/>
        <rFont val="Cambria"/>
        <family val="1"/>
      </rPr>
      <t xml:space="preserve">Derajat Kebebasan Efektif, v </t>
    </r>
    <r>
      <rPr>
        <i/>
        <vertAlign val="subscript"/>
        <sz val="10"/>
        <color rgb="FF000000"/>
        <rFont val="Cambria"/>
        <family val="1"/>
      </rPr>
      <t>eff</t>
    </r>
  </si>
  <si>
    <r>
      <rPr>
        <i/>
        <sz val="10"/>
        <color rgb="FF000000"/>
        <rFont val="Cambria"/>
        <family val="1"/>
      </rPr>
      <t>Faktor Cakupan, k-student's for v</t>
    </r>
    <r>
      <rPr>
        <i/>
        <vertAlign val="subscript"/>
        <sz val="10"/>
        <color rgb="FF000000"/>
        <rFont val="Cambria"/>
        <family val="1"/>
      </rPr>
      <t>eff</t>
    </r>
    <r>
      <rPr>
        <i/>
        <sz val="10"/>
        <color rgb="FF000000"/>
        <rFont val="Cambria"/>
        <family val="1"/>
      </rPr>
      <t xml:space="preserve"> and CL 95 %</t>
    </r>
  </si>
  <si>
    <r>
      <rPr>
        <b/>
        <sz val="10"/>
        <color rgb="FF000000"/>
        <rFont val="Cambria"/>
        <family val="1"/>
      </rPr>
      <t>(Ui.Ci)</t>
    </r>
    <r>
      <rPr>
        <b/>
        <vertAlign val="superscript"/>
        <sz val="10"/>
        <color rgb="FF000000"/>
        <rFont val="Cambria"/>
        <family val="1"/>
      </rPr>
      <t>2</t>
    </r>
  </si>
  <si>
    <r>
      <rPr>
        <b/>
        <sz val="10"/>
        <color rgb="FF000000"/>
        <rFont val="Cambria"/>
        <family val="1"/>
      </rPr>
      <t>(Ui.Ci)</t>
    </r>
    <r>
      <rPr>
        <b/>
        <vertAlign val="superscript"/>
        <sz val="10"/>
        <color rgb="FF000000"/>
        <rFont val="Cambria"/>
        <family val="1"/>
      </rPr>
      <t>4</t>
    </r>
    <r>
      <rPr>
        <b/>
        <sz val="10"/>
        <color rgb="FF000000"/>
        <rFont val="Cambria"/>
        <family val="1"/>
      </rPr>
      <t>/ vi</t>
    </r>
  </si>
  <si>
    <r>
      <rPr>
        <i/>
        <sz val="10"/>
        <color rgb="FF000000"/>
        <rFont val="Cambria"/>
        <family val="1"/>
      </rPr>
      <t>u(R</t>
    </r>
    <r>
      <rPr>
        <i/>
        <vertAlign val="subscript"/>
        <sz val="10"/>
        <color rgb="FF000000"/>
        <rFont val="Cambria"/>
        <family val="1"/>
      </rPr>
      <t>u1</t>
    </r>
    <r>
      <rPr>
        <i/>
        <sz val="10"/>
        <color rgb="FF000000"/>
        <rFont val="Cambria"/>
        <family val="1"/>
      </rPr>
      <t>)</t>
    </r>
  </si>
  <si>
    <r>
      <rPr>
        <i/>
        <sz val="10"/>
        <color rgb="FF000000"/>
        <rFont val="Cambria"/>
        <family val="1"/>
      </rPr>
      <t>u(R</t>
    </r>
    <r>
      <rPr>
        <i/>
        <vertAlign val="subscript"/>
        <sz val="10"/>
        <color rgb="FF000000"/>
        <rFont val="Cambria"/>
        <family val="1"/>
      </rPr>
      <t>u2</t>
    </r>
    <r>
      <rPr>
        <i/>
        <sz val="10"/>
        <color rgb="FF000000"/>
        <rFont val="Cambria"/>
        <family val="1"/>
      </rPr>
      <t>)</t>
    </r>
  </si>
  <si>
    <r>
      <rPr>
        <i/>
        <sz val="10"/>
        <color rgb="FF000000"/>
        <rFont val="Cambria"/>
        <family val="1"/>
      </rPr>
      <t>u(R</t>
    </r>
    <r>
      <rPr>
        <i/>
        <vertAlign val="subscript"/>
        <sz val="10"/>
        <color rgb="FF000000"/>
        <rFont val="Cambria"/>
        <family val="1"/>
      </rPr>
      <t>s</t>
    </r>
    <r>
      <rPr>
        <i/>
        <sz val="10"/>
        <color rgb="FF000000"/>
        <rFont val="Cambria"/>
        <family val="1"/>
      </rPr>
      <t>)</t>
    </r>
  </si>
  <si>
    <r>
      <rPr>
        <i/>
        <sz val="10"/>
        <color rgb="FF000000"/>
        <rFont val="Cambria"/>
        <family val="1"/>
      </rPr>
      <t>u(R</t>
    </r>
    <r>
      <rPr>
        <i/>
        <vertAlign val="subscript"/>
        <sz val="10"/>
        <color rgb="FF000000"/>
        <rFont val="Cambria"/>
        <family val="1"/>
      </rPr>
      <t>d</t>
    </r>
    <r>
      <rPr>
        <i/>
        <sz val="10"/>
        <color rgb="FF000000"/>
        <rFont val="Cambria"/>
        <family val="1"/>
      </rPr>
      <t>)</t>
    </r>
  </si>
  <si>
    <r>
      <rPr>
        <i/>
        <sz val="10"/>
        <color rgb="FF000000"/>
        <rFont val="Cambria"/>
        <family val="1"/>
      </rPr>
      <t xml:space="preserve">Derajat Kebebasan Efektif, v </t>
    </r>
    <r>
      <rPr>
        <i/>
        <vertAlign val="subscript"/>
        <sz val="10"/>
        <color rgb="FF000000"/>
        <rFont val="Cambria"/>
        <family val="1"/>
      </rPr>
      <t>eff</t>
    </r>
  </si>
  <si>
    <r>
      <rPr>
        <i/>
        <sz val="10"/>
        <color rgb="FF000000"/>
        <rFont val="Cambria"/>
        <family val="1"/>
      </rPr>
      <t>Faktor Cakupan, k-student's for v</t>
    </r>
    <r>
      <rPr>
        <i/>
        <vertAlign val="subscript"/>
        <sz val="10"/>
        <color rgb="FF000000"/>
        <rFont val="Cambria"/>
        <family val="1"/>
      </rPr>
      <t>eff</t>
    </r>
    <r>
      <rPr>
        <i/>
        <sz val="10"/>
        <color rgb="FF000000"/>
        <rFont val="Cambria"/>
        <family val="1"/>
      </rPr>
      <t xml:space="preserve"> and CL 95 %</t>
    </r>
  </si>
  <si>
    <r>
      <rPr>
        <b/>
        <sz val="10"/>
        <color rgb="FF000000"/>
        <rFont val="Cambria"/>
        <family val="1"/>
      </rPr>
      <t>(Ui.Ci)</t>
    </r>
    <r>
      <rPr>
        <b/>
        <vertAlign val="superscript"/>
        <sz val="10"/>
        <color rgb="FF000000"/>
        <rFont val="Cambria"/>
        <family val="1"/>
      </rPr>
      <t>2</t>
    </r>
  </si>
  <si>
    <r>
      <rPr>
        <b/>
        <sz val="10"/>
        <color rgb="FF000000"/>
        <rFont val="Cambria"/>
        <family val="1"/>
      </rPr>
      <t>(Ui.Ci)</t>
    </r>
    <r>
      <rPr>
        <b/>
        <vertAlign val="superscript"/>
        <sz val="10"/>
        <color rgb="FF000000"/>
        <rFont val="Cambria"/>
        <family val="1"/>
      </rPr>
      <t>4</t>
    </r>
    <r>
      <rPr>
        <b/>
        <sz val="10"/>
        <color rgb="FF000000"/>
        <rFont val="Cambria"/>
        <family val="1"/>
      </rPr>
      <t>/ vi</t>
    </r>
  </si>
  <si>
    <r>
      <rPr>
        <i/>
        <sz val="10"/>
        <color rgb="FF000000"/>
        <rFont val="Cambria"/>
        <family val="1"/>
      </rPr>
      <t>u(R</t>
    </r>
    <r>
      <rPr>
        <i/>
        <vertAlign val="subscript"/>
        <sz val="10"/>
        <color rgb="FF000000"/>
        <rFont val="Cambria"/>
        <family val="1"/>
      </rPr>
      <t>u1</t>
    </r>
    <r>
      <rPr>
        <i/>
        <sz val="10"/>
        <color rgb="FF000000"/>
        <rFont val="Cambria"/>
        <family val="1"/>
      </rPr>
      <t>)</t>
    </r>
  </si>
  <si>
    <r>
      <rPr>
        <i/>
        <sz val="10"/>
        <color rgb="FF000000"/>
        <rFont val="Cambria"/>
        <family val="1"/>
      </rPr>
      <t>u(R</t>
    </r>
    <r>
      <rPr>
        <i/>
        <vertAlign val="subscript"/>
        <sz val="10"/>
        <color rgb="FF000000"/>
        <rFont val="Cambria"/>
        <family val="1"/>
      </rPr>
      <t>u2</t>
    </r>
    <r>
      <rPr>
        <i/>
        <sz val="10"/>
        <color rgb="FF000000"/>
        <rFont val="Cambria"/>
        <family val="1"/>
      </rPr>
      <t>)</t>
    </r>
  </si>
  <si>
    <r>
      <rPr>
        <i/>
        <sz val="10"/>
        <color rgb="FF000000"/>
        <rFont val="Cambria"/>
        <family val="1"/>
      </rPr>
      <t>u(R</t>
    </r>
    <r>
      <rPr>
        <i/>
        <vertAlign val="subscript"/>
        <sz val="10"/>
        <color rgb="FF000000"/>
        <rFont val="Cambria"/>
        <family val="1"/>
      </rPr>
      <t>s</t>
    </r>
    <r>
      <rPr>
        <i/>
        <sz val="10"/>
        <color rgb="FF000000"/>
        <rFont val="Cambria"/>
        <family val="1"/>
      </rPr>
      <t>)</t>
    </r>
  </si>
  <si>
    <r>
      <rPr>
        <i/>
        <sz val="10"/>
        <color rgb="FF000000"/>
        <rFont val="Cambria"/>
        <family val="1"/>
      </rPr>
      <t>u(R</t>
    </r>
    <r>
      <rPr>
        <i/>
        <vertAlign val="subscript"/>
        <sz val="10"/>
        <color rgb="FF000000"/>
        <rFont val="Cambria"/>
        <family val="1"/>
      </rPr>
      <t>d</t>
    </r>
    <r>
      <rPr>
        <i/>
        <sz val="10"/>
        <color rgb="FF000000"/>
        <rFont val="Cambria"/>
        <family val="1"/>
      </rPr>
      <t>)</t>
    </r>
  </si>
  <si>
    <r>
      <rPr>
        <i/>
        <sz val="10"/>
        <color rgb="FF000000"/>
        <rFont val="Cambria"/>
        <family val="1"/>
      </rPr>
      <t xml:space="preserve">Derajat Kebebasan Efektif, v </t>
    </r>
    <r>
      <rPr>
        <i/>
        <vertAlign val="subscript"/>
        <sz val="10"/>
        <color rgb="FF000000"/>
        <rFont val="Cambria"/>
        <family val="1"/>
      </rPr>
      <t>eff</t>
    </r>
  </si>
  <si>
    <r>
      <rPr>
        <i/>
        <sz val="10"/>
        <color rgb="FF000000"/>
        <rFont val="Cambria"/>
        <family val="1"/>
      </rPr>
      <t>Faktor Cakupan, k-student's for v</t>
    </r>
    <r>
      <rPr>
        <i/>
        <vertAlign val="subscript"/>
        <sz val="10"/>
        <color rgb="FF000000"/>
        <rFont val="Cambria"/>
        <family val="1"/>
      </rPr>
      <t>eff</t>
    </r>
    <r>
      <rPr>
        <i/>
        <sz val="10"/>
        <color rgb="FF000000"/>
        <rFont val="Cambria"/>
        <family val="1"/>
      </rPr>
      <t xml:space="preserve"> and CL 95 %</t>
    </r>
  </si>
  <si>
    <r>
      <rPr>
        <b/>
        <sz val="10"/>
        <color rgb="FF000000"/>
        <rFont val="Cambria"/>
        <family val="1"/>
      </rPr>
      <t>(Ui.Ci)</t>
    </r>
    <r>
      <rPr>
        <b/>
        <vertAlign val="superscript"/>
        <sz val="10"/>
        <color rgb="FF000000"/>
        <rFont val="Cambria"/>
        <family val="1"/>
      </rPr>
      <t>2</t>
    </r>
  </si>
  <si>
    <r>
      <rPr>
        <b/>
        <sz val="10"/>
        <color rgb="FF000000"/>
        <rFont val="Cambria"/>
        <family val="1"/>
      </rPr>
      <t>(Ui.Ci)</t>
    </r>
    <r>
      <rPr>
        <b/>
        <vertAlign val="superscript"/>
        <sz val="10"/>
        <color rgb="FF000000"/>
        <rFont val="Cambria"/>
        <family val="1"/>
      </rPr>
      <t>4</t>
    </r>
    <r>
      <rPr>
        <b/>
        <sz val="10"/>
        <color rgb="FF000000"/>
        <rFont val="Cambria"/>
        <family val="1"/>
      </rPr>
      <t>/ vi</t>
    </r>
  </si>
  <si>
    <r>
      <rPr>
        <i/>
        <sz val="10"/>
        <color rgb="FF000000"/>
        <rFont val="Cambria"/>
        <family val="1"/>
      </rPr>
      <t>u(R</t>
    </r>
    <r>
      <rPr>
        <i/>
        <vertAlign val="subscript"/>
        <sz val="10"/>
        <color rgb="FF000000"/>
        <rFont val="Cambria"/>
        <family val="1"/>
      </rPr>
      <t>u1</t>
    </r>
    <r>
      <rPr>
        <i/>
        <sz val="10"/>
        <color rgb="FF000000"/>
        <rFont val="Cambria"/>
        <family val="1"/>
      </rPr>
      <t>)</t>
    </r>
  </si>
  <si>
    <r>
      <rPr>
        <i/>
        <sz val="10"/>
        <color rgb="FF000000"/>
        <rFont val="Cambria"/>
        <family val="1"/>
      </rPr>
      <t>u(R</t>
    </r>
    <r>
      <rPr>
        <i/>
        <vertAlign val="subscript"/>
        <sz val="10"/>
        <color rgb="FF000000"/>
        <rFont val="Cambria"/>
        <family val="1"/>
      </rPr>
      <t>u2</t>
    </r>
    <r>
      <rPr>
        <i/>
        <sz val="10"/>
        <color rgb="FF000000"/>
        <rFont val="Cambria"/>
        <family val="1"/>
      </rPr>
      <t>)</t>
    </r>
  </si>
  <si>
    <r>
      <rPr>
        <i/>
        <sz val="10"/>
        <color rgb="FF000000"/>
        <rFont val="Cambria"/>
        <family val="1"/>
      </rPr>
      <t>u(R</t>
    </r>
    <r>
      <rPr>
        <i/>
        <vertAlign val="subscript"/>
        <sz val="10"/>
        <color rgb="FF000000"/>
        <rFont val="Cambria"/>
        <family val="1"/>
      </rPr>
      <t>s</t>
    </r>
    <r>
      <rPr>
        <i/>
        <sz val="10"/>
        <color rgb="FF000000"/>
        <rFont val="Cambria"/>
        <family val="1"/>
      </rPr>
      <t>)</t>
    </r>
  </si>
  <si>
    <r>
      <rPr>
        <i/>
        <sz val="10"/>
        <color rgb="FF000000"/>
        <rFont val="Cambria"/>
        <family val="1"/>
      </rPr>
      <t>u(R</t>
    </r>
    <r>
      <rPr>
        <i/>
        <vertAlign val="subscript"/>
        <sz val="10"/>
        <color rgb="FF000000"/>
        <rFont val="Cambria"/>
        <family val="1"/>
      </rPr>
      <t>d</t>
    </r>
    <r>
      <rPr>
        <i/>
        <sz val="10"/>
        <color rgb="FF000000"/>
        <rFont val="Cambria"/>
        <family val="1"/>
      </rPr>
      <t>)</t>
    </r>
  </si>
  <si>
    <r>
      <rPr>
        <i/>
        <sz val="10"/>
        <color rgb="FF000000"/>
        <rFont val="Cambria"/>
        <family val="1"/>
      </rPr>
      <t xml:space="preserve">Derajat Kebebasan Efektif, v </t>
    </r>
    <r>
      <rPr>
        <i/>
        <vertAlign val="subscript"/>
        <sz val="10"/>
        <color rgb="FF000000"/>
        <rFont val="Cambria"/>
        <family val="1"/>
      </rPr>
      <t>eff</t>
    </r>
  </si>
  <si>
    <r>
      <rPr>
        <i/>
        <sz val="10"/>
        <color rgb="FF000000"/>
        <rFont val="Cambria"/>
        <family val="1"/>
      </rPr>
      <t>Faktor Cakupan, k-student's for v</t>
    </r>
    <r>
      <rPr>
        <i/>
        <vertAlign val="subscript"/>
        <sz val="10"/>
        <color rgb="FF000000"/>
        <rFont val="Cambria"/>
        <family val="1"/>
      </rPr>
      <t>eff</t>
    </r>
    <r>
      <rPr>
        <i/>
        <sz val="10"/>
        <color rgb="FF000000"/>
        <rFont val="Cambria"/>
        <family val="1"/>
      </rPr>
      <t xml:space="preserve"> and CL 95 %</t>
    </r>
  </si>
  <si>
    <r>
      <rPr>
        <b/>
        <sz val="10"/>
        <color rgb="FF000000"/>
        <rFont val="Cambria"/>
        <family val="1"/>
      </rPr>
      <t>(Ui.Ci)</t>
    </r>
    <r>
      <rPr>
        <b/>
        <vertAlign val="superscript"/>
        <sz val="10"/>
        <color rgb="FF000000"/>
        <rFont val="Cambria"/>
        <family val="1"/>
      </rPr>
      <t>2</t>
    </r>
  </si>
  <si>
    <r>
      <rPr>
        <b/>
        <sz val="10"/>
        <color rgb="FF000000"/>
        <rFont val="Cambria"/>
        <family val="1"/>
      </rPr>
      <t>(Ui.Ci)</t>
    </r>
    <r>
      <rPr>
        <b/>
        <vertAlign val="superscript"/>
        <sz val="10"/>
        <color rgb="FF000000"/>
        <rFont val="Cambria"/>
        <family val="1"/>
      </rPr>
      <t>4</t>
    </r>
    <r>
      <rPr>
        <b/>
        <sz val="10"/>
        <color rgb="FF000000"/>
        <rFont val="Cambria"/>
        <family val="1"/>
      </rPr>
      <t>/ vi</t>
    </r>
  </si>
  <si>
    <r>
      <rPr>
        <i/>
        <sz val="10"/>
        <color rgb="FF000000"/>
        <rFont val="Cambria"/>
        <family val="1"/>
      </rPr>
      <t>u(R</t>
    </r>
    <r>
      <rPr>
        <i/>
        <vertAlign val="subscript"/>
        <sz val="10"/>
        <color rgb="FF000000"/>
        <rFont val="Cambria"/>
        <family val="1"/>
      </rPr>
      <t>u1</t>
    </r>
    <r>
      <rPr>
        <i/>
        <sz val="10"/>
        <color rgb="FF000000"/>
        <rFont val="Cambria"/>
        <family val="1"/>
      </rPr>
      <t>)</t>
    </r>
  </si>
  <si>
    <r>
      <rPr>
        <i/>
        <sz val="10"/>
        <color rgb="FF000000"/>
        <rFont val="Cambria"/>
        <family val="1"/>
      </rPr>
      <t>u(R</t>
    </r>
    <r>
      <rPr>
        <i/>
        <vertAlign val="subscript"/>
        <sz val="10"/>
        <color rgb="FF000000"/>
        <rFont val="Cambria"/>
        <family val="1"/>
      </rPr>
      <t>u2</t>
    </r>
    <r>
      <rPr>
        <i/>
        <sz val="10"/>
        <color rgb="FF000000"/>
        <rFont val="Cambria"/>
        <family val="1"/>
      </rPr>
      <t>)</t>
    </r>
  </si>
  <si>
    <r>
      <rPr>
        <i/>
        <sz val="10"/>
        <color rgb="FF000000"/>
        <rFont val="Cambria"/>
        <family val="1"/>
      </rPr>
      <t>u(R</t>
    </r>
    <r>
      <rPr>
        <i/>
        <vertAlign val="subscript"/>
        <sz val="10"/>
        <color rgb="FF000000"/>
        <rFont val="Cambria"/>
        <family val="1"/>
      </rPr>
      <t>s</t>
    </r>
    <r>
      <rPr>
        <i/>
        <sz val="10"/>
        <color rgb="FF000000"/>
        <rFont val="Cambria"/>
        <family val="1"/>
      </rPr>
      <t>)</t>
    </r>
  </si>
  <si>
    <r>
      <rPr>
        <i/>
        <sz val="10"/>
        <color rgb="FF000000"/>
        <rFont val="Cambria"/>
        <family val="1"/>
      </rPr>
      <t>u(R</t>
    </r>
    <r>
      <rPr>
        <i/>
        <vertAlign val="subscript"/>
        <sz val="10"/>
        <color rgb="FF000000"/>
        <rFont val="Cambria"/>
        <family val="1"/>
      </rPr>
      <t>d</t>
    </r>
    <r>
      <rPr>
        <i/>
        <sz val="10"/>
        <color rgb="FF000000"/>
        <rFont val="Cambria"/>
        <family val="1"/>
      </rPr>
      <t>)</t>
    </r>
  </si>
  <si>
    <r>
      <rPr>
        <i/>
        <sz val="10"/>
        <color rgb="FF000000"/>
        <rFont val="Cambria"/>
        <family val="1"/>
      </rPr>
      <t xml:space="preserve">Derajat Kebebasan Efektif, v </t>
    </r>
    <r>
      <rPr>
        <i/>
        <vertAlign val="subscript"/>
        <sz val="10"/>
        <color rgb="FF000000"/>
        <rFont val="Cambria"/>
        <family val="1"/>
      </rPr>
      <t>eff</t>
    </r>
  </si>
  <si>
    <r>
      <rPr>
        <i/>
        <sz val="10"/>
        <color rgb="FF000000"/>
        <rFont val="Cambria"/>
        <family val="1"/>
      </rPr>
      <t>Faktor Cakupan, k-student's for v</t>
    </r>
    <r>
      <rPr>
        <i/>
        <vertAlign val="subscript"/>
        <sz val="10"/>
        <color rgb="FF000000"/>
        <rFont val="Cambria"/>
        <family val="1"/>
      </rPr>
      <t>eff</t>
    </r>
    <r>
      <rPr>
        <i/>
        <sz val="10"/>
        <color rgb="FF000000"/>
        <rFont val="Cambria"/>
        <family val="1"/>
      </rPr>
      <t xml:space="preserve"> and CL 95 %</t>
    </r>
  </si>
  <si>
    <t>Temperatur  (°C)</t>
  </si>
  <si>
    <t>Kelembaban Relatif(%RH)</t>
  </si>
  <si>
    <t>Alat</t>
  </si>
  <si>
    <t>Koreksi</t>
  </si>
  <si>
    <t>U95%</t>
  </si>
  <si>
    <t>AC Current-Measure</t>
  </si>
  <si>
    <r>
      <t>C = I</t>
    </r>
    <r>
      <rPr>
        <vertAlign val="subscript"/>
        <sz val="10"/>
        <color rgb="FF000000"/>
        <rFont val="Cambria"/>
        <family val="1"/>
      </rPr>
      <t xml:space="preserve">s </t>
    </r>
    <r>
      <rPr>
        <sz val="10"/>
        <color rgb="FF000000"/>
        <rFont val="Cambria"/>
        <family val="1"/>
      </rPr>
      <t>- I</t>
    </r>
    <r>
      <rPr>
        <vertAlign val="subscript"/>
        <sz val="10"/>
        <color rgb="FF000000"/>
        <rFont val="Cambria"/>
        <family val="1"/>
      </rPr>
      <t>UUT</t>
    </r>
  </si>
  <si>
    <r>
      <t>C = I</t>
    </r>
    <r>
      <rPr>
        <vertAlign val="subscript"/>
        <sz val="10"/>
        <color rgb="FF000000"/>
        <rFont val="Cambria"/>
        <family val="1"/>
      </rPr>
      <t xml:space="preserve">s </t>
    </r>
    <r>
      <rPr>
        <sz val="10"/>
        <color rgb="FF000000"/>
        <rFont val="Cambria"/>
        <family val="1"/>
      </rPr>
      <t>+ δI</t>
    </r>
    <r>
      <rPr>
        <vertAlign val="subscript"/>
        <sz val="10"/>
        <color rgb="FF000000"/>
        <rFont val="Cambria"/>
        <family val="1"/>
      </rPr>
      <t>s</t>
    </r>
    <r>
      <rPr>
        <sz val="10"/>
        <color rgb="FF000000"/>
        <rFont val="Cambria"/>
        <family val="1"/>
      </rPr>
      <t xml:space="preserve"> - I</t>
    </r>
    <r>
      <rPr>
        <vertAlign val="subscript"/>
        <sz val="10"/>
        <color rgb="FF000000"/>
        <rFont val="Cambria"/>
        <family val="1"/>
      </rPr>
      <t>UUT</t>
    </r>
  </si>
  <si>
    <r>
      <t>I</t>
    </r>
    <r>
      <rPr>
        <vertAlign val="subscript"/>
        <sz val="10"/>
        <color rgb="FF000000"/>
        <rFont val="Cambria"/>
        <family val="1"/>
      </rPr>
      <t>s</t>
    </r>
  </si>
  <si>
    <r>
      <t>δI</t>
    </r>
    <r>
      <rPr>
        <vertAlign val="subscript"/>
        <sz val="10"/>
        <color rgb="FF000000"/>
        <rFont val="Cambria"/>
        <family val="1"/>
      </rPr>
      <t>s</t>
    </r>
  </si>
  <si>
    <r>
      <t>I</t>
    </r>
    <r>
      <rPr>
        <vertAlign val="subscript"/>
        <sz val="10"/>
        <color rgb="FF000000"/>
        <rFont val="Cambria"/>
        <family val="1"/>
      </rPr>
      <t>UUT</t>
    </r>
  </si>
  <si>
    <r>
      <rPr>
        <b/>
        <sz val="10"/>
        <color indexed="8"/>
        <rFont val="Cambria"/>
        <family val="1"/>
      </rPr>
      <t>(Ui.Ci)</t>
    </r>
    <r>
      <rPr>
        <b/>
        <vertAlign val="superscript"/>
        <sz val="10"/>
        <color indexed="8"/>
        <rFont val="Cambria"/>
        <family val="1"/>
      </rPr>
      <t>2</t>
    </r>
  </si>
  <si>
    <r>
      <rPr>
        <b/>
        <sz val="10"/>
        <color indexed="8"/>
        <rFont val="Cambria"/>
        <family val="1"/>
      </rPr>
      <t>(Ui.Ci)</t>
    </r>
    <r>
      <rPr>
        <b/>
        <vertAlign val="superscript"/>
        <sz val="10"/>
        <color indexed="8"/>
        <rFont val="Cambria"/>
        <family val="1"/>
      </rPr>
      <t>4</t>
    </r>
    <r>
      <rPr>
        <b/>
        <sz val="10"/>
        <color indexed="8"/>
        <rFont val="Cambria"/>
        <family val="1"/>
      </rPr>
      <t>/ vi</t>
    </r>
  </si>
  <si>
    <r>
      <t>u(I</t>
    </r>
    <r>
      <rPr>
        <vertAlign val="subscript"/>
        <sz val="10"/>
        <color indexed="8"/>
        <rFont val="Cambria"/>
        <family val="1"/>
      </rPr>
      <t>u1</t>
    </r>
    <r>
      <rPr>
        <sz val="10"/>
        <color indexed="8"/>
        <rFont val="Cambria"/>
        <family val="1"/>
      </rPr>
      <t>)</t>
    </r>
  </si>
  <si>
    <r>
      <t>u(I</t>
    </r>
    <r>
      <rPr>
        <vertAlign val="subscript"/>
        <sz val="10"/>
        <color indexed="8"/>
        <rFont val="Cambria"/>
        <family val="1"/>
      </rPr>
      <t>u2</t>
    </r>
    <r>
      <rPr>
        <sz val="10"/>
        <color indexed="8"/>
        <rFont val="Cambria"/>
        <family val="1"/>
      </rPr>
      <t>)</t>
    </r>
  </si>
  <si>
    <r>
      <t>u(I</t>
    </r>
    <r>
      <rPr>
        <vertAlign val="subscript"/>
        <sz val="10"/>
        <color indexed="8"/>
        <rFont val="Cambria"/>
        <family val="1"/>
      </rPr>
      <t>s</t>
    </r>
    <r>
      <rPr>
        <sz val="10"/>
        <color indexed="8"/>
        <rFont val="Cambria"/>
        <family val="1"/>
      </rPr>
      <t>)</t>
    </r>
  </si>
  <si>
    <r>
      <t>u(I</t>
    </r>
    <r>
      <rPr>
        <vertAlign val="subscript"/>
        <sz val="10"/>
        <color indexed="8"/>
        <rFont val="Cambria"/>
        <family val="1"/>
      </rPr>
      <t>ds</t>
    </r>
    <r>
      <rPr>
        <sz val="10"/>
        <color indexed="8"/>
        <rFont val="Cambria"/>
        <family val="1"/>
      </rPr>
      <t>)</t>
    </r>
  </si>
  <si>
    <r>
      <rPr>
        <i/>
        <sz val="10"/>
        <color indexed="8"/>
        <rFont val="Cambria"/>
        <family val="1"/>
      </rPr>
      <t xml:space="preserve">Derajat Kebebasan Efektif, v </t>
    </r>
    <r>
      <rPr>
        <i/>
        <vertAlign val="subscript"/>
        <sz val="10"/>
        <color indexed="8"/>
        <rFont val="Cambria"/>
        <family val="1"/>
      </rPr>
      <t>eff</t>
    </r>
  </si>
  <si>
    <r>
      <rPr>
        <i/>
        <sz val="10"/>
        <color indexed="8"/>
        <rFont val="Cambria"/>
        <family val="1"/>
      </rPr>
      <t>Faktor Cakupan, k-student's for v</t>
    </r>
    <r>
      <rPr>
        <i/>
        <vertAlign val="subscript"/>
        <sz val="10"/>
        <color indexed="8"/>
        <rFont val="Cambria"/>
        <family val="1"/>
      </rPr>
      <t>eff</t>
    </r>
    <r>
      <rPr>
        <i/>
        <sz val="10"/>
        <color indexed="8"/>
        <rFont val="Cambria"/>
        <family val="1"/>
      </rPr>
      <t xml:space="preserve"> and CL 95 %</t>
    </r>
  </si>
  <si>
    <t>Uncertainty Budget sebagai Pendukung Kemampuan Kalibrasi dan Pengukuran (CMC)</t>
  </si>
  <si>
    <t>IK-K-04-UL-01</t>
  </si>
  <si>
    <t>BALAI BESAR STANDARDISASI DAN PELAYANAN JASA INDUSTRI LOGAM DAN MESIN</t>
  </si>
  <si>
    <t>Nur</t>
  </si>
  <si>
    <t>Un24</t>
  </si>
  <si>
    <t>KorStan24</t>
  </si>
  <si>
    <t>Un 24</t>
  </si>
  <si>
    <t>KorStan 24</t>
  </si>
  <si>
    <t>P Standar</t>
  </si>
  <si>
    <t>Kor Std</t>
  </si>
  <si>
    <t>P Alat</t>
  </si>
  <si>
    <t>Kor Alat</t>
  </si>
  <si>
    <t>-</t>
  </si>
  <si>
    <t>S E R T I F I K A T    K A L I B R A S I</t>
  </si>
  <si>
    <t>C A L I B R A T I O N     C E R T I F I C A T E</t>
  </si>
  <si>
    <t>Nomor /</t>
  </si>
  <si>
    <t xml:space="preserve"> Number</t>
  </si>
  <si>
    <t>IDENTITAS  ALAT</t>
  </si>
  <si>
    <t>INSTRUMENT DETAILS</t>
  </si>
  <si>
    <t>Nama Alat</t>
  </si>
  <si>
    <t>Merek</t>
  </si>
  <si>
    <t>Brand</t>
  </si>
  <si>
    <t>Type</t>
  </si>
  <si>
    <t>Nomor Identitas</t>
  </si>
  <si>
    <t>Identity Number</t>
  </si>
  <si>
    <t>Nomor Seri</t>
  </si>
  <si>
    <t>Serial Number</t>
  </si>
  <si>
    <t>Lain-lain</t>
  </si>
  <si>
    <t>Kapasitas</t>
  </si>
  <si>
    <t>Others</t>
  </si>
  <si>
    <t>Kecermatan</t>
  </si>
  <si>
    <t>IDENTITAS PEMILIK</t>
  </si>
  <si>
    <t>OWNER'S IDENTIFICATION</t>
  </si>
  <si>
    <r>
      <t>Nama</t>
    </r>
    <r>
      <rPr>
        <i/>
        <sz val="8"/>
        <color rgb="FF000000"/>
        <rFont val="Bookman Old Style"/>
        <family val="1"/>
      </rPr>
      <t xml:space="preserve"> </t>
    </r>
  </si>
  <si>
    <t>Designation</t>
  </si>
  <si>
    <r>
      <t>Alamat</t>
    </r>
    <r>
      <rPr>
        <i/>
        <sz val="8"/>
        <color rgb="FF000000"/>
        <rFont val="Bookman Old Style"/>
        <family val="1"/>
      </rPr>
      <t xml:space="preserve"> </t>
    </r>
  </si>
  <si>
    <t>Address</t>
  </si>
  <si>
    <t>dari</t>
  </si>
  <si>
    <t>halaman</t>
  </si>
  <si>
    <t>Page</t>
  </si>
  <si>
    <t>of</t>
  </si>
  <si>
    <t>pages</t>
  </si>
  <si>
    <t>Diterbitkan Tanggal</t>
  </si>
  <si>
    <t>Date of Issue</t>
  </si>
  <si>
    <t>Ketua Tim Laboratorium Kalibrasi dan Penguji,</t>
  </si>
  <si>
    <t>Nomor</t>
  </si>
  <si>
    <t xml:space="preserve">Halaman </t>
  </si>
  <si>
    <t>SPESIFIKASI ALAT</t>
  </si>
  <si>
    <t>Nama</t>
  </si>
  <si>
    <t>No. Identitas / No. Seri</t>
  </si>
  <si>
    <t xml:space="preserve">Kapasitas </t>
  </si>
  <si>
    <t>Prosedur Kalibrasi</t>
  </si>
  <si>
    <t>Tanggal Terima</t>
  </si>
  <si>
    <t>Kondisi ruang</t>
  </si>
  <si>
    <t>Tanggal Kalibrasi</t>
  </si>
  <si>
    <t>Suhu ruang</t>
  </si>
  <si>
    <t xml:space="preserve">Kelembaban </t>
  </si>
  <si>
    <t>HASIL KALIBRASI</t>
  </si>
  <si>
    <t>Tegangan AC (AC Voltmeter), f = 50 Hz</t>
  </si>
  <si>
    <t>Rentang Ukur</t>
  </si>
  <si>
    <t>Ketidakpastian U95% (k=2)</t>
  </si>
  <si>
    <t>Tegangan DC (DC Voltmeter)</t>
  </si>
  <si>
    <t>Arus DC (DC Amperemeter)</t>
  </si>
  <si>
    <t>Resistansi (Ohmmeter)</t>
  </si>
  <si>
    <t>Catatan</t>
  </si>
  <si>
    <r>
      <t>Instrument</t>
    </r>
    <r>
      <rPr>
        <vertAlign val="superscript"/>
        <sz val="11"/>
        <color rgb="FF000000"/>
        <rFont val="Bookman Old Style"/>
        <family val="1"/>
      </rPr>
      <t xml:space="preserve"> </t>
    </r>
    <r>
      <rPr>
        <i/>
        <vertAlign val="superscript"/>
        <sz val="11"/>
        <color rgb="FF000000"/>
        <rFont val="Bookman Old Style"/>
        <family val="1"/>
      </rPr>
      <t>Name</t>
    </r>
  </si>
  <si>
    <t>Merek / Tipe</t>
  </si>
  <si>
    <t>* diluar lingkup Akreditasi KAN laboratorium kalibrasi.</t>
  </si>
  <si>
    <t>Multiproduct Calibrator Fluke 5500A No. Seri 6790012 yang tertelusur ke SI melalui Laboratorium SNSU BSN.</t>
  </si>
  <si>
    <t>/</t>
  </si>
  <si>
    <t>Arus AC (AC Amperemeter), f = 50 Hz</t>
  </si>
  <si>
    <t>Yoyon</t>
  </si>
  <si>
    <t>FLUKE</t>
  </si>
  <si>
    <t>6000 Count</t>
  </si>
  <si>
    <t>Yoyon Suyono</t>
  </si>
  <si>
    <t>NIP. 196804111996031001</t>
  </si>
  <si>
    <t>U24</t>
  </si>
  <si>
    <t>u24</t>
  </si>
  <si>
    <t>Firman/Suratmaji</t>
  </si>
  <si>
    <t>IK-K-KL-01</t>
  </si>
  <si>
    <t>K560</t>
  </si>
  <si>
    <t>T-Std</t>
  </si>
  <si>
    <t>PT Rukun Sejahtera Teknik</t>
  </si>
  <si>
    <t>Karawang Sentral Bizhub, Jl. Raya Telukjambe No. 8 Karawang, Jawa Barat</t>
  </si>
  <si>
    <t>0092-6.1</t>
  </si>
  <si>
    <t>66340242</t>
  </si>
  <si>
    <t>kore</t>
  </si>
  <si>
    <t>x</t>
  </si>
  <si>
    <t xml:space="preserve">Data Linear </t>
  </si>
  <si>
    <t xml:space="preserve">Satuan </t>
  </si>
  <si>
    <t>V1</t>
  </si>
  <si>
    <t>V2</t>
  </si>
  <si>
    <t>V3</t>
  </si>
  <si>
    <t>V4</t>
  </si>
  <si>
    <t xml:space="preserve">Input </t>
  </si>
  <si>
    <t xml:space="preserve">Output </t>
  </si>
  <si>
    <t>alat sta d</t>
  </si>
  <si>
    <t>korekd</t>
  </si>
  <si>
    <t xml:space="preserve">Biarkan saja lur </t>
  </si>
  <si>
    <t>DATA VOLTAGE DC</t>
  </si>
  <si>
    <t>50 hz</t>
  </si>
  <si>
    <t xml:space="preserve">Frequency </t>
  </si>
  <si>
    <t xml:space="preserve">Range </t>
  </si>
  <si>
    <t>Freq (Hz)</t>
  </si>
  <si>
    <t>DATA VOLTAGE AC</t>
  </si>
  <si>
    <t>a</t>
  </si>
  <si>
    <t>a2</t>
  </si>
  <si>
    <t>a5</t>
  </si>
  <si>
    <t>a3</t>
  </si>
  <si>
    <t>a4</t>
  </si>
  <si>
    <t>a6</t>
  </si>
  <si>
    <t>a7</t>
  </si>
  <si>
    <t>mA1</t>
  </si>
  <si>
    <t>mA2</t>
  </si>
  <si>
    <t>mA3</t>
  </si>
  <si>
    <t>A1</t>
  </si>
  <si>
    <t>A2</t>
  </si>
  <si>
    <t>DATA ARUS AC</t>
  </si>
  <si>
    <t>Frequency</t>
  </si>
  <si>
    <t>DATA ARUS DC</t>
  </si>
  <si>
    <t xml:space="preserve">DATA RESISTANSI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</si>
</sst>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_-* #,##0_-;\-* #,##0_-;_-* &quot;-&quot;_-;_-@_-"/>
    <numFmt numFmtId="165" formatCode="0.0"/>
    <numFmt numFmtId="166" formatCode="0.00000"/>
    <numFmt numFmtId="167" formatCode="0.000"/>
    <numFmt numFmtId="168" formatCode="0.0000"/>
    <numFmt numFmtId="169" formatCode="0.000000"/>
    <numFmt numFmtId="170" formatCode="@\ * &quot;:&quot;"/>
    <numFmt numFmtId="171" formatCode="@\ * &quot; : &quot;"/>
    <numFmt numFmtId="172" formatCode="0\ "/>
    <numFmt numFmtId="173" formatCode="0.00000000"/>
    <numFmt numFmtId="174" formatCode="@* &quot;:&quot;"/>
    <numFmt numFmtId="175" formatCode="[$-421]dd\ mmmm\ yyyy;@"/>
    <numFmt numFmtId="176" formatCode="0.0000000"/>
  </numFmts>
  <fonts count="6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mbria"/>
      <family val="1"/>
    </font>
    <font>
      <sz val="10"/>
      <color theme="1"/>
      <name val="Cambria"/>
      <family val="1"/>
    </font>
    <font>
      <sz val="10"/>
      <color rgb="FF000000"/>
      <name val="Calibri"/>
      <family val="2"/>
    </font>
    <font>
      <sz val="11"/>
      <name val="Calibri"/>
      <family val="2"/>
    </font>
    <font>
      <sz val="11"/>
      <color theme="1"/>
      <name val="Cambria"/>
      <family val="1"/>
    </font>
    <font>
      <b/>
      <sz val="10"/>
      <color rgb="FF000000"/>
      <name val="Cambria"/>
      <family val="1"/>
    </font>
    <font>
      <b/>
      <sz val="12"/>
      <color rgb="FF000000"/>
      <name val="Cambria"/>
      <family val="1"/>
    </font>
    <font>
      <sz val="11"/>
      <color rgb="FF000000"/>
      <name val="Cambria"/>
      <family val="1"/>
    </font>
    <font>
      <b/>
      <sz val="10"/>
      <color theme="1"/>
      <name val="Cambria"/>
      <family val="1"/>
    </font>
    <font>
      <i/>
      <sz val="10"/>
      <color rgb="FF000000"/>
      <name val="Cambria"/>
      <family val="1"/>
    </font>
    <font>
      <sz val="10"/>
      <color rgb="FF548DD4"/>
      <name val="Cambria"/>
      <family val="1"/>
    </font>
    <font>
      <vertAlign val="subscript"/>
      <sz val="10"/>
      <color rgb="FF000000"/>
      <name val="Cambria"/>
      <family val="1"/>
    </font>
    <font>
      <b/>
      <vertAlign val="superscript"/>
      <sz val="10"/>
      <color rgb="FF000000"/>
      <name val="Cambria"/>
      <family val="1"/>
    </font>
    <font>
      <i/>
      <vertAlign val="subscript"/>
      <sz val="10"/>
      <color rgb="FF000000"/>
      <name val="Cambria"/>
      <family val="1"/>
    </font>
    <font>
      <sz val="11"/>
      <name val="Cambria"/>
      <family val="1"/>
    </font>
    <font>
      <sz val="11"/>
      <color rgb="FF000000"/>
      <name val="Cambria"/>
      <family val="1"/>
    </font>
    <font>
      <sz val="11"/>
      <color theme="1"/>
      <name val="Calibri"/>
      <family val="2"/>
      <scheme val="minor"/>
    </font>
    <font>
      <sz val="10"/>
      <color theme="1"/>
      <name val="Cambria"/>
      <family val="1"/>
    </font>
    <font>
      <sz val="11"/>
      <color theme="1"/>
      <name val="Arial"/>
      <family val="2"/>
    </font>
    <font>
      <sz val="10"/>
      <name val="Cambria"/>
      <family val="1"/>
    </font>
    <font>
      <b/>
      <sz val="10"/>
      <color theme="1"/>
      <name val="Cambria"/>
      <family val="1"/>
    </font>
    <font>
      <sz val="10"/>
      <color rgb="FF000000"/>
      <name val="Cambria"/>
      <family val="1"/>
    </font>
    <font>
      <b/>
      <sz val="10"/>
      <color rgb="FF000000"/>
      <name val="Cambria"/>
      <family val="1"/>
    </font>
    <font>
      <b/>
      <sz val="10"/>
      <name val="Cambria"/>
      <family val="1"/>
    </font>
    <font>
      <b/>
      <sz val="10"/>
      <color indexed="8"/>
      <name val="Cambria"/>
      <family val="1"/>
    </font>
    <font>
      <b/>
      <vertAlign val="superscript"/>
      <sz val="10"/>
      <color indexed="8"/>
      <name val="Cambria"/>
      <family val="1"/>
    </font>
    <font>
      <sz val="10"/>
      <color indexed="8"/>
      <name val="Cambria"/>
      <family val="1"/>
    </font>
    <font>
      <vertAlign val="subscript"/>
      <sz val="10"/>
      <color indexed="8"/>
      <name val="Cambria"/>
      <family val="1"/>
    </font>
    <font>
      <i/>
      <sz val="10"/>
      <color rgb="FF000000"/>
      <name val="Cambria"/>
      <family val="1"/>
    </font>
    <font>
      <i/>
      <sz val="10"/>
      <color indexed="8"/>
      <name val="Cambria"/>
      <family val="1"/>
    </font>
    <font>
      <i/>
      <vertAlign val="subscript"/>
      <sz val="10"/>
      <color indexed="8"/>
      <name val="Cambria"/>
      <family val="1"/>
    </font>
    <font>
      <sz val="11"/>
      <name val="Calibri"/>
      <family val="2"/>
    </font>
    <font>
      <sz val="11"/>
      <color theme="1"/>
      <name val="Cambria"/>
      <family val="1"/>
    </font>
    <font>
      <sz val="8"/>
      <name val="Calibri"/>
      <family val="2"/>
      <scheme val="minor"/>
    </font>
    <font>
      <sz val="11"/>
      <color theme="1"/>
      <name val="Bookman Old Style"/>
      <family val="1"/>
    </font>
    <font>
      <b/>
      <sz val="18"/>
      <color theme="1"/>
      <name val="Bookman Old Style"/>
      <family val="1"/>
    </font>
    <font>
      <b/>
      <i/>
      <sz val="14"/>
      <color theme="1"/>
      <name val="Bookman Old Style"/>
      <family val="1"/>
    </font>
    <font>
      <i/>
      <sz val="11"/>
      <color theme="1"/>
      <name val="Bookman Old Style"/>
      <family val="1"/>
    </font>
    <font>
      <b/>
      <sz val="11"/>
      <color rgb="FF000000"/>
      <name val="Bookman Old Style"/>
      <family val="1"/>
    </font>
    <font>
      <b/>
      <u/>
      <sz val="11"/>
      <color rgb="FF000000"/>
      <name val="Bookman Old Style"/>
      <family val="1"/>
    </font>
    <font>
      <b/>
      <i/>
      <sz val="8"/>
      <color rgb="FF000000"/>
      <name val="Bookman Old Style"/>
      <family val="1"/>
    </font>
    <font>
      <sz val="11"/>
      <color rgb="FF000000"/>
      <name val="Bookman Old Style"/>
      <family val="1"/>
    </font>
    <font>
      <i/>
      <sz val="8"/>
      <color rgb="FF000000"/>
      <name val="Bookman Old Style"/>
      <family val="1"/>
    </font>
    <font>
      <sz val="11"/>
      <color rgb="FF0C0D0E"/>
      <name val="Bookman Old Style"/>
      <family val="1"/>
    </font>
    <font>
      <b/>
      <u/>
      <sz val="11"/>
      <color theme="1"/>
      <name val="Bookman Old Style"/>
      <family val="1"/>
    </font>
    <font>
      <b/>
      <sz val="11"/>
      <color theme="1"/>
      <name val="Bookman Old Style"/>
      <family val="1"/>
    </font>
    <font>
      <b/>
      <sz val="20"/>
      <color theme="1"/>
      <name val="Bookman Old Style"/>
      <family val="1"/>
    </font>
    <font>
      <b/>
      <i/>
      <sz val="16"/>
      <color theme="1"/>
      <name val="Bookman Old Style"/>
      <family val="1"/>
    </font>
    <font>
      <i/>
      <vertAlign val="superscript"/>
      <sz val="11"/>
      <color rgb="FF000000"/>
      <name val="Bookman Old Style"/>
      <family val="1"/>
    </font>
    <font>
      <vertAlign val="superscript"/>
      <sz val="11"/>
      <color rgb="FF000000"/>
      <name val="Bookman Old Style"/>
      <family val="1"/>
    </font>
    <font>
      <vertAlign val="superscript"/>
      <sz val="11"/>
      <color theme="1"/>
      <name val="Calibri"/>
      <family val="2"/>
      <scheme val="minor"/>
    </font>
    <font>
      <vertAlign val="superscript"/>
      <sz val="11"/>
      <color theme="1"/>
      <name val="Bookman Old Style"/>
      <family val="1"/>
    </font>
    <font>
      <sz val="11"/>
      <color theme="4" tint="0.59999389629810485"/>
      <name val="Cambria"/>
      <family val="1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scheme val="minor"/>
    </font>
    <font>
      <b/>
      <sz val="11"/>
      <color rgb="FF000000"/>
      <name val="Cambria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6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/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/>
      <diagonal/>
    </border>
    <border>
      <left/>
      <right style="thin">
        <color auto="1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auto="1"/>
      </bottom>
      <diagonal/>
    </border>
    <border>
      <left style="thin">
        <color rgb="FF000000"/>
      </left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9">
    <xf numFmtId="0" fontId="0" fillId="0" borderId="0"/>
    <xf numFmtId="164" fontId="20" fillId="0" borderId="0" applyFont="0" applyFill="0" applyBorder="0" applyAlignment="0" applyProtection="0"/>
    <xf numFmtId="0" fontId="3" fillId="0" borderId="0"/>
    <xf numFmtId="0" fontId="3" fillId="0" borderId="0">
      <alignment vertical="center"/>
    </xf>
    <xf numFmtId="0" fontId="22" fillId="0" borderId="0"/>
    <xf numFmtId="0" fontId="22" fillId="0" borderId="0"/>
    <xf numFmtId="0" fontId="2" fillId="0" borderId="0"/>
    <xf numFmtId="0" fontId="1" fillId="0" borderId="0"/>
    <xf numFmtId="0" fontId="1" fillId="0" borderId="0"/>
  </cellStyleXfs>
  <cellXfs count="871">
    <xf numFmtId="0" fontId="0" fillId="0" borderId="0" xfId="0"/>
    <xf numFmtId="0" fontId="5" fillId="0" borderId="0" xfId="0" applyFont="1"/>
    <xf numFmtId="2" fontId="5" fillId="0" borderId="0" xfId="0" applyNumberFormat="1" applyFont="1"/>
    <xf numFmtId="0" fontId="5" fillId="0" borderId="0" xfId="0" applyFont="1" applyAlignment="1">
      <alignment wrapText="1"/>
    </xf>
    <xf numFmtId="0" fontId="4" fillId="0" borderId="0" xfId="0" applyFont="1" applyAlignment="1">
      <alignment vertical="center"/>
    </xf>
    <xf numFmtId="165" fontId="5" fillId="0" borderId="0" xfId="0" applyNumberFormat="1" applyFont="1"/>
    <xf numFmtId="167" fontId="5" fillId="0" borderId="0" xfId="0" applyNumberFormat="1" applyFont="1"/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0" fontId="8" fillId="0" borderId="0" xfId="0" applyFont="1"/>
    <xf numFmtId="0" fontId="9" fillId="0" borderId="12" xfId="0" applyFont="1" applyBorder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4" fillId="0" borderId="14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5" xfId="0" applyFont="1" applyBorder="1"/>
    <xf numFmtId="0" fontId="4" fillId="0" borderId="16" xfId="0" applyFont="1" applyBorder="1"/>
    <xf numFmtId="0" fontId="11" fillId="0" borderId="19" xfId="0" applyFont="1" applyBorder="1"/>
    <xf numFmtId="0" fontId="11" fillId="0" borderId="13" xfId="0" applyFont="1" applyBorder="1"/>
    <xf numFmtId="0" fontId="11" fillId="0" borderId="21" xfId="0" applyFont="1" applyBorder="1"/>
    <xf numFmtId="170" fontId="11" fillId="0" borderId="21" xfId="0" applyNumberFormat="1" applyFont="1" applyBorder="1"/>
    <xf numFmtId="0" fontId="11" fillId="0" borderId="11" xfId="0" applyFont="1" applyBorder="1"/>
    <xf numFmtId="0" fontId="11" fillId="0" borderId="21" xfId="0" applyFont="1" applyBorder="1" applyAlignment="1">
      <alignment horizontal="center"/>
    </xf>
    <xf numFmtId="0" fontId="11" fillId="0" borderId="21" xfId="0" applyFont="1" applyBorder="1" applyAlignment="1">
      <alignment horizontal="left"/>
    </xf>
    <xf numFmtId="0" fontId="11" fillId="0" borderId="10" xfId="0" applyFont="1" applyBorder="1"/>
    <xf numFmtId="0" fontId="11" fillId="0" borderId="20" xfId="0" applyFont="1" applyBorder="1"/>
    <xf numFmtId="165" fontId="11" fillId="0" borderId="21" xfId="0" applyNumberFormat="1" applyFont="1" applyBorder="1"/>
    <xf numFmtId="0" fontId="11" fillId="0" borderId="22" xfId="0" applyFont="1" applyBorder="1"/>
    <xf numFmtId="0" fontId="11" fillId="0" borderId="20" xfId="0" applyFont="1" applyBorder="1" applyAlignment="1">
      <alignment horizontal="left"/>
    </xf>
    <xf numFmtId="0" fontId="11" fillId="0" borderId="22" xfId="0" applyFont="1" applyBorder="1" applyAlignment="1">
      <alignment horizontal="left"/>
    </xf>
    <xf numFmtId="0" fontId="11" fillId="0" borderId="9" xfId="0" applyFont="1" applyBorder="1"/>
    <xf numFmtId="0" fontId="11" fillId="0" borderId="10" xfId="0" applyFont="1" applyBorder="1" applyAlignment="1">
      <alignment horizontal="center"/>
    </xf>
    <xf numFmtId="0" fontId="11" fillId="0" borderId="12" xfId="0" applyFont="1" applyBorder="1"/>
    <xf numFmtId="0" fontId="11" fillId="0" borderId="0" xfId="0" applyFont="1" applyAlignment="1">
      <alignment horizontal="center"/>
    </xf>
    <xf numFmtId="0" fontId="11" fillId="0" borderId="23" xfId="0" applyFont="1" applyBorder="1"/>
    <xf numFmtId="0" fontId="11" fillId="0" borderId="19" xfId="0" applyFont="1" applyBorder="1" applyAlignment="1">
      <alignment horizontal="center"/>
    </xf>
    <xf numFmtId="0" fontId="11" fillId="0" borderId="24" xfId="0" applyFont="1" applyBorder="1"/>
    <xf numFmtId="165" fontId="11" fillId="0" borderId="0" xfId="0" applyNumberFormat="1" applyFont="1"/>
    <xf numFmtId="168" fontId="11" fillId="0" borderId="20" xfId="0" applyNumberFormat="1" applyFont="1" applyBorder="1"/>
    <xf numFmtId="167" fontId="11" fillId="0" borderId="22" xfId="0" applyNumberFormat="1" applyFont="1" applyBorder="1"/>
    <xf numFmtId="169" fontId="11" fillId="0" borderId="20" xfId="0" applyNumberFormat="1" applyFont="1" applyBorder="1"/>
    <xf numFmtId="166" fontId="11" fillId="0" borderId="20" xfId="0" applyNumberFormat="1" applyFont="1" applyBorder="1"/>
    <xf numFmtId="167" fontId="11" fillId="0" borderId="20" xfId="0" applyNumberFormat="1" applyFont="1" applyBorder="1"/>
    <xf numFmtId="168" fontId="11" fillId="0" borderId="0" xfId="0" applyNumberFormat="1" applyFont="1"/>
    <xf numFmtId="2" fontId="11" fillId="0" borderId="0" xfId="0" applyNumberFormat="1" applyFont="1"/>
    <xf numFmtId="171" fontId="11" fillId="0" borderId="0" xfId="0" applyNumberFormat="1" applyFont="1" applyAlignment="1">
      <alignment horizontal="left"/>
    </xf>
    <xf numFmtId="0" fontId="4" fillId="0" borderId="0" xfId="0" applyFont="1"/>
    <xf numFmtId="168" fontId="11" fillId="0" borderId="22" xfId="0" applyNumberFormat="1" applyFont="1" applyBorder="1"/>
    <xf numFmtId="168" fontId="11" fillId="0" borderId="10" xfId="0" applyNumberFormat="1" applyFont="1" applyBorder="1"/>
    <xf numFmtId="2" fontId="11" fillId="0" borderId="20" xfId="0" applyNumberFormat="1" applyFont="1" applyBorder="1"/>
    <xf numFmtId="0" fontId="12" fillId="0" borderId="25" xfId="0" applyFont="1" applyBorder="1" applyAlignment="1">
      <alignment horizontal="center"/>
    </xf>
    <xf numFmtId="0" fontId="12" fillId="0" borderId="27" xfId="0" applyFont="1" applyBorder="1" applyAlignment="1">
      <alignment horizontal="center"/>
    </xf>
    <xf numFmtId="0" fontId="12" fillId="0" borderId="26" xfId="0" applyFont="1" applyBorder="1" applyAlignment="1">
      <alignment horizontal="center"/>
    </xf>
    <xf numFmtId="169" fontId="5" fillId="0" borderId="0" xfId="0" applyNumberFormat="1" applyFont="1"/>
    <xf numFmtId="0" fontId="4" fillId="0" borderId="0" xfId="0" quotePrefix="1" applyFont="1" applyAlignment="1">
      <alignment horizontal="right"/>
    </xf>
    <xf numFmtId="14" fontId="5" fillId="0" borderId="28" xfId="0" applyNumberFormat="1" applyFont="1" applyBorder="1"/>
    <xf numFmtId="15" fontId="5" fillId="0" borderId="28" xfId="0" applyNumberFormat="1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29" xfId="0" applyFont="1" applyBorder="1" applyAlignment="1">
      <alignment horizontal="center"/>
    </xf>
    <xf numFmtId="0" fontId="5" fillId="0" borderId="13" xfId="0" applyFont="1" applyBorder="1"/>
    <xf numFmtId="168" fontId="5" fillId="0" borderId="20" xfId="0" applyNumberFormat="1" applyFont="1" applyBorder="1"/>
    <xf numFmtId="0" fontId="5" fillId="0" borderId="21" xfId="0" applyFont="1" applyBorder="1"/>
    <xf numFmtId="0" fontId="5" fillId="0" borderId="28" xfId="0" applyFont="1" applyBorder="1"/>
    <xf numFmtId="0" fontId="5" fillId="0" borderId="9" xfId="0" applyFont="1" applyBorder="1"/>
    <xf numFmtId="0" fontId="5" fillId="0" borderId="11" xfId="0" applyFont="1" applyBorder="1"/>
    <xf numFmtId="168" fontId="5" fillId="0" borderId="11" xfId="0" applyNumberFormat="1" applyFont="1" applyBorder="1"/>
    <xf numFmtId="0" fontId="5" fillId="0" borderId="29" xfId="0" applyFont="1" applyBorder="1"/>
    <xf numFmtId="0" fontId="5" fillId="0" borderId="12" xfId="0" applyFont="1" applyBorder="1"/>
    <xf numFmtId="0" fontId="5" fillId="0" borderId="30" xfId="0" applyFont="1" applyBorder="1"/>
    <xf numFmtId="0" fontId="4" fillId="0" borderId="12" xfId="0" applyFont="1" applyBorder="1"/>
    <xf numFmtId="168" fontId="5" fillId="0" borderId="13" xfId="0" applyNumberFormat="1" applyFont="1" applyBorder="1"/>
    <xf numFmtId="0" fontId="4" fillId="0" borderId="0" xfId="0" applyFont="1" applyAlignment="1">
      <alignment horizontal="left"/>
    </xf>
    <xf numFmtId="0" fontId="4" fillId="0" borderId="12" xfId="0" applyFont="1" applyBorder="1" applyAlignment="1">
      <alignment horizontal="left"/>
    </xf>
    <xf numFmtId="0" fontId="5" fillId="0" borderId="23" xfId="0" applyFont="1" applyBorder="1"/>
    <xf numFmtId="0" fontId="5" fillId="0" borderId="24" xfId="0" applyFont="1" applyBorder="1"/>
    <xf numFmtId="0" fontId="5" fillId="0" borderId="31" xfId="0" applyFont="1" applyBorder="1"/>
    <xf numFmtId="169" fontId="5" fillId="0" borderId="20" xfId="0" applyNumberFormat="1" applyFont="1" applyBorder="1"/>
    <xf numFmtId="169" fontId="5" fillId="0" borderId="13" xfId="0" applyNumberFormat="1" applyFont="1" applyBorder="1"/>
    <xf numFmtId="168" fontId="5" fillId="0" borderId="0" xfId="0" applyNumberFormat="1" applyFont="1"/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/>
    </xf>
    <xf numFmtId="166" fontId="5" fillId="0" borderId="20" xfId="0" applyNumberFormat="1" applyFont="1" applyBorder="1"/>
    <xf numFmtId="0" fontId="4" fillId="0" borderId="23" xfId="0" applyFont="1" applyBorder="1" applyAlignment="1">
      <alignment horizontal="left"/>
    </xf>
    <xf numFmtId="0" fontId="4" fillId="0" borderId="19" xfId="0" applyFont="1" applyBorder="1" applyAlignment="1">
      <alignment horizontal="left"/>
    </xf>
    <xf numFmtId="166" fontId="5" fillId="0" borderId="0" xfId="0" applyNumberFormat="1" applyFont="1"/>
    <xf numFmtId="168" fontId="4" fillId="0" borderId="19" xfId="0" applyNumberFormat="1" applyFont="1" applyBorder="1" applyAlignment="1">
      <alignment vertical="center"/>
    </xf>
    <xf numFmtId="167" fontId="4" fillId="0" borderId="19" xfId="0" applyNumberFormat="1" applyFont="1" applyBorder="1"/>
    <xf numFmtId="0" fontId="5" fillId="0" borderId="19" xfId="0" applyFont="1" applyBorder="1"/>
    <xf numFmtId="0" fontId="4" fillId="0" borderId="19" xfId="0" applyFont="1" applyBorder="1"/>
    <xf numFmtId="0" fontId="9" fillId="0" borderId="28" xfId="0" applyFont="1" applyBorder="1" applyAlignment="1">
      <alignment horizontal="center"/>
    </xf>
    <xf numFmtId="0" fontId="12" fillId="0" borderId="22" xfId="0" applyFont="1" applyBorder="1" applyAlignment="1">
      <alignment horizontal="center"/>
    </xf>
    <xf numFmtId="0" fontId="4" fillId="0" borderId="28" xfId="0" applyFont="1" applyBorder="1"/>
    <xf numFmtId="0" fontId="4" fillId="0" borderId="28" xfId="0" applyFont="1" applyBorder="1" applyAlignment="1">
      <alignment horizontal="center"/>
    </xf>
    <xf numFmtId="168" fontId="5" fillId="0" borderId="28" xfId="0" applyNumberFormat="1" applyFont="1" applyBorder="1" applyAlignment="1">
      <alignment horizontal="center"/>
    </xf>
    <xf numFmtId="0" fontId="5" fillId="0" borderId="28" xfId="0" applyFont="1" applyBorder="1" applyAlignment="1">
      <alignment horizontal="center"/>
    </xf>
    <xf numFmtId="166" fontId="5" fillId="0" borderId="30" xfId="0" applyNumberFormat="1" applyFont="1" applyBorder="1"/>
    <xf numFmtId="0" fontId="13" fillId="0" borderId="28" xfId="0" applyFont="1" applyBorder="1"/>
    <xf numFmtId="0" fontId="4" fillId="0" borderId="20" xfId="0" applyFont="1" applyBorder="1"/>
    <xf numFmtId="167" fontId="5" fillId="0" borderId="20" xfId="0" applyNumberFormat="1" applyFont="1" applyBorder="1"/>
    <xf numFmtId="0" fontId="4" fillId="0" borderId="22" xfId="0" applyFont="1" applyBorder="1"/>
    <xf numFmtId="167" fontId="5" fillId="0" borderId="30" xfId="0" applyNumberFormat="1" applyFont="1" applyBorder="1"/>
    <xf numFmtId="1" fontId="5" fillId="0" borderId="0" xfId="0" applyNumberFormat="1" applyFont="1"/>
    <xf numFmtId="167" fontId="5" fillId="0" borderId="31" xfId="0" applyNumberFormat="1" applyFont="1" applyBorder="1"/>
    <xf numFmtId="2" fontId="4" fillId="0" borderId="19" xfId="0" applyNumberFormat="1" applyFont="1" applyBorder="1"/>
    <xf numFmtId="169" fontId="4" fillId="0" borderId="19" xfId="0" applyNumberFormat="1" applyFont="1" applyBorder="1" applyAlignment="1">
      <alignment vertical="center"/>
    </xf>
    <xf numFmtId="165" fontId="4" fillId="0" borderId="19" xfId="0" applyNumberFormat="1" applyFont="1" applyBorder="1" applyAlignment="1">
      <alignment vertical="center"/>
    </xf>
    <xf numFmtId="2" fontId="4" fillId="0" borderId="19" xfId="0" applyNumberFormat="1" applyFont="1" applyBorder="1" applyAlignment="1">
      <alignment vertical="center"/>
    </xf>
    <xf numFmtId="166" fontId="4" fillId="0" borderId="19" xfId="0" applyNumberFormat="1" applyFont="1" applyBorder="1" applyAlignment="1">
      <alignment vertical="center"/>
    </xf>
    <xf numFmtId="165" fontId="4" fillId="0" borderId="19" xfId="0" applyNumberFormat="1" applyFont="1" applyBorder="1"/>
    <xf numFmtId="0" fontId="4" fillId="0" borderId="19" xfId="0" applyFont="1" applyBorder="1" applyAlignment="1">
      <alignment vertical="center"/>
    </xf>
    <xf numFmtId="169" fontId="5" fillId="0" borderId="28" xfId="0" applyNumberFormat="1" applyFont="1" applyBorder="1" applyAlignment="1">
      <alignment horizontal="center"/>
    </xf>
    <xf numFmtId="0" fontId="4" fillId="0" borderId="3" xfId="0" applyFont="1" applyBorder="1"/>
    <xf numFmtId="168" fontId="4" fillId="0" borderId="2" xfId="0" applyNumberFormat="1" applyFont="1" applyBorder="1"/>
    <xf numFmtId="0" fontId="5" fillId="0" borderId="3" xfId="0" applyFont="1" applyBorder="1"/>
    <xf numFmtId="165" fontId="5" fillId="0" borderId="1" xfId="0" applyNumberFormat="1" applyFont="1" applyBorder="1"/>
    <xf numFmtId="0" fontId="4" fillId="0" borderId="3" xfId="0" applyFont="1" applyBorder="1" applyAlignment="1">
      <alignment horizontal="left"/>
    </xf>
    <xf numFmtId="14" fontId="5" fillId="0" borderId="0" xfId="0" applyNumberFormat="1" applyFont="1"/>
    <xf numFmtId="0" fontId="4" fillId="0" borderId="5" xfId="0" applyFont="1" applyBorder="1"/>
    <xf numFmtId="0" fontId="4" fillId="0" borderId="6" xfId="0" applyFont="1" applyBorder="1"/>
    <xf numFmtId="167" fontId="4" fillId="0" borderId="5" xfId="0" applyNumberFormat="1" applyFont="1" applyBorder="1"/>
    <xf numFmtId="0" fontId="5" fillId="0" borderId="6" xfId="0" applyFont="1" applyBorder="1"/>
    <xf numFmtId="0" fontId="4" fillId="0" borderId="6" xfId="0" applyFont="1" applyBorder="1" applyAlignment="1">
      <alignment horizontal="left"/>
    </xf>
    <xf numFmtId="0" fontId="4" fillId="0" borderId="33" xfId="0" applyFont="1" applyBorder="1"/>
    <xf numFmtId="168" fontId="4" fillId="0" borderId="32" xfId="0" applyNumberFormat="1" applyFont="1" applyBorder="1"/>
    <xf numFmtId="0" fontId="5" fillId="0" borderId="33" xfId="0" applyFont="1" applyBorder="1"/>
    <xf numFmtId="168" fontId="4" fillId="0" borderId="34" xfId="0" applyNumberFormat="1" applyFont="1" applyBorder="1"/>
    <xf numFmtId="0" fontId="4" fillId="0" borderId="33" xfId="0" applyFont="1" applyBorder="1" applyAlignment="1">
      <alignment horizontal="left"/>
    </xf>
    <xf numFmtId="0" fontId="4" fillId="0" borderId="32" xfId="0" applyFont="1" applyBorder="1"/>
    <xf numFmtId="167" fontId="4" fillId="0" borderId="32" xfId="0" applyNumberFormat="1" applyFont="1" applyBorder="1"/>
    <xf numFmtId="167" fontId="4" fillId="0" borderId="34" xfId="0" applyNumberFormat="1" applyFont="1" applyBorder="1"/>
    <xf numFmtId="14" fontId="5" fillId="0" borderId="22" xfId="0" applyNumberFormat="1" applyFont="1" applyBorder="1"/>
    <xf numFmtId="167" fontId="5" fillId="0" borderId="29" xfId="0" applyNumberFormat="1" applyFont="1" applyBorder="1"/>
    <xf numFmtId="166" fontId="5" fillId="0" borderId="28" xfId="0" applyNumberFormat="1" applyFont="1" applyBorder="1"/>
    <xf numFmtId="167" fontId="5" fillId="0" borderId="13" xfId="0" applyNumberFormat="1" applyFont="1" applyBorder="1"/>
    <xf numFmtId="2" fontId="5" fillId="0" borderId="29" xfId="0" applyNumberFormat="1" applyFont="1" applyBorder="1"/>
    <xf numFmtId="166" fontId="5" fillId="0" borderId="13" xfId="0" applyNumberFormat="1" applyFont="1" applyBorder="1"/>
    <xf numFmtId="2" fontId="5" fillId="0" borderId="20" xfId="0" applyNumberFormat="1" applyFont="1" applyBorder="1"/>
    <xf numFmtId="167" fontId="5" fillId="0" borderId="28" xfId="0" applyNumberFormat="1" applyFont="1" applyBorder="1" applyAlignment="1">
      <alignment horizontal="center"/>
    </xf>
    <xf numFmtId="2" fontId="5" fillId="0" borderId="28" xfId="0" applyNumberFormat="1" applyFont="1" applyBorder="1" applyAlignment="1">
      <alignment horizontal="center"/>
    </xf>
    <xf numFmtId="0" fontId="5" fillId="0" borderId="0" xfId="0" applyFont="1" applyAlignment="1">
      <alignment horizontal="right" wrapText="1"/>
    </xf>
    <xf numFmtId="2" fontId="5" fillId="0" borderId="34" xfId="0" applyNumberFormat="1" applyFont="1" applyBorder="1"/>
    <xf numFmtId="165" fontId="5" fillId="0" borderId="34" xfId="0" applyNumberFormat="1" applyFont="1" applyBorder="1"/>
    <xf numFmtId="165" fontId="4" fillId="0" borderId="32" xfId="0" applyNumberFormat="1" applyFont="1" applyBorder="1"/>
    <xf numFmtId="14" fontId="5" fillId="0" borderId="28" xfId="0" applyNumberFormat="1" applyFont="1" applyBorder="1" applyAlignment="1">
      <alignment horizontal="center"/>
    </xf>
    <xf numFmtId="168" fontId="5" fillId="0" borderId="21" xfId="0" applyNumberFormat="1" applyFont="1" applyBorder="1"/>
    <xf numFmtId="168" fontId="4" fillId="0" borderId="19" xfId="0" applyNumberFormat="1" applyFont="1" applyBorder="1"/>
    <xf numFmtId="0" fontId="4" fillId="0" borderId="31" xfId="0" applyFont="1" applyBorder="1"/>
    <xf numFmtId="167" fontId="5" fillId="0" borderId="7" xfId="0" applyNumberFormat="1" applyFont="1" applyBorder="1"/>
    <xf numFmtId="167" fontId="14" fillId="0" borderId="0" xfId="0" applyNumberFormat="1" applyFont="1"/>
    <xf numFmtId="166" fontId="14" fillId="0" borderId="0" xfId="0" applyNumberFormat="1" applyFont="1"/>
    <xf numFmtId="1" fontId="5" fillId="0" borderId="0" xfId="0" applyNumberFormat="1" applyFont="1" applyAlignment="1">
      <alignment horizontal="right"/>
    </xf>
    <xf numFmtId="14" fontId="5" fillId="0" borderId="22" xfId="0" applyNumberFormat="1" applyFont="1" applyBorder="1" applyAlignment="1">
      <alignment horizontal="center"/>
    </xf>
    <xf numFmtId="166" fontId="4" fillId="0" borderId="22" xfId="0" applyNumberFormat="1" applyFont="1" applyBorder="1"/>
    <xf numFmtId="169" fontId="4" fillId="0" borderId="22" xfId="0" applyNumberFormat="1" applyFont="1" applyBorder="1"/>
    <xf numFmtId="167" fontId="4" fillId="0" borderId="22" xfId="0" applyNumberFormat="1" applyFont="1" applyBorder="1"/>
    <xf numFmtId="167" fontId="4" fillId="0" borderId="19" xfId="0" applyNumberFormat="1" applyFont="1" applyBorder="1" applyAlignment="1">
      <alignment horizontal="right"/>
    </xf>
    <xf numFmtId="0" fontId="9" fillId="2" borderId="28" xfId="0" applyFont="1" applyFill="1" applyBorder="1" applyAlignment="1">
      <alignment horizontal="center"/>
    </xf>
    <xf numFmtId="168" fontId="4" fillId="0" borderId="22" xfId="0" applyNumberFormat="1" applyFont="1" applyBorder="1"/>
    <xf numFmtId="0" fontId="13" fillId="2" borderId="28" xfId="0" applyFont="1" applyFill="1" applyBorder="1" applyAlignment="1">
      <alignment horizontal="center"/>
    </xf>
    <xf numFmtId="0" fontId="4" fillId="2" borderId="28" xfId="0" applyFont="1" applyFill="1" applyBorder="1" applyAlignment="1">
      <alignment horizontal="center"/>
    </xf>
    <xf numFmtId="2" fontId="4" fillId="0" borderId="19" xfId="0" applyNumberFormat="1" applyFont="1" applyBorder="1" applyAlignment="1">
      <alignment horizontal="center"/>
    </xf>
    <xf numFmtId="0" fontId="13" fillId="2" borderId="28" xfId="0" applyFont="1" applyFill="1" applyBorder="1"/>
    <xf numFmtId="0" fontId="4" fillId="2" borderId="28" xfId="0" applyFont="1" applyFill="1" applyBorder="1"/>
    <xf numFmtId="0" fontId="13" fillId="0" borderId="28" xfId="0" applyFont="1" applyBorder="1" applyAlignment="1">
      <alignment horizontal="center"/>
    </xf>
    <xf numFmtId="166" fontId="4" fillId="0" borderId="19" xfId="0" applyNumberFormat="1" applyFont="1" applyBorder="1" applyAlignment="1">
      <alignment horizontal="right"/>
    </xf>
    <xf numFmtId="168" fontId="4" fillId="0" borderId="19" xfId="0" applyNumberFormat="1" applyFont="1" applyBorder="1" applyAlignment="1">
      <alignment horizontal="right"/>
    </xf>
    <xf numFmtId="173" fontId="4" fillId="0" borderId="22" xfId="0" applyNumberFormat="1" applyFont="1" applyBorder="1"/>
    <xf numFmtId="0" fontId="5" fillId="0" borderId="0" xfId="0" applyFont="1" applyAlignment="1">
      <alignment horizontal="center"/>
    </xf>
    <xf numFmtId="0" fontId="19" fillId="0" borderId="22" xfId="0" applyFont="1" applyBorder="1"/>
    <xf numFmtId="166" fontId="5" fillId="0" borderId="10" xfId="0" applyNumberFormat="1" applyFont="1" applyBorder="1"/>
    <xf numFmtId="0" fontId="5" fillId="0" borderId="10" xfId="0" applyFont="1" applyBorder="1"/>
    <xf numFmtId="0" fontId="21" fillId="0" borderId="19" xfId="0" applyFont="1" applyBorder="1"/>
    <xf numFmtId="167" fontId="4" fillId="0" borderId="19" xfId="0" applyNumberFormat="1" applyFont="1" applyBorder="1" applyAlignment="1">
      <alignment vertical="center"/>
    </xf>
    <xf numFmtId="168" fontId="21" fillId="0" borderId="6" xfId="0" applyNumberFormat="1" applyFont="1" applyBorder="1"/>
    <xf numFmtId="168" fontId="21" fillId="0" borderId="33" xfId="0" applyNumberFormat="1" applyFont="1" applyBorder="1"/>
    <xf numFmtId="2" fontId="4" fillId="0" borderId="5" xfId="0" applyNumberFormat="1" applyFont="1" applyBorder="1" applyAlignment="1">
      <alignment horizontal="right"/>
    </xf>
    <xf numFmtId="165" fontId="4" fillId="0" borderId="32" xfId="0" applyNumberFormat="1" applyFont="1" applyBorder="1" applyAlignment="1">
      <alignment horizontal="right"/>
    </xf>
    <xf numFmtId="2" fontId="5" fillId="0" borderId="1" xfId="0" applyNumberFormat="1" applyFont="1" applyBorder="1"/>
    <xf numFmtId="2" fontId="5" fillId="0" borderId="4" xfId="0" applyNumberFormat="1" applyFont="1" applyBorder="1"/>
    <xf numFmtId="0" fontId="4" fillId="0" borderId="1" xfId="0" applyFont="1" applyBorder="1"/>
    <xf numFmtId="0" fontId="4" fillId="0" borderId="4" xfId="0" applyFont="1" applyBorder="1"/>
    <xf numFmtId="0" fontId="4" fillId="0" borderId="34" xfId="0" applyFont="1" applyBorder="1"/>
    <xf numFmtId="0" fontId="21" fillId="0" borderId="33" xfId="0" applyFont="1" applyBorder="1"/>
    <xf numFmtId="0" fontId="21" fillId="0" borderId="29" xfId="4" applyFont="1" applyBorder="1" applyAlignment="1">
      <alignment horizontal="center"/>
    </xf>
    <xf numFmtId="14" fontId="21" fillId="0" borderId="29" xfId="4" applyNumberFormat="1" applyFont="1" applyBorder="1" applyAlignment="1">
      <alignment horizontal="center"/>
    </xf>
    <xf numFmtId="0" fontId="21" fillId="0" borderId="37" xfId="4" applyFont="1" applyBorder="1"/>
    <xf numFmtId="0" fontId="21" fillId="0" borderId="40" xfId="4" applyFont="1" applyBorder="1"/>
    <xf numFmtId="0" fontId="21" fillId="0" borderId="41" xfId="4" applyFont="1" applyBorder="1"/>
    <xf numFmtId="166" fontId="21" fillId="0" borderId="42" xfId="4" applyNumberFormat="1" applyFont="1" applyBorder="1"/>
    <xf numFmtId="0" fontId="21" fillId="0" borderId="42" xfId="4" applyFont="1" applyBorder="1"/>
    <xf numFmtId="168" fontId="21" fillId="0" borderId="42" xfId="4" applyNumberFormat="1" applyFont="1" applyBorder="1"/>
    <xf numFmtId="167" fontId="21" fillId="0" borderId="42" xfId="4" applyNumberFormat="1" applyFont="1" applyBorder="1"/>
    <xf numFmtId="167" fontId="21" fillId="0" borderId="41" xfId="4" applyNumberFormat="1" applyFont="1" applyBorder="1"/>
    <xf numFmtId="0" fontId="21" fillId="0" borderId="44" xfId="2" applyFont="1" applyBorder="1"/>
    <xf numFmtId="0" fontId="21" fillId="0" borderId="0" xfId="2" applyFont="1"/>
    <xf numFmtId="0" fontId="21" fillId="0" borderId="0" xfId="2" applyFont="1" applyAlignment="1">
      <alignment horizontal="right" wrapText="1"/>
    </xf>
    <xf numFmtId="0" fontId="21" fillId="0" borderId="0" xfId="2" applyFont="1" applyAlignment="1">
      <alignment wrapText="1"/>
    </xf>
    <xf numFmtId="0" fontId="26" fillId="0" borderId="0" xfId="3" applyFont="1" applyAlignment="1"/>
    <xf numFmtId="0" fontId="21" fillId="0" borderId="0" xfId="3" applyFont="1" applyAlignment="1"/>
    <xf numFmtId="0" fontId="25" fillId="0" borderId="0" xfId="3" applyFont="1" applyAlignment="1"/>
    <xf numFmtId="0" fontId="25" fillId="0" borderId="0" xfId="3" quotePrefix="1" applyFont="1" applyAlignment="1">
      <alignment horizontal="right"/>
    </xf>
    <xf numFmtId="0" fontId="25" fillId="0" borderId="10" xfId="3" applyFont="1" applyBorder="1" applyAlignment="1"/>
    <xf numFmtId="0" fontId="21" fillId="0" borderId="13" xfId="3" applyFont="1" applyBorder="1" applyAlignment="1"/>
    <xf numFmtId="168" fontId="21" fillId="0" borderId="20" xfId="2" applyNumberFormat="1" applyFont="1" applyBorder="1"/>
    <xf numFmtId="0" fontId="21" fillId="0" borderId="22" xfId="2" applyFont="1" applyBorder="1"/>
    <xf numFmtId="0" fontId="25" fillId="0" borderId="12" xfId="3" applyFont="1" applyBorder="1" applyAlignment="1"/>
    <xf numFmtId="0" fontId="25" fillId="0" borderId="0" xfId="2" applyFont="1"/>
    <xf numFmtId="0" fontId="25" fillId="0" borderId="0" xfId="2" applyFont="1" applyAlignment="1">
      <alignment vertical="center"/>
    </xf>
    <xf numFmtId="167" fontId="21" fillId="0" borderId="0" xfId="2" applyNumberFormat="1" applyFont="1"/>
    <xf numFmtId="167" fontId="21" fillId="0" borderId="20" xfId="2" applyNumberFormat="1" applyFont="1" applyBorder="1"/>
    <xf numFmtId="0" fontId="25" fillId="0" borderId="12" xfId="3" applyFont="1" applyBorder="1" applyAlignment="1">
      <alignment horizontal="left"/>
    </xf>
    <xf numFmtId="0" fontId="25" fillId="0" borderId="0" xfId="3" applyFont="1" applyAlignment="1">
      <alignment horizontal="left"/>
    </xf>
    <xf numFmtId="166" fontId="21" fillId="0" borderId="20" xfId="2" applyNumberFormat="1" applyFont="1" applyBorder="1"/>
    <xf numFmtId="0" fontId="25" fillId="0" borderId="0" xfId="3" applyFont="1">
      <alignment vertical="center"/>
    </xf>
    <xf numFmtId="1" fontId="21" fillId="0" borderId="0" xfId="3" applyNumberFormat="1" applyFont="1" applyAlignment="1"/>
    <xf numFmtId="165" fontId="21" fillId="0" borderId="0" xfId="3" applyNumberFormat="1" applyFont="1" applyAlignment="1"/>
    <xf numFmtId="1" fontId="25" fillId="0" borderId="0" xfId="3" applyNumberFormat="1" applyFont="1">
      <alignment vertical="center"/>
    </xf>
    <xf numFmtId="0" fontId="25" fillId="0" borderId="23" xfId="3" applyFont="1" applyBorder="1" applyAlignment="1">
      <alignment horizontal="left"/>
    </xf>
    <xf numFmtId="0" fontId="25" fillId="0" borderId="19" xfId="3" applyFont="1" applyBorder="1" applyAlignment="1">
      <alignment horizontal="left"/>
    </xf>
    <xf numFmtId="168" fontId="21" fillId="0" borderId="0" xfId="3" applyNumberFormat="1" applyFont="1" applyAlignment="1"/>
    <xf numFmtId="0" fontId="25" fillId="0" borderId="19" xfId="3" applyFont="1" applyBorder="1">
      <alignment vertical="center"/>
    </xf>
    <xf numFmtId="0" fontId="25" fillId="0" borderId="19" xfId="3" applyFont="1" applyBorder="1" applyAlignment="1"/>
    <xf numFmtId="0" fontId="21" fillId="0" borderId="24" xfId="3" applyFont="1" applyBorder="1" applyAlignment="1"/>
    <xf numFmtId="0" fontId="26" fillId="0" borderId="28" xfId="3" applyFont="1" applyBorder="1" applyAlignment="1">
      <alignment horizontal="center"/>
    </xf>
    <xf numFmtId="0" fontId="27" fillId="0" borderId="22" xfId="3" applyFont="1" applyBorder="1" applyAlignment="1">
      <alignment horizontal="center"/>
    </xf>
    <xf numFmtId="0" fontId="25" fillId="0" borderId="28" xfId="3" applyFont="1" applyBorder="1" applyAlignment="1"/>
    <xf numFmtId="0" fontId="30" fillId="0" borderId="28" xfId="3" applyFont="1" applyBorder="1" applyAlignment="1">
      <alignment horizontal="center"/>
    </xf>
    <xf numFmtId="0" fontId="25" fillId="0" borderId="28" xfId="3" applyFont="1" applyBorder="1" applyAlignment="1">
      <alignment horizontal="center"/>
    </xf>
    <xf numFmtId="168" fontId="21" fillId="0" borderId="28" xfId="3" applyNumberFormat="1" applyFont="1" applyBorder="1" applyAlignment="1">
      <alignment horizontal="center"/>
    </xf>
    <xf numFmtId="0" fontId="21" fillId="0" borderId="28" xfId="3" applyFont="1" applyBorder="1" applyAlignment="1">
      <alignment horizontal="center"/>
    </xf>
    <xf numFmtId="0" fontId="21" fillId="0" borderId="49" xfId="2" applyFont="1" applyBorder="1"/>
    <xf numFmtId="0" fontId="25" fillId="0" borderId="31" xfId="3" applyFont="1" applyBorder="1" applyAlignment="1"/>
    <xf numFmtId="0" fontId="25" fillId="0" borderId="22" xfId="3" applyFont="1" applyBorder="1" applyAlignment="1"/>
    <xf numFmtId="167" fontId="21" fillId="0" borderId="0" xfId="3" applyNumberFormat="1" applyFont="1" applyAlignment="1"/>
    <xf numFmtId="168" fontId="21" fillId="0" borderId="22" xfId="2" applyNumberFormat="1" applyFont="1" applyBorder="1"/>
    <xf numFmtId="166" fontId="21" fillId="0" borderId="0" xfId="3" applyNumberFormat="1" applyFont="1" applyAlignment="1"/>
    <xf numFmtId="0" fontId="4" fillId="0" borderId="0" xfId="0" applyFont="1" applyAlignment="1">
      <alignment horizontal="left" indent="2"/>
    </xf>
    <xf numFmtId="165" fontId="5" fillId="0" borderId="7" xfId="0" applyNumberFormat="1" applyFont="1" applyBorder="1"/>
    <xf numFmtId="0" fontId="5" fillId="0" borderId="1" xfId="0" applyFont="1" applyBorder="1"/>
    <xf numFmtId="0" fontId="5" fillId="0" borderId="34" xfId="0" applyFont="1" applyBorder="1"/>
    <xf numFmtId="172" fontId="21" fillId="0" borderId="0" xfId="0" applyNumberFormat="1" applyFont="1" applyAlignment="1">
      <alignment horizontal="right"/>
    </xf>
    <xf numFmtId="0" fontId="21" fillId="0" borderId="0" xfId="0" applyFont="1"/>
    <xf numFmtId="0" fontId="4" fillId="0" borderId="28" xfId="1" applyNumberFormat="1" applyFont="1" applyBorder="1" applyAlignment="1">
      <alignment horizontal="center"/>
    </xf>
    <xf numFmtId="166" fontId="5" fillId="0" borderId="28" xfId="0" applyNumberFormat="1" applyFont="1" applyBorder="1" applyAlignment="1">
      <alignment horizontal="center"/>
    </xf>
    <xf numFmtId="2" fontId="4" fillId="0" borderId="32" xfId="0" applyNumberFormat="1" applyFont="1" applyBorder="1" applyAlignment="1">
      <alignment horizontal="right"/>
    </xf>
    <xf numFmtId="0" fontId="5" fillId="2" borderId="28" xfId="0" applyFont="1" applyFill="1" applyBorder="1" applyAlignment="1">
      <alignment horizontal="center"/>
    </xf>
    <xf numFmtId="167" fontId="5" fillId="0" borderId="34" xfId="0" applyNumberFormat="1" applyFont="1" applyBorder="1"/>
    <xf numFmtId="0" fontId="7" fillId="0" borderId="22" xfId="0" applyFont="1" applyBorder="1"/>
    <xf numFmtId="0" fontId="21" fillId="0" borderId="24" xfId="0" applyFont="1" applyBorder="1"/>
    <xf numFmtId="0" fontId="4" fillId="0" borderId="0" xfId="0" applyFont="1" applyAlignment="1">
      <alignment horizontal="left" indent="3"/>
    </xf>
    <xf numFmtId="0" fontId="25" fillId="0" borderId="0" xfId="2" applyFont="1" applyAlignment="1">
      <alignment horizontal="left" indent="3"/>
    </xf>
    <xf numFmtId="165" fontId="25" fillId="0" borderId="19" xfId="3" applyNumberFormat="1" applyFont="1" applyBorder="1">
      <alignment vertical="center"/>
    </xf>
    <xf numFmtId="165" fontId="5" fillId="0" borderId="2" xfId="0" applyNumberFormat="1" applyFont="1" applyBorder="1"/>
    <xf numFmtId="0" fontId="7" fillId="0" borderId="21" xfId="0" applyFont="1" applyBorder="1"/>
    <xf numFmtId="0" fontId="4" fillId="0" borderId="1" xfId="0" applyFont="1" applyBorder="1" applyAlignment="1">
      <alignment horizontal="right"/>
    </xf>
    <xf numFmtId="165" fontId="4" fillId="0" borderId="2" xfId="0" applyNumberFormat="1" applyFont="1" applyBorder="1" applyAlignment="1">
      <alignment horizontal="right"/>
    </xf>
    <xf numFmtId="167" fontId="5" fillId="0" borderId="3" xfId="0" applyNumberFormat="1" applyFont="1" applyBorder="1"/>
    <xf numFmtId="1" fontId="4" fillId="0" borderId="7" xfId="0" applyNumberFormat="1" applyFont="1" applyBorder="1" applyAlignment="1">
      <alignment horizontal="center"/>
    </xf>
    <xf numFmtId="167" fontId="21" fillId="0" borderId="3" xfId="0" applyNumberFormat="1" applyFont="1" applyBorder="1"/>
    <xf numFmtId="0" fontId="4" fillId="0" borderId="34" xfId="0" applyFont="1" applyBorder="1" applyAlignment="1">
      <alignment horizontal="right"/>
    </xf>
    <xf numFmtId="2" fontId="5" fillId="0" borderId="33" xfId="0" applyNumberFormat="1" applyFont="1" applyBorder="1"/>
    <xf numFmtId="165" fontId="5" fillId="0" borderId="32" xfId="0" applyNumberFormat="1" applyFont="1" applyBorder="1"/>
    <xf numFmtId="1" fontId="4" fillId="0" borderId="0" xfId="0" applyNumberFormat="1" applyFont="1" applyAlignment="1">
      <alignment horizontal="center"/>
    </xf>
    <xf numFmtId="165" fontId="4" fillId="0" borderId="5" xfId="0" applyNumberFormat="1" applyFont="1" applyBorder="1" applyAlignment="1">
      <alignment horizontal="right"/>
    </xf>
    <xf numFmtId="165" fontId="5" fillId="0" borderId="6" xfId="0" applyNumberFormat="1" applyFont="1" applyBorder="1"/>
    <xf numFmtId="165" fontId="5" fillId="0" borderId="5" xfId="0" applyNumberFormat="1" applyFont="1" applyBorder="1"/>
    <xf numFmtId="1" fontId="4" fillId="0" borderId="8" xfId="0" applyNumberFormat="1" applyFont="1" applyBorder="1" applyAlignment="1">
      <alignment horizontal="center"/>
    </xf>
    <xf numFmtId="0" fontId="21" fillId="0" borderId="6" xfId="0" applyFont="1" applyBorder="1"/>
    <xf numFmtId="167" fontId="4" fillId="0" borderId="2" xfId="0" applyNumberFormat="1" applyFont="1" applyBorder="1"/>
    <xf numFmtId="167" fontId="4" fillId="0" borderId="32" xfId="0" applyNumberFormat="1" applyFont="1" applyBorder="1" applyAlignment="1">
      <alignment horizontal="right"/>
    </xf>
    <xf numFmtId="167" fontId="5" fillId="0" borderId="32" xfId="0" applyNumberFormat="1" applyFont="1" applyBorder="1"/>
    <xf numFmtId="166" fontId="4" fillId="0" borderId="5" xfId="0" applyNumberFormat="1" applyFont="1" applyBorder="1"/>
    <xf numFmtId="167" fontId="5" fillId="0" borderId="5" xfId="0" applyNumberFormat="1" applyFont="1" applyBorder="1"/>
    <xf numFmtId="166" fontId="4" fillId="0" borderId="2" xfId="0" applyNumberFormat="1" applyFont="1" applyBorder="1"/>
    <xf numFmtId="2" fontId="4" fillId="0" borderId="2" xfId="0" applyNumberFormat="1" applyFont="1" applyBorder="1" applyAlignment="1">
      <alignment horizontal="right"/>
    </xf>
    <xf numFmtId="2" fontId="5" fillId="0" borderId="2" xfId="0" applyNumberFormat="1" applyFont="1" applyBorder="1"/>
    <xf numFmtId="0" fontId="4" fillId="0" borderId="2" xfId="0" applyFont="1" applyBorder="1"/>
    <xf numFmtId="169" fontId="4" fillId="0" borderId="34" xfId="0" applyNumberFormat="1" applyFont="1" applyBorder="1"/>
    <xf numFmtId="2" fontId="5" fillId="0" borderId="32" xfId="0" applyNumberFormat="1" applyFont="1" applyBorder="1"/>
    <xf numFmtId="2" fontId="5" fillId="0" borderId="5" xfId="0" applyNumberFormat="1" applyFont="1" applyBorder="1"/>
    <xf numFmtId="165" fontId="5" fillId="0" borderId="3" xfId="0" applyNumberFormat="1" applyFont="1" applyBorder="1"/>
    <xf numFmtId="165" fontId="5" fillId="0" borderId="33" xfId="0" applyNumberFormat="1" applyFont="1" applyBorder="1"/>
    <xf numFmtId="0" fontId="26" fillId="0" borderId="0" xfId="5" applyFont="1"/>
    <xf numFmtId="0" fontId="24" fillId="0" borderId="11" xfId="0" applyFont="1" applyBorder="1" applyAlignment="1">
      <alignment horizontal="right"/>
    </xf>
    <xf numFmtId="0" fontId="24" fillId="0" borderId="13" xfId="0" applyFont="1" applyBorder="1" applyAlignment="1">
      <alignment horizontal="right"/>
    </xf>
    <xf numFmtId="0" fontId="12" fillId="0" borderId="13" xfId="0" applyFont="1" applyBorder="1" applyAlignment="1">
      <alignment horizontal="right"/>
    </xf>
    <xf numFmtId="0" fontId="25" fillId="0" borderId="0" xfId="0" applyFont="1"/>
    <xf numFmtId="0" fontId="24" fillId="0" borderId="13" xfId="3" applyFont="1" applyBorder="1" applyAlignment="1">
      <alignment horizontal="right"/>
    </xf>
    <xf numFmtId="0" fontId="26" fillId="0" borderId="13" xfId="0" applyFont="1" applyBorder="1" applyAlignment="1">
      <alignment horizontal="right"/>
    </xf>
    <xf numFmtId="0" fontId="9" fillId="0" borderId="13" xfId="0" applyFont="1" applyBorder="1" applyAlignment="1">
      <alignment horizontal="right"/>
    </xf>
    <xf numFmtId="1" fontId="5" fillId="0" borderId="1" xfId="0" applyNumberFormat="1" applyFont="1" applyBorder="1" applyAlignment="1">
      <alignment horizontal="center"/>
    </xf>
    <xf numFmtId="1" fontId="5" fillId="0" borderId="34" xfId="0" applyNumberFormat="1" applyFont="1" applyBorder="1" applyAlignment="1">
      <alignment horizontal="center"/>
    </xf>
    <xf numFmtId="0" fontId="25" fillId="0" borderId="3" xfId="0" applyFont="1" applyBorder="1"/>
    <xf numFmtId="0" fontId="5" fillId="0" borderId="5" xfId="0" applyFont="1" applyBorder="1"/>
    <xf numFmtId="166" fontId="5" fillId="0" borderId="8" xfId="0" applyNumberFormat="1" applyFont="1" applyBorder="1"/>
    <xf numFmtId="0" fontId="5" fillId="0" borderId="4" xfId="0" applyFont="1" applyBorder="1"/>
    <xf numFmtId="165" fontId="5" fillId="0" borderId="8" xfId="0" applyNumberFormat="1" applyFont="1" applyBorder="1"/>
    <xf numFmtId="165" fontId="5" fillId="0" borderId="4" xfId="0" applyNumberFormat="1" applyFont="1" applyBorder="1"/>
    <xf numFmtId="167" fontId="5" fillId="0" borderId="8" xfId="0" applyNumberFormat="1" applyFont="1" applyBorder="1"/>
    <xf numFmtId="1" fontId="5" fillId="0" borderId="4" xfId="0" applyNumberFormat="1" applyFont="1" applyBorder="1" applyAlignment="1">
      <alignment horizontal="center"/>
    </xf>
    <xf numFmtId="2" fontId="5" fillId="0" borderId="8" xfId="0" applyNumberFormat="1" applyFont="1" applyBorder="1"/>
    <xf numFmtId="167" fontId="5" fillId="0" borderId="2" xfId="0" applyNumberFormat="1" applyFont="1" applyBorder="1"/>
    <xf numFmtId="166" fontId="5" fillId="0" borderId="7" xfId="0" applyNumberFormat="1" applyFont="1" applyBorder="1"/>
    <xf numFmtId="167" fontId="5" fillId="0" borderId="1" xfId="0" applyNumberFormat="1" applyFont="1" applyBorder="1"/>
    <xf numFmtId="0" fontId="25" fillId="0" borderId="33" xfId="0" applyFont="1" applyBorder="1"/>
    <xf numFmtId="168" fontId="5" fillId="0" borderId="8" xfId="0" applyNumberFormat="1" applyFont="1" applyBorder="1"/>
    <xf numFmtId="0" fontId="25" fillId="0" borderId="6" xfId="0" applyFont="1" applyBorder="1"/>
    <xf numFmtId="167" fontId="5" fillId="0" borderId="4" xfId="0" applyNumberFormat="1" applyFont="1" applyBorder="1"/>
    <xf numFmtId="168" fontId="5" fillId="0" borderId="7" xfId="0" applyNumberFormat="1" applyFont="1" applyBorder="1"/>
    <xf numFmtId="0" fontId="21" fillId="0" borderId="3" xfId="0" applyFont="1" applyBorder="1"/>
    <xf numFmtId="0" fontId="5" fillId="0" borderId="8" xfId="0" applyFont="1" applyBorder="1"/>
    <xf numFmtId="168" fontId="5" fillId="0" borderId="4" xfId="0" applyNumberFormat="1" applyFont="1" applyBorder="1"/>
    <xf numFmtId="1" fontId="5" fillId="0" borderId="4" xfId="0" applyNumberFormat="1" applyFont="1" applyBorder="1"/>
    <xf numFmtId="1" fontId="5" fillId="0" borderId="4" xfId="0" applyNumberFormat="1" applyFont="1" applyBorder="1" applyAlignment="1">
      <alignment horizontal="right"/>
    </xf>
    <xf numFmtId="168" fontId="5" fillId="0" borderId="3" xfId="0" applyNumberFormat="1" applyFont="1" applyBorder="1"/>
    <xf numFmtId="166" fontId="4" fillId="0" borderId="1" xfId="0" applyNumberFormat="1" applyFont="1" applyBorder="1"/>
    <xf numFmtId="168" fontId="4" fillId="0" borderId="4" xfId="0" applyNumberFormat="1" applyFont="1" applyBorder="1"/>
    <xf numFmtId="168" fontId="4" fillId="0" borderId="1" xfId="0" applyNumberFormat="1" applyFont="1" applyBorder="1"/>
    <xf numFmtId="1" fontId="4" fillId="0" borderId="1" xfId="0" applyNumberFormat="1" applyFont="1" applyBorder="1" applyAlignment="1">
      <alignment horizontal="center"/>
    </xf>
    <xf numFmtId="1" fontId="4" fillId="0" borderId="34" xfId="0" applyNumberFormat="1" applyFont="1" applyBorder="1" applyAlignment="1">
      <alignment horizontal="center"/>
    </xf>
    <xf numFmtId="1" fontId="4" fillId="0" borderId="4" xfId="0" applyNumberFormat="1" applyFont="1" applyBorder="1" applyAlignment="1">
      <alignment horizontal="center"/>
    </xf>
    <xf numFmtId="167" fontId="4" fillId="0" borderId="2" xfId="0" applyNumberFormat="1" applyFont="1" applyBorder="1" applyAlignment="1">
      <alignment horizontal="right"/>
    </xf>
    <xf numFmtId="166" fontId="4" fillId="0" borderId="32" xfId="0" applyNumberFormat="1" applyFont="1" applyBorder="1"/>
    <xf numFmtId="168" fontId="4" fillId="0" borderId="5" xfId="0" applyNumberFormat="1" applyFont="1" applyBorder="1"/>
    <xf numFmtId="165" fontId="21" fillId="0" borderId="6" xfId="0" applyNumberFormat="1" applyFont="1" applyBorder="1"/>
    <xf numFmtId="168" fontId="21" fillId="0" borderId="3" xfId="0" applyNumberFormat="1" applyFont="1" applyBorder="1"/>
    <xf numFmtId="0" fontId="0" fillId="0" borderId="20" xfId="0" applyBorder="1"/>
    <xf numFmtId="0" fontId="0" fillId="0" borderId="21" xfId="0" applyBorder="1"/>
    <xf numFmtId="0" fontId="8" fillId="0" borderId="21" xfId="0" applyFont="1" applyBorder="1"/>
    <xf numFmtId="14" fontId="21" fillId="0" borderId="28" xfId="0" applyNumberFormat="1" applyFont="1" applyBorder="1"/>
    <xf numFmtId="0" fontId="21" fillId="0" borderId="54" xfId="0" applyFont="1" applyBorder="1"/>
    <xf numFmtId="0" fontId="21" fillId="0" borderId="10" xfId="0" applyFont="1" applyBorder="1"/>
    <xf numFmtId="0" fontId="36" fillId="0" borderId="0" xfId="0" applyFont="1"/>
    <xf numFmtId="166" fontId="5" fillId="0" borderId="11" xfId="0" applyNumberFormat="1" applyFont="1" applyBorder="1"/>
    <xf numFmtId="0" fontId="0" fillId="0" borderId="40" xfId="0" applyBorder="1"/>
    <xf numFmtId="0" fontId="0" fillId="0" borderId="41" xfId="0" applyBorder="1"/>
    <xf numFmtId="0" fontId="21" fillId="0" borderId="12" xfId="0" applyFont="1" applyBorder="1"/>
    <xf numFmtId="0" fontId="21" fillId="0" borderId="13" xfId="0" applyFont="1" applyBorder="1"/>
    <xf numFmtId="0" fontId="21" fillId="0" borderId="30" xfId="0" applyFont="1" applyBorder="1"/>
    <xf numFmtId="168" fontId="21" fillId="0" borderId="13" xfId="0" applyNumberFormat="1" applyFont="1" applyBorder="1"/>
    <xf numFmtId="0" fontId="21" fillId="0" borderId="23" xfId="0" applyFont="1" applyBorder="1"/>
    <xf numFmtId="0" fontId="21" fillId="0" borderId="31" xfId="0" applyFont="1" applyBorder="1"/>
    <xf numFmtId="169" fontId="21" fillId="0" borderId="13" xfId="0" applyNumberFormat="1" applyFont="1" applyBorder="1"/>
    <xf numFmtId="169" fontId="21" fillId="0" borderId="30" xfId="0" applyNumberFormat="1" applyFont="1" applyBorder="1"/>
    <xf numFmtId="0" fontId="21" fillId="0" borderId="9" xfId="0" applyFont="1" applyBorder="1"/>
    <xf numFmtId="0" fontId="21" fillId="0" borderId="11" xfId="0" applyFont="1" applyBorder="1"/>
    <xf numFmtId="166" fontId="21" fillId="0" borderId="30" xfId="0" applyNumberFormat="1" applyFont="1" applyBorder="1"/>
    <xf numFmtId="168" fontId="21" fillId="0" borderId="29" xfId="0" applyNumberFormat="1" applyFont="1" applyBorder="1"/>
    <xf numFmtId="0" fontId="21" fillId="0" borderId="29" xfId="0" applyFont="1" applyBorder="1"/>
    <xf numFmtId="168" fontId="21" fillId="0" borderId="30" xfId="0" applyNumberFormat="1" applyFont="1" applyBorder="1"/>
    <xf numFmtId="167" fontId="21" fillId="0" borderId="30" xfId="0" applyNumberFormat="1" applyFont="1" applyBorder="1"/>
    <xf numFmtId="0" fontId="21" fillId="0" borderId="40" xfId="0" applyFont="1" applyBorder="1"/>
    <xf numFmtId="0" fontId="21" fillId="0" borderId="41" xfId="0" applyFont="1" applyBorder="1"/>
    <xf numFmtId="168" fontId="21" fillId="0" borderId="42" xfId="0" applyNumberFormat="1" applyFont="1" applyBorder="1"/>
    <xf numFmtId="0" fontId="21" fillId="0" borderId="42" xfId="0" applyFont="1" applyBorder="1"/>
    <xf numFmtId="166" fontId="21" fillId="0" borderId="13" xfId="0" applyNumberFormat="1" applyFont="1" applyBorder="1"/>
    <xf numFmtId="167" fontId="21" fillId="0" borderId="13" xfId="0" applyNumberFormat="1" applyFont="1" applyBorder="1"/>
    <xf numFmtId="0" fontId="0" fillId="0" borderId="23" xfId="0" applyBorder="1"/>
    <xf numFmtId="2" fontId="21" fillId="0" borderId="31" xfId="0" applyNumberFormat="1" applyFont="1" applyBorder="1"/>
    <xf numFmtId="167" fontId="21" fillId="0" borderId="31" xfId="0" applyNumberFormat="1" applyFont="1" applyBorder="1"/>
    <xf numFmtId="166" fontId="21" fillId="0" borderId="29" xfId="0" applyNumberFormat="1" applyFont="1" applyBorder="1"/>
    <xf numFmtId="168" fontId="21" fillId="0" borderId="31" xfId="0" applyNumberFormat="1" applyFont="1" applyBorder="1"/>
    <xf numFmtId="166" fontId="21" fillId="0" borderId="31" xfId="0" applyNumberFormat="1" applyFont="1" applyBorder="1"/>
    <xf numFmtId="169" fontId="21" fillId="0" borderId="29" xfId="0" applyNumberFormat="1" applyFont="1" applyBorder="1"/>
    <xf numFmtId="0" fontId="0" fillId="0" borderId="43" xfId="0" applyBorder="1"/>
    <xf numFmtId="0" fontId="0" fillId="0" borderId="47" xfId="0" applyBorder="1"/>
    <xf numFmtId="0" fontId="21" fillId="0" borderId="45" xfId="0" applyFont="1" applyBorder="1"/>
    <xf numFmtId="0" fontId="21" fillId="0" borderId="44" xfId="0" applyFont="1" applyBorder="1"/>
    <xf numFmtId="0" fontId="21" fillId="0" borderId="55" xfId="0" applyFont="1" applyBorder="1"/>
    <xf numFmtId="2" fontId="21" fillId="0" borderId="45" xfId="0" applyNumberFormat="1" applyFont="1" applyBorder="1"/>
    <xf numFmtId="167" fontId="21" fillId="0" borderId="45" xfId="0" applyNumberFormat="1" applyFont="1" applyBorder="1"/>
    <xf numFmtId="166" fontId="21" fillId="0" borderId="45" xfId="0" applyNumberFormat="1" applyFont="1" applyBorder="1"/>
    <xf numFmtId="166" fontId="21" fillId="0" borderId="55" xfId="0" applyNumberFormat="1" applyFont="1" applyBorder="1"/>
    <xf numFmtId="168" fontId="4" fillId="0" borderId="34" xfId="0" applyNumberFormat="1" applyFont="1" applyBorder="1" applyAlignment="1">
      <alignment horizontal="right"/>
    </xf>
    <xf numFmtId="0" fontId="21" fillId="0" borderId="28" xfId="0" applyFont="1" applyBorder="1" applyAlignment="1">
      <alignment horizontal="center"/>
    </xf>
    <xf numFmtId="14" fontId="23" fillId="0" borderId="28" xfId="0" applyNumberFormat="1" applyFont="1" applyBorder="1"/>
    <xf numFmtId="0" fontId="21" fillId="0" borderId="56" xfId="0" applyFont="1" applyBorder="1"/>
    <xf numFmtId="167" fontId="21" fillId="0" borderId="56" xfId="0" applyNumberFormat="1" applyFont="1" applyBorder="1"/>
    <xf numFmtId="168" fontId="21" fillId="0" borderId="56" xfId="0" applyNumberFormat="1" applyFont="1" applyBorder="1"/>
    <xf numFmtId="2" fontId="21" fillId="0" borderId="42" xfId="0" applyNumberFormat="1" applyFont="1" applyBorder="1"/>
    <xf numFmtId="167" fontId="21" fillId="0" borderId="42" xfId="0" applyNumberFormat="1" applyFont="1" applyBorder="1"/>
    <xf numFmtId="0" fontId="5" fillId="0" borderId="40" xfId="0" applyFont="1" applyBorder="1"/>
    <xf numFmtId="166" fontId="5" fillId="0" borderId="42" xfId="0" applyNumberFormat="1" applyFont="1" applyBorder="1"/>
    <xf numFmtId="0" fontId="5" fillId="0" borderId="42" xfId="0" applyFont="1" applyBorder="1"/>
    <xf numFmtId="0" fontId="21" fillId="0" borderId="46" xfId="0" applyFont="1" applyBorder="1"/>
    <xf numFmtId="166" fontId="21" fillId="0" borderId="42" xfId="0" applyNumberFormat="1" applyFont="1" applyBorder="1"/>
    <xf numFmtId="0" fontId="21" fillId="0" borderId="58" xfId="0" applyFont="1" applyBorder="1"/>
    <xf numFmtId="0" fontId="21" fillId="0" borderId="60" xfId="0" applyFont="1" applyBorder="1"/>
    <xf numFmtId="0" fontId="21" fillId="0" borderId="43" xfId="0" applyFont="1" applyBorder="1"/>
    <xf numFmtId="167" fontId="21" fillId="0" borderId="60" xfId="0" applyNumberFormat="1" applyFont="1" applyBorder="1"/>
    <xf numFmtId="168" fontId="21" fillId="0" borderId="60" xfId="0" applyNumberFormat="1" applyFont="1" applyBorder="1"/>
    <xf numFmtId="0" fontId="21" fillId="0" borderId="28" xfId="0" applyFont="1" applyBorder="1"/>
    <xf numFmtId="0" fontId="5" fillId="0" borderId="9" xfId="0" applyFont="1" applyBorder="1" applyAlignment="1">
      <alignment horizontal="right" wrapText="1"/>
    </xf>
    <xf numFmtId="169" fontId="5" fillId="0" borderId="29" xfId="0" applyNumberFormat="1" applyFont="1" applyBorder="1"/>
    <xf numFmtId="0" fontId="5" fillId="0" borderId="30" xfId="0" applyFont="1" applyBorder="1" applyAlignment="1">
      <alignment horizontal="right" wrapText="1"/>
    </xf>
    <xf numFmtId="0" fontId="5" fillId="0" borderId="12" xfId="0" applyFont="1" applyBorder="1" applyAlignment="1">
      <alignment wrapText="1"/>
    </xf>
    <xf numFmtId="166" fontId="5" fillId="0" borderId="30" xfId="0" applyNumberFormat="1" applyFont="1" applyBorder="1" applyAlignment="1">
      <alignment horizontal="right" wrapText="1"/>
    </xf>
    <xf numFmtId="169" fontId="5" fillId="0" borderId="30" xfId="0" applyNumberFormat="1" applyFont="1" applyBorder="1" applyAlignment="1">
      <alignment horizontal="right" wrapText="1"/>
    </xf>
    <xf numFmtId="0" fontId="5" fillId="0" borderId="30" xfId="0" applyFont="1" applyBorder="1" applyAlignment="1">
      <alignment horizontal="right"/>
    </xf>
    <xf numFmtId="0" fontId="21" fillId="0" borderId="9" xfId="0" applyFont="1" applyBorder="1" applyAlignment="1">
      <alignment horizontal="right"/>
    </xf>
    <xf numFmtId="0" fontId="25" fillId="0" borderId="10" xfId="0" applyFont="1" applyBorder="1"/>
    <xf numFmtId="168" fontId="21" fillId="0" borderId="30" xfId="0" applyNumberFormat="1" applyFont="1" applyBorder="1" applyAlignment="1">
      <alignment horizontal="right"/>
    </xf>
    <xf numFmtId="0" fontId="21" fillId="0" borderId="30" xfId="0" applyFont="1" applyBorder="1" applyAlignment="1">
      <alignment horizontal="right"/>
    </xf>
    <xf numFmtId="166" fontId="21" fillId="0" borderId="30" xfId="0" applyNumberFormat="1" applyFont="1" applyBorder="1" applyAlignment="1">
      <alignment horizontal="right"/>
    </xf>
    <xf numFmtId="169" fontId="21" fillId="0" borderId="30" xfId="0" applyNumberFormat="1" applyFont="1" applyBorder="1" applyAlignment="1">
      <alignment horizontal="right"/>
    </xf>
    <xf numFmtId="167" fontId="21" fillId="0" borderId="30" xfId="0" applyNumberFormat="1" applyFont="1" applyBorder="1" applyAlignment="1">
      <alignment horizontal="right"/>
    </xf>
    <xf numFmtId="169" fontId="21" fillId="0" borderId="31" xfId="0" applyNumberFormat="1" applyFont="1" applyBorder="1"/>
    <xf numFmtId="0" fontId="21" fillId="0" borderId="29" xfId="0" applyFont="1" applyBorder="1" applyAlignment="1">
      <alignment horizontal="center"/>
    </xf>
    <xf numFmtId="0" fontId="5" fillId="0" borderId="41" xfId="0" applyFont="1" applyBorder="1"/>
    <xf numFmtId="2" fontId="5" fillId="0" borderId="30" xfId="0" applyNumberFormat="1" applyFont="1" applyBorder="1"/>
    <xf numFmtId="0" fontId="21" fillId="0" borderId="61" xfId="0" applyFont="1" applyBorder="1"/>
    <xf numFmtId="0" fontId="21" fillId="0" borderId="62" xfId="0" applyFont="1" applyBorder="1"/>
    <xf numFmtId="168" fontId="21" fillId="0" borderId="41" xfId="0" applyNumberFormat="1" applyFont="1" applyBorder="1"/>
    <xf numFmtId="0" fontId="21" fillId="0" borderId="59" xfId="0" applyFont="1" applyBorder="1"/>
    <xf numFmtId="167" fontId="21" fillId="0" borderId="41" xfId="0" applyNumberFormat="1" applyFont="1" applyBorder="1"/>
    <xf numFmtId="2" fontId="21" fillId="0" borderId="41" xfId="0" applyNumberFormat="1" applyFont="1" applyBorder="1"/>
    <xf numFmtId="2" fontId="21" fillId="0" borderId="44" xfId="0" applyNumberFormat="1" applyFont="1" applyBorder="1"/>
    <xf numFmtId="0" fontId="21" fillId="0" borderId="37" xfId="0" applyFont="1" applyBorder="1"/>
    <xf numFmtId="0" fontId="21" fillId="0" borderId="39" xfId="0" applyFont="1" applyBorder="1"/>
    <xf numFmtId="167" fontId="21" fillId="0" borderId="39" xfId="0" applyNumberFormat="1" applyFont="1" applyBorder="1"/>
    <xf numFmtId="0" fontId="21" fillId="0" borderId="48" xfId="2" applyFont="1" applyBorder="1"/>
    <xf numFmtId="0" fontId="21" fillId="0" borderId="38" xfId="2" applyFont="1" applyBorder="1"/>
    <xf numFmtId="0" fontId="21" fillId="0" borderId="40" xfId="2" applyFont="1" applyBorder="1"/>
    <xf numFmtId="0" fontId="21" fillId="0" borderId="41" xfId="2" applyFont="1" applyBorder="1"/>
    <xf numFmtId="0" fontId="21" fillId="0" borderId="43" xfId="2" applyFont="1" applyBorder="1"/>
    <xf numFmtId="0" fontId="21" fillId="0" borderId="0" xfId="4" applyFont="1"/>
    <xf numFmtId="168" fontId="21" fillId="0" borderId="41" xfId="4" applyNumberFormat="1" applyFont="1" applyBorder="1"/>
    <xf numFmtId="0" fontId="21" fillId="0" borderId="37" xfId="2" applyFont="1" applyBorder="1"/>
    <xf numFmtId="166" fontId="21" fillId="0" borderId="41" xfId="4" applyNumberFormat="1" applyFont="1" applyBorder="1"/>
    <xf numFmtId="0" fontId="21" fillId="0" borderId="39" xfId="2" applyFont="1" applyBorder="1"/>
    <xf numFmtId="0" fontId="21" fillId="0" borderId="42" xfId="2" applyFont="1" applyBorder="1"/>
    <xf numFmtId="0" fontId="21" fillId="0" borderId="45" xfId="2" applyFont="1" applyBorder="1"/>
    <xf numFmtId="167" fontId="21" fillId="0" borderId="39" xfId="2" applyNumberFormat="1" applyFont="1" applyBorder="1"/>
    <xf numFmtId="166" fontId="21" fillId="0" borderId="39" xfId="2" applyNumberFormat="1" applyFont="1" applyBorder="1"/>
    <xf numFmtId="2" fontId="21" fillId="0" borderId="42" xfId="2" applyNumberFormat="1" applyFont="1" applyBorder="1"/>
    <xf numFmtId="167" fontId="21" fillId="0" borderId="42" xfId="2" applyNumberFormat="1" applyFont="1" applyBorder="1"/>
    <xf numFmtId="168" fontId="21" fillId="0" borderId="42" xfId="2" applyNumberFormat="1" applyFont="1" applyBorder="1"/>
    <xf numFmtId="166" fontId="21" fillId="0" borderId="42" xfId="2" applyNumberFormat="1" applyFont="1" applyBorder="1"/>
    <xf numFmtId="167" fontId="21" fillId="0" borderId="45" xfId="2" applyNumberFormat="1" applyFont="1" applyBorder="1"/>
    <xf numFmtId="168" fontId="21" fillId="0" borderId="45" xfId="2" applyNumberFormat="1" applyFont="1" applyBorder="1"/>
    <xf numFmtId="167" fontId="21" fillId="0" borderId="41" xfId="2" applyNumberFormat="1" applyFont="1" applyBorder="1"/>
    <xf numFmtId="2" fontId="21" fillId="0" borderId="42" xfId="4" applyNumberFormat="1" applyFont="1" applyBorder="1"/>
    <xf numFmtId="0" fontId="8" fillId="0" borderId="20" xfId="0" applyFont="1" applyBorder="1"/>
    <xf numFmtId="165" fontId="23" fillId="0" borderId="2" xfId="0" applyNumberFormat="1" applyFont="1" applyBorder="1" applyAlignment="1">
      <alignment horizontal="right"/>
    </xf>
    <xf numFmtId="0" fontId="5" fillId="0" borderId="2" xfId="0" applyFont="1" applyBorder="1"/>
    <xf numFmtId="0" fontId="5" fillId="0" borderId="32" xfId="0" applyFont="1" applyBorder="1"/>
    <xf numFmtId="0" fontId="25" fillId="0" borderId="20" xfId="3" applyFont="1" applyBorder="1" applyAlignment="1"/>
    <xf numFmtId="2" fontId="21" fillId="0" borderId="3" xfId="0" applyNumberFormat="1" applyFont="1" applyBorder="1"/>
    <xf numFmtId="167" fontId="23" fillId="0" borderId="5" xfId="0" applyNumberFormat="1" applyFont="1" applyBorder="1" applyAlignment="1">
      <alignment horizontal="right"/>
    </xf>
    <xf numFmtId="167" fontId="5" fillId="0" borderId="6" xfId="0" applyNumberFormat="1" applyFont="1" applyBorder="1"/>
    <xf numFmtId="2" fontId="23" fillId="0" borderId="2" xfId="0" applyNumberFormat="1" applyFont="1" applyBorder="1" applyAlignment="1">
      <alignment horizontal="right"/>
    </xf>
    <xf numFmtId="0" fontId="14" fillId="0" borderId="0" xfId="0" applyFont="1"/>
    <xf numFmtId="0" fontId="38" fillId="0" borderId="0" xfId="7" applyFont="1"/>
    <xf numFmtId="0" fontId="39" fillId="0" borderId="0" xfId="7" applyFont="1"/>
    <xf numFmtId="0" fontId="40" fillId="0" borderId="0" xfId="7" applyFont="1"/>
    <xf numFmtId="0" fontId="38" fillId="0" borderId="0" xfId="0" applyFont="1"/>
    <xf numFmtId="0" fontId="38" fillId="0" borderId="0" xfId="0" quotePrefix="1" applyFont="1" applyAlignment="1">
      <alignment horizontal="right"/>
    </xf>
    <xf numFmtId="0" fontId="38" fillId="0" borderId="0" xfId="7" quotePrefix="1" applyFont="1"/>
    <xf numFmtId="0" fontId="42" fillId="0" borderId="0" xfId="7" applyFont="1" applyAlignment="1">
      <alignment vertical="center"/>
    </xf>
    <xf numFmtId="0" fontId="43" fillId="0" borderId="0" xfId="7" applyFont="1" applyAlignment="1">
      <alignment vertical="center"/>
    </xf>
    <xf numFmtId="0" fontId="44" fillId="0" borderId="0" xfId="7" applyFont="1" applyAlignment="1">
      <alignment vertical="top"/>
    </xf>
    <xf numFmtId="0" fontId="46" fillId="0" borderId="0" xfId="7" applyFont="1" applyAlignment="1">
      <alignment vertical="top"/>
    </xf>
    <xf numFmtId="0" fontId="38" fillId="0" borderId="0" xfId="7" applyFont="1" applyAlignment="1">
      <alignment horizontal="left"/>
    </xf>
    <xf numFmtId="0" fontId="45" fillId="0" borderId="0" xfId="7" applyFont="1" applyAlignment="1">
      <alignment horizontal="left" vertical="center"/>
    </xf>
    <xf numFmtId="0" fontId="45" fillId="0" borderId="0" xfId="7" applyFont="1" applyAlignment="1">
      <alignment horizontal="left" vertical="center" wrapText="1"/>
    </xf>
    <xf numFmtId="0" fontId="38" fillId="0" borderId="0" xfId="7" applyFont="1" applyAlignment="1">
      <alignment vertical="top" wrapText="1"/>
    </xf>
    <xf numFmtId="0" fontId="43" fillId="0" borderId="0" xfId="7" applyFont="1" applyAlignment="1">
      <alignment vertical="center" wrapText="1"/>
    </xf>
    <xf numFmtId="0" fontId="44" fillId="0" borderId="0" xfId="7" applyFont="1" applyAlignment="1">
      <alignment vertical="center" wrapText="1"/>
    </xf>
    <xf numFmtId="0" fontId="45" fillId="0" borderId="0" xfId="7" applyFont="1" applyAlignment="1">
      <alignment vertical="center" wrapText="1"/>
    </xf>
    <xf numFmtId="0" fontId="45" fillId="0" borderId="0" xfId="7" applyFont="1" applyAlignment="1">
      <alignment horizontal="center" vertical="center"/>
    </xf>
    <xf numFmtId="0" fontId="45" fillId="0" borderId="0" xfId="7" applyFont="1" applyAlignment="1">
      <alignment vertical="center"/>
    </xf>
    <xf numFmtId="0" fontId="46" fillId="0" borderId="0" xfId="7" applyFont="1" applyAlignment="1">
      <alignment horizontal="left" vertical="top" indent="2"/>
    </xf>
    <xf numFmtId="0" fontId="46" fillId="0" borderId="0" xfId="7" applyFont="1" applyAlignment="1">
      <alignment vertical="center"/>
    </xf>
    <xf numFmtId="0" fontId="42" fillId="0" borderId="0" xfId="7" applyFont="1" applyAlignment="1">
      <alignment horizontal="center" vertical="center"/>
    </xf>
    <xf numFmtId="0" fontId="42" fillId="0" borderId="0" xfId="7" applyFont="1" applyAlignment="1">
      <alignment horizontal="left" vertical="center"/>
    </xf>
    <xf numFmtId="0" fontId="42" fillId="0" borderId="0" xfId="7" applyFont="1" applyAlignment="1">
      <alignment vertical="center" wrapText="1"/>
    </xf>
    <xf numFmtId="0" fontId="43" fillId="0" borderId="0" xfId="7" applyFont="1" applyAlignment="1">
      <alignment horizontal="left" vertical="center"/>
    </xf>
    <xf numFmtId="0" fontId="43" fillId="0" borderId="0" xfId="7" applyFont="1" applyAlignment="1">
      <alignment horizontal="center" vertical="center"/>
    </xf>
    <xf numFmtId="0" fontId="47" fillId="0" borderId="0" xfId="7" applyFont="1" applyAlignment="1">
      <alignment horizontal="left" vertical="center"/>
    </xf>
    <xf numFmtId="174" fontId="45" fillId="0" borderId="0" xfId="7" applyNumberFormat="1" applyFont="1" applyAlignment="1">
      <alignment vertical="center"/>
    </xf>
    <xf numFmtId="0" fontId="49" fillId="0" borderId="0" xfId="7" applyFont="1" applyAlignment="1">
      <alignment vertical="center"/>
    </xf>
    <xf numFmtId="0" fontId="38" fillId="0" borderId="37" xfId="7" applyFont="1" applyBorder="1"/>
    <xf numFmtId="0" fontId="38" fillId="0" borderId="48" xfId="7" applyFont="1" applyBorder="1"/>
    <xf numFmtId="0" fontId="38" fillId="0" borderId="38" xfId="7" applyFont="1" applyBorder="1"/>
    <xf numFmtId="0" fontId="38" fillId="0" borderId="40" xfId="7" applyFont="1" applyBorder="1"/>
    <xf numFmtId="0" fontId="38" fillId="0" borderId="41" xfId="7" applyFont="1" applyBorder="1"/>
    <xf numFmtId="1" fontId="38" fillId="0" borderId="0" xfId="7" applyNumberFormat="1" applyFont="1" applyAlignment="1">
      <alignment horizontal="right"/>
    </xf>
    <xf numFmtId="0" fontId="38" fillId="0" borderId="43" xfId="7" applyFont="1" applyBorder="1"/>
    <xf numFmtId="0" fontId="38" fillId="0" borderId="47" xfId="7" applyFont="1" applyBorder="1"/>
    <xf numFmtId="0" fontId="38" fillId="0" borderId="44" xfId="7" applyFont="1" applyBorder="1"/>
    <xf numFmtId="2" fontId="38" fillId="0" borderId="0" xfId="7" applyNumberFormat="1" applyFont="1" applyAlignment="1">
      <alignment horizontal="right"/>
    </xf>
    <xf numFmtId="0" fontId="38" fillId="0" borderId="0" xfId="7" applyFont="1" applyAlignment="1">
      <alignment horizontal="right"/>
    </xf>
    <xf numFmtId="0" fontId="38" fillId="0" borderId="0" xfId="7" quotePrefix="1" applyFont="1" applyAlignment="1">
      <alignment horizontal="right" vertical="top" wrapText="1"/>
    </xf>
    <xf numFmtId="174" fontId="38" fillId="0" borderId="0" xfId="7" applyNumberFormat="1" applyFont="1" applyAlignment="1">
      <alignment horizontal="left"/>
    </xf>
    <xf numFmtId="0" fontId="38" fillId="0" borderId="0" xfId="8" applyFont="1"/>
    <xf numFmtId="0" fontId="38" fillId="0" borderId="0" xfId="8" applyFont="1" applyAlignment="1">
      <alignment horizontal="right"/>
    </xf>
    <xf numFmtId="0" fontId="38" fillId="0" borderId="0" xfId="8" quotePrefix="1" applyFont="1" applyAlignment="1">
      <alignment horizontal="left"/>
    </xf>
    <xf numFmtId="0" fontId="52" fillId="0" borderId="0" xfId="7" applyFont="1" applyAlignment="1">
      <alignment vertical="top"/>
    </xf>
    <xf numFmtId="0" fontId="52" fillId="0" borderId="0" xfId="7" applyFont="1" applyAlignment="1">
      <alignment horizontal="right" vertical="top"/>
    </xf>
    <xf numFmtId="0" fontId="54" fillId="0" borderId="0" xfId="0" applyFont="1"/>
    <xf numFmtId="0" fontId="55" fillId="0" borderId="0" xfId="7" applyFont="1"/>
    <xf numFmtId="0" fontId="52" fillId="0" borderId="0" xfId="7" applyFont="1" applyAlignment="1">
      <alignment horizontal="left" vertical="top"/>
    </xf>
    <xf numFmtId="0" fontId="45" fillId="0" borderId="0" xfId="7" applyFont="1" applyAlignment="1">
      <alignment horizontal="right"/>
    </xf>
    <xf numFmtId="0" fontId="45" fillId="0" borderId="0" xfId="7" applyFont="1" applyAlignment="1">
      <alignment horizontal="center"/>
    </xf>
    <xf numFmtId="0" fontId="45" fillId="0" borderId="0" xfId="7" applyFont="1"/>
    <xf numFmtId="0" fontId="45" fillId="0" borderId="0" xfId="7" applyFont="1" applyAlignment="1">
      <alignment wrapText="1"/>
    </xf>
    <xf numFmtId="174" fontId="45" fillId="0" borderId="0" xfId="7" applyNumberFormat="1" applyFont="1" applyAlignment="1">
      <alignment horizontal="left" vertical="center"/>
    </xf>
    <xf numFmtId="0" fontId="47" fillId="0" borderId="0" xfId="7" applyFont="1" applyAlignment="1">
      <alignment horizontal="left"/>
    </xf>
    <xf numFmtId="0" fontId="38" fillId="0" borderId="0" xfId="7" applyFont="1" applyAlignment="1">
      <alignment vertical="center"/>
    </xf>
    <xf numFmtId="175" fontId="45" fillId="0" borderId="0" xfId="7" applyNumberFormat="1" applyFont="1" applyAlignment="1">
      <alignment vertical="top"/>
    </xf>
    <xf numFmtId="175" fontId="45" fillId="0" borderId="0" xfId="7" applyNumberFormat="1" applyFont="1" applyAlignment="1">
      <alignment horizontal="left" vertical="top" wrapText="1"/>
    </xf>
    <xf numFmtId="2" fontId="38" fillId="0" borderId="47" xfId="7" applyNumberFormat="1" applyFont="1" applyBorder="1"/>
    <xf numFmtId="2" fontId="38" fillId="0" borderId="0" xfId="7" applyNumberFormat="1" applyFont="1"/>
    <xf numFmtId="2" fontId="38" fillId="0" borderId="48" xfId="7" applyNumberFormat="1" applyFont="1" applyBorder="1"/>
    <xf numFmtId="165" fontId="38" fillId="0" borderId="48" xfId="7" applyNumberFormat="1" applyFont="1" applyBorder="1"/>
    <xf numFmtId="0" fontId="0" fillId="0" borderId="38" xfId="0" applyBorder="1"/>
    <xf numFmtId="0" fontId="0" fillId="0" borderId="44" xfId="0" applyBorder="1"/>
    <xf numFmtId="0" fontId="0" fillId="0" borderId="48" xfId="0" applyBorder="1"/>
    <xf numFmtId="1" fontId="38" fillId="0" borderId="48" xfId="7" applyNumberFormat="1" applyFont="1" applyBorder="1"/>
    <xf numFmtId="2" fontId="38" fillId="0" borderId="44" xfId="7" applyNumberFormat="1" applyFont="1" applyBorder="1"/>
    <xf numFmtId="2" fontId="38" fillId="0" borderId="41" xfId="7" applyNumberFormat="1" applyFont="1" applyBorder="1"/>
    <xf numFmtId="0" fontId="38" fillId="0" borderId="0" xfId="7" quotePrefix="1" applyFont="1" applyAlignment="1">
      <alignment horizontal="right" vertical="top"/>
    </xf>
    <xf numFmtId="2" fontId="56" fillId="0" borderId="21" xfId="0" applyNumberFormat="1" applyFont="1" applyBorder="1"/>
    <xf numFmtId="165" fontId="56" fillId="0" borderId="21" xfId="0" applyNumberFormat="1" applyFont="1" applyBorder="1"/>
    <xf numFmtId="0" fontId="56" fillId="0" borderId="22" xfId="0" applyFont="1" applyBorder="1"/>
    <xf numFmtId="0" fontId="11" fillId="0" borderId="21" xfId="0" quotePrefix="1" applyFont="1" applyBorder="1"/>
    <xf numFmtId="0" fontId="11" fillId="0" borderId="21" xfId="0" quotePrefix="1" applyFont="1" applyBorder="1" applyAlignment="1">
      <alignment horizontal="center"/>
    </xf>
    <xf numFmtId="15" fontId="11" fillId="0" borderId="20" xfId="0" applyNumberFormat="1" applyFont="1" applyBorder="1"/>
    <xf numFmtId="165" fontId="38" fillId="0" borderId="0" xfId="7" applyNumberFormat="1" applyFont="1"/>
    <xf numFmtId="1" fontId="38" fillId="0" borderId="0" xfId="7" applyNumberFormat="1" applyFont="1"/>
    <xf numFmtId="0" fontId="41" fillId="0" borderId="0" xfId="8" applyFont="1" applyAlignment="1">
      <alignment horizontal="left"/>
    </xf>
    <xf numFmtId="0" fontId="4" fillId="0" borderId="52" xfId="0" applyFont="1" applyBorder="1"/>
    <xf numFmtId="0" fontId="4" fillId="0" borderId="35" xfId="0" applyFont="1" applyBorder="1"/>
    <xf numFmtId="0" fontId="4" fillId="0" borderId="36" xfId="0" applyFont="1" applyBorder="1"/>
    <xf numFmtId="0" fontId="4" fillId="0" borderId="50" xfId="0" applyFont="1" applyBorder="1"/>
    <xf numFmtId="0" fontId="4" fillId="0" borderId="51" xfId="0" applyFont="1" applyBorder="1"/>
    <xf numFmtId="2" fontId="4" fillId="0" borderId="32" xfId="0" applyNumberFormat="1" applyFont="1" applyBorder="1"/>
    <xf numFmtId="2" fontId="4" fillId="0" borderId="35" xfId="0" applyNumberFormat="1" applyFont="1" applyBorder="1"/>
    <xf numFmtId="2" fontId="4" fillId="0" borderId="50" xfId="0" applyNumberFormat="1" applyFont="1" applyBorder="1"/>
    <xf numFmtId="0" fontId="4" fillId="0" borderId="63" xfId="0" applyFont="1" applyBorder="1"/>
    <xf numFmtId="0" fontId="4" fillId="0" borderId="64" xfId="0" applyFont="1" applyBorder="1"/>
    <xf numFmtId="0" fontId="4" fillId="0" borderId="65" xfId="0" applyFont="1" applyBorder="1"/>
    <xf numFmtId="1" fontId="4" fillId="0" borderId="63" xfId="0" applyNumberFormat="1" applyFont="1" applyBorder="1" applyAlignment="1">
      <alignment horizontal="center"/>
    </xf>
    <xf numFmtId="1" fontId="4" fillId="0" borderId="64" xfId="0" applyNumberFormat="1" applyFont="1" applyBorder="1" applyAlignment="1">
      <alignment horizontal="center"/>
    </xf>
    <xf numFmtId="1" fontId="4" fillId="0" borderId="65" xfId="0" applyNumberFormat="1" applyFont="1" applyBorder="1" applyAlignment="1">
      <alignment horizontal="center"/>
    </xf>
    <xf numFmtId="0" fontId="4" fillId="0" borderId="53" xfId="0" applyFont="1" applyBorder="1" applyAlignment="1">
      <alignment horizontal="left"/>
    </xf>
    <xf numFmtId="0" fontId="4" fillId="0" borderId="36" xfId="0" applyFont="1" applyBorder="1" applyAlignment="1">
      <alignment horizontal="left"/>
    </xf>
    <xf numFmtId="0" fontId="4" fillId="0" borderId="51" xfId="0" applyFont="1" applyBorder="1" applyAlignment="1">
      <alignment horizontal="left"/>
    </xf>
    <xf numFmtId="168" fontId="5" fillId="0" borderId="53" xfId="0" applyNumberFormat="1" applyFont="1" applyBorder="1"/>
    <xf numFmtId="168" fontId="5" fillId="0" borderId="36" xfId="0" applyNumberFormat="1" applyFont="1" applyBorder="1"/>
    <xf numFmtId="168" fontId="5" fillId="0" borderId="51" xfId="0" applyNumberFormat="1" applyFont="1" applyBorder="1"/>
    <xf numFmtId="0" fontId="5" fillId="0" borderId="49" xfId="0" applyFont="1" applyBorder="1"/>
    <xf numFmtId="167" fontId="5" fillId="0" borderId="49" xfId="0" applyNumberFormat="1" applyFont="1" applyBorder="1"/>
    <xf numFmtId="15" fontId="5" fillId="0" borderId="20" xfId="0" applyNumberFormat="1" applyFont="1" applyBorder="1" applyAlignment="1">
      <alignment horizontal="center"/>
    </xf>
    <xf numFmtId="0" fontId="5" fillId="0" borderId="20" xfId="0" applyFont="1" applyBorder="1"/>
    <xf numFmtId="168" fontId="5" fillId="0" borderId="49" xfId="0" applyNumberFormat="1" applyFont="1" applyBorder="1"/>
    <xf numFmtId="166" fontId="4" fillId="0" borderId="52" xfId="0" applyNumberFormat="1" applyFont="1" applyBorder="1"/>
    <xf numFmtId="0" fontId="21" fillId="0" borderId="53" xfId="0" applyFont="1" applyBorder="1"/>
    <xf numFmtId="0" fontId="21" fillId="0" borderId="36" xfId="0" applyFont="1" applyBorder="1"/>
    <xf numFmtId="0" fontId="21" fillId="0" borderId="51" xfId="0" applyFont="1" applyBorder="1"/>
    <xf numFmtId="166" fontId="4" fillId="0" borderId="66" xfId="0" applyNumberFormat="1" applyFont="1" applyBorder="1"/>
    <xf numFmtId="166" fontId="5" fillId="0" borderId="29" xfId="0" applyNumberFormat="1" applyFont="1" applyBorder="1"/>
    <xf numFmtId="0" fontId="21" fillId="0" borderId="49" xfId="0" applyFont="1" applyBorder="1"/>
    <xf numFmtId="166" fontId="0" fillId="0" borderId="49" xfId="0" applyNumberFormat="1" applyBorder="1"/>
    <xf numFmtId="0" fontId="0" fillId="0" borderId="49" xfId="0" applyBorder="1"/>
    <xf numFmtId="2" fontId="4" fillId="0" borderId="52" xfId="0" applyNumberFormat="1" applyFont="1" applyBorder="1" applyAlignment="1">
      <alignment horizontal="right"/>
    </xf>
    <xf numFmtId="167" fontId="4" fillId="0" borderId="52" xfId="0" applyNumberFormat="1" applyFont="1" applyBorder="1" applyAlignment="1">
      <alignment horizontal="right"/>
    </xf>
    <xf numFmtId="2" fontId="5" fillId="0" borderId="63" xfId="0" applyNumberFormat="1" applyFont="1" applyBorder="1"/>
    <xf numFmtId="2" fontId="5" fillId="0" borderId="64" xfId="0" applyNumberFormat="1" applyFont="1" applyBorder="1"/>
    <xf numFmtId="2" fontId="5" fillId="0" borderId="65" xfId="0" applyNumberFormat="1" applyFont="1" applyBorder="1"/>
    <xf numFmtId="167" fontId="5" fillId="0" borderId="63" xfId="0" applyNumberFormat="1" applyFont="1" applyBorder="1"/>
    <xf numFmtId="167" fontId="5" fillId="0" borderId="64" xfId="0" applyNumberFormat="1" applyFont="1" applyBorder="1"/>
    <xf numFmtId="167" fontId="5" fillId="0" borderId="65" xfId="0" applyNumberFormat="1" applyFont="1" applyBorder="1"/>
    <xf numFmtId="166" fontId="5" fillId="0" borderId="49" xfId="0" applyNumberFormat="1" applyFont="1" applyBorder="1"/>
    <xf numFmtId="169" fontId="5" fillId="0" borderId="49" xfId="0" applyNumberFormat="1" applyFont="1" applyBorder="1"/>
    <xf numFmtId="168" fontId="21" fillId="0" borderId="0" xfId="2" applyNumberFormat="1" applyFont="1"/>
    <xf numFmtId="0" fontId="21" fillId="0" borderId="21" xfId="2" applyFont="1" applyBorder="1"/>
    <xf numFmtId="167" fontId="21" fillId="0" borderId="49" xfId="2" applyNumberFormat="1" applyFont="1" applyBorder="1"/>
    <xf numFmtId="15" fontId="21" fillId="0" borderId="20" xfId="2" applyNumberFormat="1" applyFont="1" applyBorder="1" applyAlignment="1">
      <alignment horizontal="center"/>
    </xf>
    <xf numFmtId="0" fontId="21" fillId="0" borderId="20" xfId="2" applyFont="1" applyBorder="1"/>
    <xf numFmtId="0" fontId="5" fillId="0" borderId="49" xfId="2" applyFont="1" applyBorder="1"/>
    <xf numFmtId="167" fontId="21" fillId="0" borderId="28" xfId="3" applyNumberFormat="1" applyFont="1" applyBorder="1" applyAlignment="1">
      <alignment horizontal="center"/>
    </xf>
    <xf numFmtId="2" fontId="5" fillId="0" borderId="7" xfId="0" applyNumberFormat="1" applyFont="1" applyBorder="1"/>
    <xf numFmtId="165" fontId="23" fillId="0" borderId="7" xfId="0" applyNumberFormat="1" applyFont="1" applyBorder="1"/>
    <xf numFmtId="167" fontId="38" fillId="0" borderId="0" xfId="7" applyNumberFormat="1" applyFont="1"/>
    <xf numFmtId="168" fontId="38" fillId="0" borderId="0" xfId="7" applyNumberFormat="1" applyFont="1"/>
    <xf numFmtId="0" fontId="48" fillId="0" borderId="0" xfId="7" applyFont="1" applyAlignment="1">
      <alignment horizontal="center"/>
    </xf>
    <xf numFmtId="1" fontId="4" fillId="0" borderId="52" xfId="0" applyNumberFormat="1" applyFont="1" applyBorder="1" applyAlignment="1">
      <alignment horizontal="right"/>
    </xf>
    <xf numFmtId="1" fontId="5" fillId="0" borderId="63" xfId="0" applyNumberFormat="1" applyFont="1" applyBorder="1"/>
    <xf numFmtId="1" fontId="5" fillId="0" borderId="64" xfId="0" applyNumberFormat="1" applyFont="1" applyBorder="1"/>
    <xf numFmtId="1" fontId="5" fillId="0" borderId="65" xfId="0" applyNumberFormat="1" applyFont="1" applyBorder="1"/>
    <xf numFmtId="1" fontId="4" fillId="0" borderId="2" xfId="0" applyNumberFormat="1" applyFont="1" applyBorder="1" applyAlignment="1">
      <alignment horizontal="right"/>
    </xf>
    <xf numFmtId="1" fontId="4" fillId="0" borderId="32" xfId="0" applyNumberFormat="1" applyFont="1" applyBorder="1" applyAlignment="1">
      <alignment horizontal="right"/>
    </xf>
    <xf numFmtId="1" fontId="4" fillId="0" borderId="5" xfId="0" applyNumberFormat="1" applyFont="1" applyBorder="1" applyAlignment="1">
      <alignment horizontal="right"/>
    </xf>
    <xf numFmtId="1" fontId="5" fillId="0" borderId="2" xfId="0" applyNumberFormat="1" applyFont="1" applyBorder="1"/>
    <xf numFmtId="1" fontId="5" fillId="0" borderId="32" xfId="0" applyNumberFormat="1" applyFont="1" applyBorder="1"/>
    <xf numFmtId="1" fontId="5" fillId="0" borderId="5" xfId="0" applyNumberFormat="1" applyFont="1" applyBorder="1"/>
    <xf numFmtId="2" fontId="11" fillId="0" borderId="21" xfId="0" applyNumberFormat="1" applyFont="1" applyBorder="1"/>
    <xf numFmtId="0" fontId="4" fillId="0" borderId="4" xfId="0" applyFont="1" applyBorder="1" applyAlignment="1">
      <alignment horizontal="right"/>
    </xf>
    <xf numFmtId="0" fontId="4" fillId="0" borderId="63" xfId="0" applyFont="1" applyBorder="1" applyAlignment="1">
      <alignment horizontal="right"/>
    </xf>
    <xf numFmtId="0" fontId="4" fillId="0" borderId="64" xfId="0" applyFont="1" applyBorder="1" applyAlignment="1">
      <alignment horizontal="right"/>
    </xf>
    <xf numFmtId="0" fontId="4" fillId="0" borderId="65" xfId="0" applyFont="1" applyBorder="1" applyAlignment="1">
      <alignment horizontal="right"/>
    </xf>
    <xf numFmtId="167" fontId="4" fillId="0" borderId="52" xfId="0" applyNumberFormat="1" applyFont="1" applyBorder="1"/>
    <xf numFmtId="0" fontId="4" fillId="0" borderId="2" xfId="0" applyFont="1" applyBorder="1" applyAlignment="1">
      <alignment horizontal="right"/>
    </xf>
    <xf numFmtId="0" fontId="4" fillId="0" borderId="32" xfId="0" applyFont="1" applyBorder="1" applyAlignment="1">
      <alignment horizontal="right"/>
    </xf>
    <xf numFmtId="0" fontId="4" fillId="0" borderId="5" xfId="0" applyFont="1" applyBorder="1" applyAlignment="1">
      <alignment horizontal="right"/>
    </xf>
    <xf numFmtId="0" fontId="4" fillId="0" borderId="28" xfId="3" applyFont="1" applyBorder="1" applyAlignment="1">
      <alignment horizontal="center"/>
    </xf>
    <xf numFmtId="0" fontId="5" fillId="0" borderId="7" xfId="0" applyFont="1" applyBorder="1"/>
    <xf numFmtId="167" fontId="5" fillId="0" borderId="10" xfId="0" applyNumberFormat="1" applyFont="1" applyBorder="1"/>
    <xf numFmtId="0" fontId="38" fillId="0" borderId="44" xfId="7" quotePrefix="1" applyFont="1" applyBorder="1"/>
    <xf numFmtId="0" fontId="11" fillId="3" borderId="20" xfId="0" applyFont="1" applyFill="1" applyBorder="1"/>
    <xf numFmtId="165" fontId="11" fillId="3" borderId="22" xfId="0" applyNumberFormat="1" applyFont="1" applyFill="1" applyBorder="1"/>
    <xf numFmtId="165" fontId="11" fillId="3" borderId="20" xfId="0" applyNumberFormat="1" applyFont="1" applyFill="1" applyBorder="1"/>
    <xf numFmtId="165" fontId="11" fillId="0" borderId="23" xfId="0" applyNumberFormat="1" applyFont="1" applyBorder="1"/>
    <xf numFmtId="0" fontId="11" fillId="4" borderId="49" xfId="0" quotePrefix="1" applyFont="1" applyFill="1" applyBorder="1"/>
    <xf numFmtId="0" fontId="11" fillId="4" borderId="20" xfId="0" applyFont="1" applyFill="1" applyBorder="1"/>
    <xf numFmtId="0" fontId="18" fillId="4" borderId="20" xfId="0" applyFont="1" applyFill="1" applyBorder="1"/>
    <xf numFmtId="165" fontId="11" fillId="0" borderId="9" xfId="0" applyNumberFormat="1" applyFont="1" applyBorder="1"/>
    <xf numFmtId="167" fontId="18" fillId="0" borderId="23" xfId="0" applyNumberFormat="1" applyFont="1" applyBorder="1"/>
    <xf numFmtId="0" fontId="11" fillId="4" borderId="49" xfId="0" applyFont="1" applyFill="1" applyBorder="1"/>
    <xf numFmtId="0" fontId="18" fillId="4" borderId="49" xfId="0" applyFont="1" applyFill="1" applyBorder="1"/>
    <xf numFmtId="0" fontId="11" fillId="4" borderId="22" xfId="0" applyFont="1" applyFill="1" applyBorder="1"/>
    <xf numFmtId="0" fontId="5" fillId="0" borderId="45" xfId="0" applyFont="1" applyBorder="1"/>
    <xf numFmtId="0" fontId="5" fillId="0" borderId="55" xfId="0" applyFont="1" applyBorder="1"/>
    <xf numFmtId="169" fontId="21" fillId="0" borderId="49" xfId="0" applyNumberFormat="1" applyFont="1" applyBorder="1"/>
    <xf numFmtId="0" fontId="11" fillId="3" borderId="20" xfId="0" applyFont="1" applyFill="1" applyBorder="1" applyAlignment="1">
      <alignment horizontal="center"/>
    </xf>
    <xf numFmtId="0" fontId="7" fillId="3" borderId="22" xfId="0" applyFont="1" applyFill="1" applyBorder="1"/>
    <xf numFmtId="0" fontId="62" fillId="0" borderId="0" xfId="0" applyFont="1"/>
    <xf numFmtId="0" fontId="5" fillId="0" borderId="20" xfId="0" applyFont="1" applyBorder="1" applyAlignment="1">
      <alignment horizontal="center"/>
    </xf>
    <xf numFmtId="0" fontId="7" fillId="3" borderId="23" xfId="0" applyFont="1" applyFill="1" applyBorder="1"/>
    <xf numFmtId="0" fontId="7" fillId="3" borderId="24" xfId="0" applyFont="1" applyFill="1" applyBorder="1"/>
    <xf numFmtId="168" fontId="11" fillId="3" borderId="22" xfId="0" applyNumberFormat="1" applyFont="1" applyFill="1" applyBorder="1"/>
    <xf numFmtId="0" fontId="5" fillId="0" borderId="48" xfId="0" applyFont="1" applyBorder="1"/>
    <xf numFmtId="0" fontId="5" fillId="0" borderId="44" xfId="0" applyFont="1" applyBorder="1"/>
    <xf numFmtId="0" fontId="5" fillId="0" borderId="22" xfId="0" applyFont="1" applyBorder="1"/>
    <xf numFmtId="0" fontId="4" fillId="0" borderId="7" xfId="0" applyFont="1" applyBorder="1"/>
    <xf numFmtId="0" fontId="4" fillId="0" borderId="8" xfId="0" applyFont="1" applyBorder="1"/>
    <xf numFmtId="0" fontId="0" fillId="0" borderId="52" xfId="0" applyBorder="1"/>
    <xf numFmtId="0" fontId="0" fillId="0" borderId="53" xfId="0" applyBorder="1"/>
    <xf numFmtId="0" fontId="0" fillId="0" borderId="35" xfId="0" applyBorder="1"/>
    <xf numFmtId="0" fontId="0" fillId="0" borderId="36" xfId="0" applyBorder="1"/>
    <xf numFmtId="0" fontId="0" fillId="0" borderId="50" xfId="0" applyBorder="1"/>
    <xf numFmtId="0" fontId="0" fillId="0" borderId="51" xfId="0" applyBorder="1"/>
    <xf numFmtId="0" fontId="4" fillId="0" borderId="66" xfId="0" applyFont="1" applyBorder="1"/>
    <xf numFmtId="0" fontId="4" fillId="0" borderId="67" xfId="0" applyFont="1" applyBorder="1"/>
    <xf numFmtId="14" fontId="23" fillId="0" borderId="22" xfId="0" applyNumberFormat="1" applyFont="1" applyBorder="1"/>
    <xf numFmtId="0" fontId="7" fillId="0" borderId="49" xfId="0" applyFont="1" applyBorder="1"/>
    <xf numFmtId="0" fontId="5" fillId="0" borderId="56" xfId="0" applyFont="1" applyBorder="1"/>
    <xf numFmtId="0" fontId="5" fillId="0" borderId="39" xfId="0" applyFont="1" applyBorder="1"/>
    <xf numFmtId="0" fontId="5" fillId="0" borderId="57" xfId="0" applyFont="1" applyBorder="1"/>
    <xf numFmtId="0" fontId="5" fillId="0" borderId="60" xfId="0" applyFont="1" applyBorder="1"/>
    <xf numFmtId="0" fontId="5" fillId="0" borderId="38" xfId="0" applyFont="1" applyBorder="1"/>
    <xf numFmtId="168" fontId="5" fillId="0" borderId="41" xfId="0" applyNumberFormat="1" applyFont="1" applyBorder="1"/>
    <xf numFmtId="2" fontId="21" fillId="0" borderId="39" xfId="0" applyNumberFormat="1" applyFont="1" applyBorder="1"/>
    <xf numFmtId="2" fontId="21" fillId="0" borderId="38" xfId="0" applyNumberFormat="1" applyFont="1" applyBorder="1"/>
    <xf numFmtId="166" fontId="21" fillId="0" borderId="0" xfId="0" applyNumberFormat="1" applyFont="1"/>
    <xf numFmtId="168" fontId="21" fillId="0" borderId="0" xfId="0" applyNumberFormat="1" applyFont="1"/>
    <xf numFmtId="166" fontId="5" fillId="0" borderId="42" xfId="4" applyNumberFormat="1" applyFont="1" applyBorder="1"/>
    <xf numFmtId="0" fontId="5" fillId="0" borderId="42" xfId="4" applyFont="1" applyBorder="1"/>
    <xf numFmtId="0" fontId="5" fillId="0" borderId="41" xfId="4" applyFont="1" applyBorder="1"/>
    <xf numFmtId="167" fontId="5" fillId="0" borderId="42" xfId="4" applyNumberFormat="1" applyFont="1" applyBorder="1"/>
    <xf numFmtId="168" fontId="5" fillId="0" borderId="42" xfId="4" applyNumberFormat="1" applyFont="1" applyBorder="1"/>
    <xf numFmtId="0" fontId="19" fillId="4" borderId="22" xfId="0" applyFont="1" applyFill="1" applyBorder="1"/>
    <xf numFmtId="166" fontId="11" fillId="3" borderId="20" xfId="0" applyNumberFormat="1" applyFont="1" applyFill="1" applyBorder="1"/>
    <xf numFmtId="176" fontId="0" fillId="0" borderId="0" xfId="0" applyNumberFormat="1"/>
    <xf numFmtId="173" fontId="0" fillId="0" borderId="0" xfId="0" applyNumberFormat="1"/>
    <xf numFmtId="0" fontId="5" fillId="0" borderId="48" xfId="4" applyFont="1" applyBorder="1"/>
    <xf numFmtId="0" fontId="5" fillId="0" borderId="0" xfId="4" applyFont="1"/>
    <xf numFmtId="167" fontId="11" fillId="0" borderId="0" xfId="0" applyNumberFormat="1" applyFont="1"/>
    <xf numFmtId="1" fontId="11" fillId="0" borderId="0" xfId="0" applyNumberFormat="1" applyFont="1" applyAlignment="1">
      <alignment horizontal="center"/>
    </xf>
    <xf numFmtId="1" fontId="7" fillId="0" borderId="0" xfId="0" applyNumberFormat="1" applyFont="1"/>
    <xf numFmtId="0" fontId="12" fillId="0" borderId="2" xfId="0" applyFont="1" applyBorder="1" applyAlignment="1">
      <alignment horizontal="center"/>
    </xf>
    <xf numFmtId="168" fontId="25" fillId="0" borderId="49" xfId="2" applyNumberFormat="1" applyFont="1" applyBorder="1"/>
    <xf numFmtId="167" fontId="25" fillId="0" borderId="49" xfId="2" applyNumberFormat="1" applyFont="1" applyBorder="1"/>
    <xf numFmtId="166" fontId="25" fillId="0" borderId="49" xfId="2" applyNumberFormat="1" applyFont="1" applyBorder="1"/>
    <xf numFmtId="0" fontId="5" fillId="0" borderId="49" xfId="2" applyFont="1" applyBorder="1" applyAlignment="1">
      <alignment horizontal="center"/>
    </xf>
    <xf numFmtId="0" fontId="4" fillId="3" borderId="4" xfId="0" applyFont="1" applyFill="1" applyBorder="1" applyAlignment="1">
      <alignment horizontal="right"/>
    </xf>
    <xf numFmtId="0" fontId="0" fillId="0" borderId="66" xfId="0" applyBorder="1"/>
    <xf numFmtId="0" fontId="0" fillId="0" borderId="67" xfId="0" applyBorder="1"/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25" fillId="0" borderId="49" xfId="2" applyFont="1" applyBorder="1"/>
    <xf numFmtId="2" fontId="25" fillId="0" borderId="49" xfId="2" applyNumberFormat="1" applyFont="1" applyBorder="1" applyAlignment="1">
      <alignment horizontal="right"/>
    </xf>
    <xf numFmtId="2" fontId="21" fillId="0" borderId="49" xfId="2" applyNumberFormat="1" applyFont="1" applyBorder="1"/>
    <xf numFmtId="0" fontId="25" fillId="0" borderId="49" xfId="2" applyFont="1" applyBorder="1" applyAlignment="1">
      <alignment horizontal="right"/>
    </xf>
    <xf numFmtId="1" fontId="25" fillId="0" borderId="49" xfId="2" applyNumberFormat="1" applyFont="1" applyBorder="1" applyAlignment="1">
      <alignment horizontal="center"/>
    </xf>
    <xf numFmtId="165" fontId="23" fillId="0" borderId="49" xfId="2" applyNumberFormat="1" applyFont="1" applyBorder="1" applyAlignment="1">
      <alignment horizontal="right"/>
    </xf>
    <xf numFmtId="165" fontId="21" fillId="0" borderId="49" xfId="2" applyNumberFormat="1" applyFont="1" applyBorder="1"/>
    <xf numFmtId="1" fontId="25" fillId="0" borderId="49" xfId="2" applyNumberFormat="1" applyFont="1" applyBorder="1"/>
    <xf numFmtId="167" fontId="25" fillId="0" borderId="49" xfId="2" applyNumberFormat="1" applyFont="1" applyBorder="1" applyAlignment="1">
      <alignment horizontal="right"/>
    </xf>
    <xf numFmtId="167" fontId="11" fillId="3" borderId="20" xfId="0" applyNumberFormat="1" applyFont="1" applyFill="1" applyBorder="1"/>
    <xf numFmtId="2" fontId="38" fillId="0" borderId="37" xfId="7" applyNumberFormat="1" applyFont="1" applyBorder="1"/>
    <xf numFmtId="2" fontId="38" fillId="0" borderId="48" xfId="7" applyNumberFormat="1" applyFont="1" applyBorder="1"/>
    <xf numFmtId="167" fontId="38" fillId="0" borderId="37" xfId="7" applyNumberFormat="1" applyFont="1" applyBorder="1"/>
    <xf numFmtId="167" fontId="38" fillId="0" borderId="48" xfId="7" applyNumberFormat="1" applyFont="1" applyBorder="1"/>
    <xf numFmtId="2" fontId="38" fillId="0" borderId="40" xfId="7" applyNumberFormat="1" applyFont="1" applyBorder="1"/>
    <xf numFmtId="2" fontId="38" fillId="0" borderId="0" xfId="7" applyNumberFormat="1" applyFont="1"/>
    <xf numFmtId="2" fontId="38" fillId="0" borderId="43" xfId="7" applyNumberFormat="1" applyFont="1" applyBorder="1"/>
    <xf numFmtId="2" fontId="38" fillId="0" borderId="47" xfId="7" applyNumberFormat="1" applyFont="1" applyBorder="1"/>
    <xf numFmtId="0" fontId="50" fillId="0" borderId="0" xfId="7" applyFont="1" applyAlignment="1">
      <alignment horizontal="center"/>
    </xf>
    <xf numFmtId="0" fontId="51" fillId="0" borderId="0" xfId="7" applyFont="1" applyAlignment="1">
      <alignment horizontal="center"/>
    </xf>
    <xf numFmtId="174" fontId="38" fillId="0" borderId="0" xfId="7" applyNumberFormat="1" applyFont="1" applyAlignment="1">
      <alignment horizontal="left"/>
    </xf>
    <xf numFmtId="170" fontId="45" fillId="0" borderId="0" xfId="7" applyNumberFormat="1" applyFont="1" applyAlignment="1">
      <alignment horizontal="left"/>
    </xf>
    <xf numFmtId="0" fontId="38" fillId="0" borderId="0" xfId="7" applyFont="1" applyAlignment="1">
      <alignment horizontal="left"/>
    </xf>
    <xf numFmtId="0" fontId="38" fillId="0" borderId="0" xfId="7" applyFont="1" applyAlignment="1">
      <alignment horizontal="justify" vertical="top" wrapText="1"/>
    </xf>
    <xf numFmtId="0" fontId="45" fillId="0" borderId="0" xfId="7" applyFont="1" applyAlignment="1">
      <alignment horizontal="center"/>
    </xf>
    <xf numFmtId="0" fontId="52" fillId="0" borderId="0" xfId="7" applyFont="1" applyAlignment="1">
      <alignment horizontal="center" vertical="top"/>
    </xf>
    <xf numFmtId="175" fontId="45" fillId="0" borderId="0" xfId="7" applyNumberFormat="1" applyFont="1" applyAlignment="1">
      <alignment horizontal="left"/>
    </xf>
    <xf numFmtId="174" fontId="45" fillId="0" borderId="0" xfId="7" applyNumberFormat="1" applyFont="1" applyAlignment="1">
      <alignment horizontal="left"/>
    </xf>
    <xf numFmtId="174" fontId="45" fillId="0" borderId="0" xfId="7" applyNumberFormat="1" applyFont="1" applyAlignment="1">
      <alignment horizontal="left" vertical="center"/>
    </xf>
    <xf numFmtId="0" fontId="42" fillId="0" borderId="0" xfId="7" applyFont="1" applyAlignment="1">
      <alignment vertical="center" wrapText="1"/>
    </xf>
    <xf numFmtId="0" fontId="38" fillId="0" borderId="0" xfId="7" applyFont="1" applyAlignment="1">
      <alignment horizontal="center"/>
    </xf>
    <xf numFmtId="175" fontId="45" fillId="0" borderId="0" xfId="7" applyNumberFormat="1" applyFont="1" applyAlignment="1">
      <alignment horizontal="left" vertical="center"/>
    </xf>
    <xf numFmtId="175" fontId="45" fillId="0" borderId="0" xfId="7" applyNumberFormat="1" applyFont="1" applyAlignment="1">
      <alignment horizontal="left" vertical="top" wrapText="1"/>
    </xf>
    <xf numFmtId="0" fontId="48" fillId="0" borderId="0" xfId="7" applyFont="1" applyAlignment="1">
      <alignment horizontal="center"/>
    </xf>
    <xf numFmtId="0" fontId="49" fillId="0" borderId="37" xfId="7" applyFont="1" applyBorder="1" applyAlignment="1">
      <alignment horizontal="center" vertical="center"/>
    </xf>
    <xf numFmtId="0" fontId="49" fillId="0" borderId="48" xfId="7" applyFont="1" applyBorder="1" applyAlignment="1">
      <alignment horizontal="center" vertical="center"/>
    </xf>
    <xf numFmtId="0" fontId="49" fillId="0" borderId="38" xfId="7" applyFont="1" applyBorder="1" applyAlignment="1">
      <alignment horizontal="center" vertical="center"/>
    </xf>
    <xf numFmtId="0" fontId="49" fillId="0" borderId="43" xfId="7" applyFont="1" applyBorder="1" applyAlignment="1">
      <alignment horizontal="center" vertical="center"/>
    </xf>
    <xf numFmtId="0" fontId="49" fillId="0" borderId="47" xfId="7" applyFont="1" applyBorder="1" applyAlignment="1">
      <alignment horizontal="center" vertical="center"/>
    </xf>
    <xf numFmtId="0" fontId="49" fillId="0" borderId="44" xfId="7" applyFont="1" applyBorder="1" applyAlignment="1">
      <alignment horizontal="center" vertical="center"/>
    </xf>
    <xf numFmtId="1" fontId="38" fillId="0" borderId="40" xfId="7" applyNumberFormat="1" applyFont="1" applyBorder="1"/>
    <xf numFmtId="1" fontId="38" fillId="0" borderId="0" xfId="7" applyNumberFormat="1" applyFont="1"/>
    <xf numFmtId="165" fontId="38" fillId="0" borderId="40" xfId="7" applyNumberFormat="1" applyFont="1" applyBorder="1"/>
    <xf numFmtId="165" fontId="38" fillId="0" borderId="0" xfId="7" applyNumberFormat="1" applyFont="1"/>
    <xf numFmtId="168" fontId="38" fillId="0" borderId="37" xfId="7" applyNumberFormat="1" applyFont="1" applyBorder="1"/>
    <xf numFmtId="168" fontId="38" fillId="0" borderId="48" xfId="7" applyNumberFormat="1" applyFont="1" applyBorder="1"/>
    <xf numFmtId="168" fontId="38" fillId="0" borderId="40" xfId="7" applyNumberFormat="1" applyFont="1" applyBorder="1"/>
    <xf numFmtId="168" fontId="38" fillId="0" borderId="0" xfId="7" applyNumberFormat="1" applyFont="1"/>
    <xf numFmtId="167" fontId="38" fillId="0" borderId="40" xfId="7" applyNumberFormat="1" applyFont="1" applyBorder="1"/>
    <xf numFmtId="167" fontId="38" fillId="0" borderId="0" xfId="7" applyNumberFormat="1" applyFont="1"/>
    <xf numFmtId="165" fontId="38" fillId="0" borderId="37" xfId="7" applyNumberFormat="1" applyFont="1" applyBorder="1"/>
    <xf numFmtId="165" fontId="38" fillId="0" borderId="48" xfId="7" applyNumberFormat="1" applyFont="1" applyBorder="1"/>
    <xf numFmtId="0" fontId="38" fillId="0" borderId="39" xfId="7" applyFont="1" applyBorder="1" applyAlignment="1">
      <alignment horizontal="center" vertical="center"/>
    </xf>
    <xf numFmtId="0" fontId="38" fillId="0" borderId="45" xfId="7" applyFont="1" applyBorder="1" applyAlignment="1">
      <alignment horizontal="center" vertical="center"/>
    </xf>
    <xf numFmtId="0" fontId="38" fillId="0" borderId="37" xfId="7" applyFont="1" applyBorder="1" applyAlignment="1">
      <alignment horizontal="center" vertical="center" wrapText="1"/>
    </xf>
    <xf numFmtId="0" fontId="38" fillId="0" borderId="48" xfId="7" applyFont="1" applyBorder="1" applyAlignment="1">
      <alignment horizontal="center" vertical="center" wrapText="1"/>
    </xf>
    <xf numFmtId="0" fontId="38" fillId="0" borderId="38" xfId="7" applyFont="1" applyBorder="1" applyAlignment="1">
      <alignment horizontal="center" vertical="center" wrapText="1"/>
    </xf>
    <xf numFmtId="0" fontId="38" fillId="0" borderId="43" xfId="7" applyFont="1" applyBorder="1" applyAlignment="1">
      <alignment horizontal="center" vertical="center" wrapText="1"/>
    </xf>
    <xf numFmtId="0" fontId="38" fillId="0" borderId="47" xfId="7" applyFont="1" applyBorder="1" applyAlignment="1">
      <alignment horizontal="center" vertical="center" wrapText="1"/>
    </xf>
    <xf numFmtId="0" fontId="38" fillId="0" borderId="44" xfId="7" applyFont="1" applyBorder="1" applyAlignment="1">
      <alignment horizontal="center" vertical="center" wrapText="1"/>
    </xf>
    <xf numFmtId="0" fontId="38" fillId="0" borderId="39" xfId="7" applyFont="1" applyBorder="1" applyAlignment="1">
      <alignment horizontal="center" vertical="center" wrapText="1"/>
    </xf>
    <xf numFmtId="0" fontId="38" fillId="0" borderId="45" xfId="7" applyFont="1" applyBorder="1" applyAlignment="1">
      <alignment horizontal="center" vertical="center" wrapText="1"/>
    </xf>
    <xf numFmtId="165" fontId="38" fillId="0" borderId="43" xfId="7" applyNumberFormat="1" applyFont="1" applyBorder="1"/>
    <xf numFmtId="165" fontId="38" fillId="0" borderId="47" xfId="7" applyNumberFormat="1" applyFont="1" applyBorder="1"/>
    <xf numFmtId="165" fontId="38" fillId="0" borderId="37" xfId="7" applyNumberFormat="1" applyFont="1" applyBorder="1" applyAlignment="1">
      <alignment horizontal="right"/>
    </xf>
    <xf numFmtId="165" fontId="38" fillId="0" borderId="48" xfId="7" applyNumberFormat="1" applyFont="1" applyBorder="1" applyAlignment="1">
      <alignment horizontal="right"/>
    </xf>
    <xf numFmtId="167" fontId="38" fillId="0" borderId="43" xfId="7" applyNumberFormat="1" applyFont="1" applyBorder="1"/>
    <xf numFmtId="167" fontId="38" fillId="0" borderId="47" xfId="7" applyNumberFormat="1" applyFont="1" applyBorder="1"/>
    <xf numFmtId="0" fontId="38" fillId="0" borderId="40" xfId="7" applyFont="1" applyBorder="1" applyAlignment="1">
      <alignment horizontal="center" vertical="center"/>
    </xf>
    <xf numFmtId="0" fontId="38" fillId="0" borderId="0" xfId="7" applyFont="1" applyAlignment="1">
      <alignment horizontal="center" vertical="center"/>
    </xf>
    <xf numFmtId="0" fontId="38" fillId="0" borderId="41" xfId="7" applyFont="1" applyBorder="1" applyAlignment="1">
      <alignment horizontal="center" vertical="center"/>
    </xf>
    <xf numFmtId="0" fontId="38" fillId="0" borderId="43" xfId="7" applyFont="1" applyBorder="1" applyAlignment="1">
      <alignment horizontal="center" vertical="center"/>
    </xf>
    <xf numFmtId="0" fontId="38" fillId="0" borderId="47" xfId="7" applyFont="1" applyBorder="1" applyAlignment="1">
      <alignment horizontal="center" vertical="center"/>
    </xf>
    <xf numFmtId="0" fontId="38" fillId="0" borderId="44" xfId="7" applyFont="1" applyBorder="1" applyAlignment="1">
      <alignment horizontal="center" vertical="center"/>
    </xf>
    <xf numFmtId="174" fontId="38" fillId="0" borderId="0" xfId="7" applyNumberFormat="1" applyFont="1" applyAlignment="1">
      <alignment horizontal="left" vertical="center"/>
    </xf>
    <xf numFmtId="168" fontId="38" fillId="0" borderId="43" xfId="7" applyNumberFormat="1" applyFont="1" applyBorder="1"/>
    <xf numFmtId="168" fontId="38" fillId="0" borderId="47" xfId="7" applyNumberFormat="1" applyFont="1" applyBorder="1"/>
    <xf numFmtId="1" fontId="38" fillId="0" borderId="37" xfId="7" applyNumberFormat="1" applyFont="1" applyBorder="1"/>
    <xf numFmtId="1" fontId="38" fillId="0" borderId="48" xfId="7" applyNumberFormat="1" applyFont="1" applyBorder="1"/>
    <xf numFmtId="165" fontId="38" fillId="0" borderId="40" xfId="7" applyNumberFormat="1" applyFont="1" applyBorder="1" applyAlignment="1">
      <alignment horizontal="right"/>
    </xf>
    <xf numFmtId="165" fontId="38" fillId="0" borderId="0" xfId="7" applyNumberFormat="1" applyFont="1" applyAlignment="1">
      <alignment horizontal="right"/>
    </xf>
    <xf numFmtId="165" fontId="38" fillId="0" borderId="43" xfId="7" applyNumberFormat="1" applyFont="1" applyBorder="1" applyAlignment="1">
      <alignment horizontal="right"/>
    </xf>
    <xf numFmtId="165" fontId="38" fillId="0" borderId="47" xfId="7" applyNumberFormat="1" applyFont="1" applyBorder="1" applyAlignment="1">
      <alignment horizontal="right"/>
    </xf>
    <xf numFmtId="2" fontId="38" fillId="0" borderId="37" xfId="7" applyNumberFormat="1" applyFont="1" applyBorder="1" applyAlignment="1">
      <alignment horizontal="right"/>
    </xf>
    <xf numFmtId="2" fontId="38" fillId="0" borderId="48" xfId="7" applyNumberFormat="1" applyFont="1" applyBorder="1" applyAlignment="1">
      <alignment horizontal="right"/>
    </xf>
    <xf numFmtId="2" fontId="38" fillId="0" borderId="40" xfId="7" applyNumberFormat="1" applyFont="1" applyBorder="1" applyAlignment="1">
      <alignment horizontal="right"/>
    </xf>
    <xf numFmtId="2" fontId="38" fillId="0" borderId="0" xfId="7" applyNumberFormat="1" applyFont="1" applyAlignment="1">
      <alignment horizontal="right"/>
    </xf>
    <xf numFmtId="2" fontId="38" fillId="0" borderId="43" xfId="7" applyNumberFormat="1" applyFont="1" applyBorder="1" applyAlignment="1">
      <alignment horizontal="right"/>
    </xf>
    <xf numFmtId="2" fontId="38" fillId="0" borderId="47" xfId="7" applyNumberFormat="1" applyFont="1" applyBorder="1" applyAlignment="1">
      <alignment horizontal="right"/>
    </xf>
    <xf numFmtId="1" fontId="38" fillId="0" borderId="43" xfId="7" applyNumberFormat="1" applyFont="1" applyBorder="1"/>
    <xf numFmtId="1" fontId="38" fillId="0" borderId="47" xfId="7" applyNumberFormat="1" applyFont="1" applyBorder="1"/>
    <xf numFmtId="0" fontId="38" fillId="0" borderId="40" xfId="7" applyFont="1" applyBorder="1" applyAlignment="1">
      <alignment horizontal="center" vertical="center" wrapText="1"/>
    </xf>
    <xf numFmtId="0" fontId="38" fillId="0" borderId="0" xfId="7" applyFont="1" applyAlignment="1">
      <alignment horizontal="center" vertical="center" wrapText="1"/>
    </xf>
    <xf numFmtId="0" fontId="38" fillId="0" borderId="41" xfId="7" applyFont="1" applyBorder="1" applyAlignment="1">
      <alignment horizontal="center" vertical="center" wrapText="1"/>
    </xf>
    <xf numFmtId="0" fontId="38" fillId="0" borderId="0" xfId="7" applyFont="1" applyAlignment="1">
      <alignment horizontal="left" vertical="top" wrapText="1"/>
    </xf>
    <xf numFmtId="0" fontId="38" fillId="0" borderId="48" xfId="7" applyFont="1" applyBorder="1" applyAlignment="1">
      <alignment horizontal="center" vertical="center"/>
    </xf>
    <xf numFmtId="165" fontId="11" fillId="0" borderId="20" xfId="0" applyNumberFormat="1" applyFont="1" applyBorder="1" applyAlignment="1">
      <alignment horizontal="center"/>
    </xf>
    <xf numFmtId="0" fontId="7" fillId="0" borderId="22" xfId="0" applyFont="1" applyBorder="1"/>
    <xf numFmtId="167" fontId="11" fillId="0" borderId="20" xfId="0" applyNumberFormat="1" applyFont="1" applyBorder="1" applyAlignment="1">
      <alignment horizontal="center"/>
    </xf>
    <xf numFmtId="2" fontId="19" fillId="0" borderId="20" xfId="0" quotePrefix="1" applyNumberFormat="1" applyFont="1" applyBorder="1" applyAlignment="1">
      <alignment horizontal="center"/>
    </xf>
    <xf numFmtId="2" fontId="7" fillId="0" borderId="22" xfId="0" applyNumberFormat="1" applyFont="1" applyBorder="1"/>
    <xf numFmtId="2" fontId="11" fillId="0" borderId="20" xfId="0" applyNumberFormat="1" applyFont="1" applyBorder="1" applyAlignment="1">
      <alignment horizontal="center"/>
    </xf>
    <xf numFmtId="2" fontId="11" fillId="3" borderId="20" xfId="0" applyNumberFormat="1" applyFont="1" applyFill="1" applyBorder="1" applyAlignment="1">
      <alignment horizontal="center"/>
    </xf>
    <xf numFmtId="0" fontId="7" fillId="3" borderId="22" xfId="0" applyFont="1" applyFill="1" applyBorder="1"/>
    <xf numFmtId="167" fontId="7" fillId="0" borderId="22" xfId="0" applyNumberFormat="1" applyFont="1" applyBorder="1"/>
    <xf numFmtId="0" fontId="11" fillId="3" borderId="20" xfId="0" applyFont="1" applyFill="1" applyBorder="1" applyAlignment="1">
      <alignment horizontal="center"/>
    </xf>
    <xf numFmtId="0" fontId="11" fillId="0" borderId="9" xfId="0" applyFont="1" applyBorder="1" applyAlignment="1">
      <alignment horizontal="center" vertical="center" wrapText="1"/>
    </xf>
    <xf numFmtId="0" fontId="7" fillId="0" borderId="11" xfId="0" applyFont="1" applyBorder="1"/>
    <xf numFmtId="0" fontId="7" fillId="0" borderId="23" xfId="0" applyFont="1" applyBorder="1"/>
    <xf numFmtId="0" fontId="7" fillId="0" borderId="24" xfId="0" applyFont="1" applyBorder="1"/>
    <xf numFmtId="0" fontId="11" fillId="0" borderId="20" xfId="0" applyFont="1" applyBorder="1" applyAlignment="1">
      <alignment horizontal="center"/>
    </xf>
    <xf numFmtId="0" fontId="7" fillId="0" borderId="21" xfId="0" applyFont="1" applyBorder="1"/>
    <xf numFmtId="165" fontId="11" fillId="0" borderId="22" xfId="0" applyNumberFormat="1" applyFont="1" applyBorder="1" applyAlignment="1">
      <alignment horizontal="center"/>
    </xf>
    <xf numFmtId="2" fontId="11" fillId="0" borderId="22" xfId="0" applyNumberFormat="1" applyFont="1" applyBorder="1" applyAlignment="1">
      <alignment horizontal="center"/>
    </xf>
    <xf numFmtId="167" fontId="11" fillId="3" borderId="20" xfId="0" applyNumberFormat="1" applyFont="1" applyFill="1" applyBorder="1" applyAlignment="1">
      <alignment horizontal="center"/>
    </xf>
    <xf numFmtId="167" fontId="7" fillId="3" borderId="22" xfId="0" applyNumberFormat="1" applyFont="1" applyFill="1" applyBorder="1"/>
    <xf numFmtId="167" fontId="11" fillId="0" borderId="22" xfId="0" applyNumberFormat="1" applyFont="1" applyBorder="1" applyAlignment="1">
      <alignment horizontal="center"/>
    </xf>
    <xf numFmtId="2" fontId="11" fillId="3" borderId="22" xfId="0" applyNumberFormat="1" applyFont="1" applyFill="1" applyBorder="1" applyAlignment="1">
      <alignment horizontal="center"/>
    </xf>
    <xf numFmtId="165" fontId="11" fillId="3" borderId="20" xfId="0" applyNumberFormat="1" applyFont="1" applyFill="1" applyBorder="1" applyAlignment="1">
      <alignment horizontal="center"/>
    </xf>
    <xf numFmtId="165" fontId="7" fillId="0" borderId="22" xfId="0" applyNumberFormat="1" applyFont="1" applyBorder="1"/>
    <xf numFmtId="1" fontId="11" fillId="0" borderId="20" xfId="0" applyNumberFormat="1" applyFont="1" applyBorder="1" applyAlignment="1">
      <alignment horizontal="center"/>
    </xf>
    <xf numFmtId="1" fontId="7" fillId="0" borderId="22" xfId="0" applyNumberFormat="1" applyFont="1" applyBorder="1"/>
    <xf numFmtId="0" fontId="11" fillId="3" borderId="22" xfId="0" applyFont="1" applyFill="1" applyBorder="1" applyAlignment="1">
      <alignment horizontal="center"/>
    </xf>
    <xf numFmtId="2" fontId="11" fillId="0" borderId="10" xfId="0" applyNumberFormat="1" applyFont="1" applyBorder="1" applyAlignment="1">
      <alignment horizontal="center"/>
    </xf>
    <xf numFmtId="0" fontId="7" fillId="0" borderId="10" xfId="0" applyFont="1" applyBorder="1"/>
    <xf numFmtId="2" fontId="11" fillId="0" borderId="0" xfId="0" applyNumberFormat="1" applyFont="1" applyAlignment="1">
      <alignment horizontal="center"/>
    </xf>
    <xf numFmtId="0" fontId="0" fillId="0" borderId="0" xfId="0"/>
    <xf numFmtId="171" fontId="11" fillId="0" borderId="0" xfId="0" applyNumberFormat="1" applyFont="1" applyAlignment="1">
      <alignment horizontal="left"/>
    </xf>
    <xf numFmtId="0" fontId="10" fillId="0" borderId="0" xfId="0" applyFont="1" applyAlignment="1">
      <alignment horizontal="center"/>
    </xf>
    <xf numFmtId="0" fontId="7" fillId="0" borderId="13" xfId="0" applyFont="1" applyBorder="1"/>
    <xf numFmtId="0" fontId="11" fillId="0" borderId="20" xfId="0" applyFont="1" applyBorder="1" applyAlignment="1">
      <alignment horizontal="left"/>
    </xf>
    <xf numFmtId="0" fontId="11" fillId="0" borderId="9" xfId="0" applyFont="1" applyBorder="1" applyAlignment="1">
      <alignment horizontal="center" vertical="center"/>
    </xf>
    <xf numFmtId="0" fontId="7" fillId="0" borderId="12" xfId="0" applyFont="1" applyBorder="1"/>
    <xf numFmtId="15" fontId="11" fillId="0" borderId="20" xfId="0" applyNumberFormat="1" applyFont="1" applyBorder="1" applyAlignment="1">
      <alignment horizontal="left"/>
    </xf>
    <xf numFmtId="170" fontId="11" fillId="0" borderId="17" xfId="0" applyNumberFormat="1" applyFont="1" applyBorder="1" applyAlignment="1">
      <alignment horizontal="left"/>
    </xf>
    <xf numFmtId="0" fontId="7" fillId="0" borderId="18" xfId="0" applyFont="1" applyBorder="1"/>
    <xf numFmtId="170" fontId="11" fillId="0" borderId="20" xfId="0" applyNumberFormat="1" applyFont="1" applyBorder="1" applyAlignment="1">
      <alignment horizontal="left"/>
    </xf>
    <xf numFmtId="170" fontId="11" fillId="0" borderId="21" xfId="0" applyNumberFormat="1" applyFont="1" applyBorder="1" applyAlignment="1">
      <alignment horizontal="center"/>
    </xf>
    <xf numFmtId="0" fontId="11" fillId="0" borderId="22" xfId="0" applyFont="1" applyBorder="1" applyAlignment="1">
      <alignment horizontal="center"/>
    </xf>
    <xf numFmtId="165" fontId="11" fillId="3" borderId="22" xfId="0" applyNumberFormat="1" applyFont="1" applyFill="1" applyBorder="1" applyAlignment="1">
      <alignment horizontal="center"/>
    </xf>
    <xf numFmtId="167" fontId="19" fillId="0" borderId="20" xfId="0" applyNumberFormat="1" applyFont="1" applyBorder="1" applyAlignment="1">
      <alignment horizontal="center"/>
    </xf>
    <xf numFmtId="167" fontId="19" fillId="0" borderId="22" xfId="0" applyNumberFormat="1" applyFont="1" applyBorder="1" applyAlignment="1">
      <alignment horizontal="center"/>
    </xf>
    <xf numFmtId="167" fontId="35" fillId="0" borderId="22" xfId="0" applyNumberFormat="1" applyFont="1" applyBorder="1"/>
    <xf numFmtId="0" fontId="35" fillId="0" borderId="22" xfId="0" applyFont="1" applyBorder="1"/>
    <xf numFmtId="2" fontId="19" fillId="0" borderId="20" xfId="0" applyNumberFormat="1" applyFont="1" applyBorder="1" applyAlignment="1">
      <alignment horizontal="center"/>
    </xf>
    <xf numFmtId="2" fontId="19" fillId="0" borderId="22" xfId="0" applyNumberFormat="1" applyFont="1" applyBorder="1" applyAlignment="1">
      <alignment horizontal="center"/>
    </xf>
    <xf numFmtId="2" fontId="35" fillId="0" borderId="22" xfId="0" applyNumberFormat="1" applyFont="1" applyBorder="1"/>
    <xf numFmtId="1" fontId="11" fillId="0" borderId="20" xfId="0" quotePrefix="1" applyNumberFormat="1" applyFont="1" applyBorder="1" applyAlignment="1">
      <alignment horizontal="center"/>
    </xf>
    <xf numFmtId="1" fontId="11" fillId="0" borderId="22" xfId="0" quotePrefix="1" applyNumberFormat="1" applyFont="1" applyBorder="1" applyAlignment="1">
      <alignment horizontal="center"/>
    </xf>
    <xf numFmtId="1" fontId="11" fillId="0" borderId="22" xfId="0" applyNumberFormat="1" applyFont="1" applyBorder="1" applyAlignment="1">
      <alignment horizontal="center"/>
    </xf>
    <xf numFmtId="2" fontId="8" fillId="0" borderId="20" xfId="0" applyNumberFormat="1" applyFont="1" applyBorder="1" applyAlignment="1">
      <alignment horizontal="center"/>
    </xf>
    <xf numFmtId="0" fontId="13" fillId="0" borderId="20" xfId="0" applyFont="1" applyBorder="1"/>
    <xf numFmtId="0" fontId="4" fillId="0" borderId="20" xfId="0" applyFont="1" applyBorder="1"/>
    <xf numFmtId="0" fontId="12" fillId="0" borderId="68" xfId="0" applyFont="1" applyBorder="1" applyAlignment="1">
      <alignment horizontal="center"/>
    </xf>
    <xf numFmtId="0" fontId="7" fillId="0" borderId="26" xfId="0" applyFont="1" applyBorder="1"/>
    <xf numFmtId="0" fontId="12" fillId="0" borderId="25" xfId="0" applyFont="1" applyBorder="1" applyAlignment="1">
      <alignment horizontal="center"/>
    </xf>
    <xf numFmtId="0" fontId="12" fillId="0" borderId="26" xfId="0" applyFont="1" applyBorder="1" applyAlignment="1">
      <alignment horizontal="center"/>
    </xf>
    <xf numFmtId="170" fontId="4" fillId="0" borderId="9" xfId="0" applyNumberFormat="1" applyFont="1" applyBorder="1" applyAlignment="1">
      <alignment horizontal="left"/>
    </xf>
    <xf numFmtId="0" fontId="5" fillId="0" borderId="20" xfId="0" applyFont="1" applyBorder="1" applyAlignment="1">
      <alignment horizontal="center"/>
    </xf>
    <xf numFmtId="170" fontId="4" fillId="0" borderId="12" xfId="0" applyNumberFormat="1" applyFont="1" applyBorder="1" applyAlignment="1">
      <alignment horizontal="left"/>
    </xf>
    <xf numFmtId="0" fontId="0" fillId="0" borderId="39" xfId="0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13" fillId="0" borderId="23" xfId="0" applyFont="1" applyBorder="1"/>
    <xf numFmtId="0" fontId="7" fillId="0" borderId="19" xfId="0" applyFont="1" applyBorder="1"/>
    <xf numFmtId="0" fontId="4" fillId="0" borderId="23" xfId="0" applyFont="1" applyBorder="1"/>
    <xf numFmtId="0" fontId="5" fillId="0" borderId="20" xfId="0" applyFont="1" applyBorder="1" applyAlignment="1">
      <alignment horizontal="center" wrapText="1"/>
    </xf>
    <xf numFmtId="0" fontId="32" fillId="0" borderId="20" xfId="3" applyFont="1" applyBorder="1" applyAlignment="1"/>
    <xf numFmtId="0" fontId="23" fillId="0" borderId="21" xfId="3" applyFont="1" applyBorder="1" applyAlignment="1"/>
    <xf numFmtId="0" fontId="23" fillId="0" borderId="22" xfId="3" applyFont="1" applyBorder="1" applyAlignment="1"/>
    <xf numFmtId="0" fontId="25" fillId="0" borderId="20" xfId="3" applyFont="1" applyBorder="1" applyAlignment="1"/>
    <xf numFmtId="0" fontId="32" fillId="0" borderId="23" xfId="3" applyFont="1" applyBorder="1" applyAlignment="1"/>
    <xf numFmtId="0" fontId="23" fillId="0" borderId="19" xfId="3" applyFont="1" applyBorder="1" applyAlignment="1"/>
    <xf numFmtId="0" fontId="23" fillId="0" borderId="24" xfId="3" applyFont="1" applyBorder="1" applyAlignment="1"/>
    <xf numFmtId="0" fontId="25" fillId="0" borderId="23" xfId="3" applyFont="1" applyBorder="1" applyAlignment="1"/>
    <xf numFmtId="0" fontId="21" fillId="0" borderId="9" xfId="4" applyFont="1" applyBorder="1" applyAlignment="1">
      <alignment horizontal="center"/>
    </xf>
    <xf numFmtId="0" fontId="23" fillId="0" borderId="11" xfId="4" applyFont="1" applyBorder="1"/>
    <xf numFmtId="170" fontId="25" fillId="0" borderId="12" xfId="3" applyNumberFormat="1" applyFont="1" applyBorder="1" applyAlignment="1">
      <alignment horizontal="left"/>
    </xf>
    <xf numFmtId="170" fontId="25" fillId="0" borderId="0" xfId="3" applyNumberFormat="1" applyFont="1" applyAlignment="1">
      <alignment horizontal="left"/>
    </xf>
    <xf numFmtId="0" fontId="21" fillId="0" borderId="20" xfId="2" applyFont="1" applyBorder="1" applyAlignment="1">
      <alignment horizontal="center"/>
    </xf>
    <xf numFmtId="0" fontId="21" fillId="0" borderId="21" xfId="2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7" fillId="0" borderId="3" xfId="0" applyFont="1" applyBorder="1"/>
    <xf numFmtId="0" fontId="12" fillId="0" borderId="3" xfId="0" applyFont="1" applyBorder="1" applyAlignment="1">
      <alignment horizontal="center"/>
    </xf>
    <xf numFmtId="170" fontId="25" fillId="0" borderId="9" xfId="3" applyNumberFormat="1" applyFont="1" applyBorder="1" applyAlignment="1">
      <alignment horizontal="left"/>
    </xf>
    <xf numFmtId="170" fontId="23" fillId="0" borderId="10" xfId="3" applyNumberFormat="1" applyFont="1" applyBorder="1" applyAlignment="1"/>
    <xf numFmtId="0" fontId="13" fillId="2" borderId="20" xfId="0" applyFont="1" applyFill="1" applyBorder="1"/>
    <xf numFmtId="0" fontId="4" fillId="2" borderId="20" xfId="0" applyFont="1" applyFill="1" applyBorder="1"/>
    <xf numFmtId="0" fontId="5" fillId="0" borderId="0" xfId="0" applyFont="1" applyAlignment="1">
      <alignment horizontal="center"/>
    </xf>
  </cellXfs>
  <cellStyles count="9">
    <cellStyle name="Comma [0]" xfId="1" builtinId="6"/>
    <cellStyle name="Normal" xfId="0" builtinId="0"/>
    <cellStyle name="Normal 2" xfId="2" xr:uid="{7F861523-337C-443A-AEDC-C9DC98361014}"/>
    <cellStyle name="Normal 2 2" xfId="3" xr:uid="{90784169-D054-40FD-90CC-5D28D2968D13}"/>
    <cellStyle name="Normal 2 2 2" xfId="4" xr:uid="{9ED1237D-CE51-43D4-9997-20156D76B7A2}"/>
    <cellStyle name="Normal 2 5" xfId="5" xr:uid="{630235F2-E64B-46E7-AEE7-115DF8DBAD34}"/>
    <cellStyle name="Normal 3" xfId="6" xr:uid="{64C442E4-6896-4DC6-AB86-5A9500CC01CC}"/>
    <cellStyle name="Normal 4" xfId="7" xr:uid="{59F45223-F176-4B13-9197-8F695CAD5A7E}"/>
    <cellStyle name="Normal 6" xfId="8" xr:uid="{D41D56D8-84B3-4C0A-AB77-2DD83D4195FE}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mbri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mbria"/>
        <family val="1"/>
        <scheme val="none"/>
      </font>
      <numFmt numFmtId="2" formatCode="0.0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mbria"/>
        <family val="1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mbria"/>
        <family val="1"/>
        <scheme val="none"/>
      </font>
      <border diagonalUp="0" diagonalDown="0">
        <left style="thin">
          <color auto="1"/>
        </left>
        <right/>
        <top/>
        <bottom/>
        <vertical/>
        <horizontal/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mbria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85725</xdr:rowOff>
    </xdr:from>
    <xdr:ext cx="1933575" cy="58102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0</xdr:colOff>
      <xdr:row>0</xdr:row>
      <xdr:rowOff>0</xdr:rowOff>
    </xdr:from>
    <xdr:ext cx="5210175" cy="1038225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19050</xdr:colOff>
      <xdr:row>0</xdr:row>
      <xdr:rowOff>0</xdr:rowOff>
    </xdr:from>
    <xdr:ext cx="5219700" cy="847725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0</xdr:row>
      <xdr:rowOff>0</xdr:rowOff>
    </xdr:from>
    <xdr:ext cx="5181600" cy="809625"/>
    <xdr:pic>
      <xdr:nvPicPr>
        <xdr:cNvPr id="2" name="image4.jp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0</xdr:row>
      <xdr:rowOff>0</xdr:rowOff>
    </xdr:from>
    <xdr:to>
      <xdr:col>24</xdr:col>
      <xdr:colOff>556681</xdr:colOff>
      <xdr:row>5</xdr:row>
      <xdr:rowOff>107413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94EBCF-EB51-49CD-944F-B093077C60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24875" y="0"/>
          <a:ext cx="5226424" cy="101990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9525</xdr:colOff>
      <xdr:row>0</xdr:row>
      <xdr:rowOff>0</xdr:rowOff>
    </xdr:from>
    <xdr:ext cx="5229225" cy="1171575"/>
    <xdr:pic>
      <xdr:nvPicPr>
        <xdr:cNvPr id="2" name="image5.jp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DA1CA11-10C3-44A1-9B3D-72CF285DD6B0}" name="Table8" displayName="Table8" ref="AP49:AV53" totalsRowShown="0" headerRowDxfId="5" tableBorderDxfId="4">
  <autoFilter ref="AP49:AV53" xr:uid="{6DA1CA11-10C3-44A1-9B3D-72CF285DD6B0}"/>
  <sortState xmlns:xlrd2="http://schemas.microsoft.com/office/spreadsheetml/2017/richdata2" ref="AP50:AV53">
    <sortCondition ref="AP49:AP53"/>
  </sortState>
  <tableColumns count="7">
    <tableColumn id="1" xr3:uid="{F0DD8954-A819-4457-93E6-492708E71D7C}" name="a" dataDxfId="3"/>
    <tableColumn id="2" xr3:uid="{247C44B9-C914-4D07-95C2-3A7D813381FC}" name="a2" dataDxfId="2"/>
    <tableColumn id="3" xr3:uid="{3D9D5EBD-2995-4ABA-9C72-3F02B1436B9D}" name="a3" dataDxfId="1"/>
    <tableColumn id="4" xr3:uid="{F56590BA-EF4D-485C-A839-8549343EAEB5}" name="a4" dataDxfId="0"/>
    <tableColumn id="5" xr3:uid="{FB9752A5-6B75-450B-87C8-AB2FF0E51FF5}" name="a5"/>
    <tableColumn id="6" xr3:uid="{DA64DA37-87E1-42DE-B195-1478E77B67F1}" name="a6"/>
    <tableColumn id="7" xr3:uid="{F6805729-BF78-40E0-B90F-B7A94AF92352}" name="a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4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5" Type="http://schemas.openxmlformats.org/officeDocument/2006/relationships/comments" Target="../comments4.xml"/><Relationship Id="rId4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699C9-6885-47FE-BA8E-ECB765791FBC}">
  <dimension ref="A1:Z201"/>
  <sheetViews>
    <sheetView tabSelected="1" view="pageLayout" zoomScaleNormal="100" zoomScaleSheetLayoutView="100" workbookViewId="0">
      <selection activeCell="Z82" sqref="Z82"/>
    </sheetView>
  </sheetViews>
  <sheetFormatPr defaultRowHeight="14.4" x14ac:dyDescent="0.3"/>
  <cols>
    <col min="1" max="1" width="12.5546875" customWidth="1"/>
    <col min="2" max="7" width="3.44140625" customWidth="1"/>
    <col min="8" max="8" width="3.5546875" customWidth="1"/>
    <col min="9" max="28" width="3.44140625" customWidth="1"/>
  </cols>
  <sheetData>
    <row r="1" spans="1:25" ht="93.75" customHeight="1" x14ac:dyDescent="0.3"/>
    <row r="2" spans="1:25" ht="25.2" x14ac:dyDescent="0.45">
      <c r="A2" s="454"/>
      <c r="B2" s="701" t="s">
        <v>563</v>
      </c>
      <c r="C2" s="701"/>
      <c r="D2" s="701"/>
      <c r="E2" s="701"/>
      <c r="F2" s="701"/>
      <c r="G2" s="701"/>
      <c r="H2" s="701"/>
      <c r="I2" s="701"/>
      <c r="J2" s="701"/>
      <c r="K2" s="701"/>
      <c r="L2" s="701"/>
      <c r="M2" s="701"/>
      <c r="N2" s="701"/>
      <c r="O2" s="701"/>
      <c r="P2" s="701"/>
      <c r="Q2" s="701"/>
      <c r="R2" s="701"/>
      <c r="S2" s="701"/>
      <c r="T2" s="701"/>
      <c r="U2" s="701"/>
      <c r="V2" s="701"/>
      <c r="W2" s="701"/>
      <c r="X2" s="701"/>
      <c r="Y2" s="701"/>
    </row>
    <row r="3" spans="1:25" ht="20.399999999999999" x14ac:dyDescent="0.35">
      <c r="A3" s="454"/>
      <c r="B3" s="702" t="s">
        <v>564</v>
      </c>
      <c r="C3" s="702"/>
      <c r="D3" s="702"/>
      <c r="E3" s="702"/>
      <c r="F3" s="702"/>
      <c r="G3" s="702"/>
      <c r="H3" s="702"/>
      <c r="I3" s="702"/>
      <c r="J3" s="702"/>
      <c r="K3" s="702"/>
      <c r="L3" s="702"/>
      <c r="M3" s="702"/>
      <c r="N3" s="702"/>
      <c r="O3" s="702"/>
      <c r="P3" s="702"/>
      <c r="Q3" s="702"/>
      <c r="R3" s="702"/>
      <c r="S3" s="702"/>
      <c r="T3" s="702"/>
      <c r="U3" s="702"/>
      <c r="V3" s="702"/>
      <c r="W3" s="702"/>
      <c r="X3" s="702"/>
      <c r="Y3" s="702"/>
    </row>
    <row r="4" spans="1:25" x14ac:dyDescent="0.3">
      <c r="A4" s="454"/>
      <c r="B4" s="454"/>
      <c r="C4" s="454"/>
      <c r="D4" s="454"/>
      <c r="F4" s="496"/>
      <c r="G4" s="497" t="s">
        <v>565</v>
      </c>
      <c r="H4" s="532" t="s">
        <v>566</v>
      </c>
      <c r="J4" s="457"/>
      <c r="K4" s="498" t="s">
        <v>49</v>
      </c>
      <c r="N4" s="458" t="s">
        <v>634</v>
      </c>
      <c r="O4" s="457" t="str">
        <f>CONCATENATE("/KALIBRASI BBLM/",ROMAN(TEXT(T36,"m")),"/",TEXT(T36,"yyyy"))</f>
        <v>/KALIBRASI BBLM/XI/2025</v>
      </c>
      <c r="P4" s="459"/>
      <c r="Q4" s="459"/>
      <c r="R4" s="459"/>
      <c r="S4" s="459"/>
      <c r="T4" s="459"/>
      <c r="U4" s="459"/>
      <c r="V4" s="454"/>
    </row>
    <row r="5" spans="1:25" x14ac:dyDescent="0.3">
      <c r="A5" s="454"/>
      <c r="B5" s="454"/>
      <c r="C5" s="454"/>
      <c r="D5" s="454"/>
      <c r="E5" s="454"/>
      <c r="F5" s="454"/>
      <c r="G5" s="454"/>
      <c r="H5" s="454"/>
      <c r="I5" s="454"/>
      <c r="J5" s="454"/>
      <c r="K5" s="454"/>
      <c r="L5" s="454"/>
      <c r="M5" s="454"/>
      <c r="N5" s="454"/>
      <c r="P5" s="454"/>
      <c r="Q5" s="454"/>
      <c r="R5" s="454"/>
      <c r="S5" s="454"/>
      <c r="T5" s="454"/>
      <c r="U5" s="454"/>
      <c r="V5" s="454"/>
    </row>
    <row r="6" spans="1:25" x14ac:dyDescent="0.3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  <c r="O6" s="454"/>
      <c r="P6" s="460"/>
      <c r="Q6" s="454"/>
      <c r="R6" s="454"/>
      <c r="S6" s="454"/>
      <c r="T6" s="454"/>
      <c r="U6" s="454"/>
      <c r="V6" s="454"/>
    </row>
    <row r="7" spans="1:25" x14ac:dyDescent="0.3">
      <c r="A7" s="454"/>
      <c r="B7" s="461" t="s">
        <v>567</v>
      </c>
      <c r="C7" s="461"/>
      <c r="D7" s="461"/>
      <c r="E7" s="454"/>
      <c r="F7" s="454"/>
      <c r="G7" s="454"/>
      <c r="H7" s="454"/>
      <c r="I7" s="454"/>
      <c r="J7" s="454"/>
      <c r="K7" s="454"/>
      <c r="L7" s="454"/>
      <c r="M7" s="454"/>
      <c r="N7" s="454"/>
      <c r="O7" s="454"/>
      <c r="P7" s="454"/>
      <c r="Q7" s="454"/>
      <c r="R7" s="454"/>
      <c r="S7" s="454"/>
      <c r="T7" s="454"/>
      <c r="U7" s="454"/>
      <c r="V7" s="454"/>
    </row>
    <row r="8" spans="1:25" x14ac:dyDescent="0.3">
      <c r="A8" s="454"/>
      <c r="B8" s="462" t="s">
        <v>568</v>
      </c>
      <c r="C8" s="462"/>
      <c r="D8" s="462"/>
      <c r="E8" s="454"/>
      <c r="F8" s="454"/>
      <c r="G8" s="454"/>
      <c r="H8" s="454"/>
      <c r="I8" s="454"/>
      <c r="J8" s="454"/>
      <c r="K8" s="454"/>
      <c r="L8" s="454"/>
      <c r="M8" s="454"/>
      <c r="N8" s="454"/>
      <c r="O8" s="454"/>
      <c r="P8" s="454"/>
      <c r="Q8" s="454"/>
      <c r="R8" s="454"/>
      <c r="S8" s="454"/>
      <c r="T8" s="454"/>
      <c r="U8" s="454"/>
      <c r="V8" s="454"/>
    </row>
    <row r="9" spans="1:25" x14ac:dyDescent="0.3">
      <c r="A9" s="454"/>
      <c r="B9" s="454"/>
      <c r="C9" s="454"/>
      <c r="D9" s="454"/>
      <c r="E9" s="454"/>
      <c r="F9" s="454"/>
      <c r="G9" s="454"/>
      <c r="H9" s="454"/>
      <c r="I9" s="454"/>
      <c r="J9" s="454"/>
      <c r="K9" s="454"/>
      <c r="L9" s="454"/>
      <c r="M9" s="454"/>
      <c r="N9" s="454"/>
      <c r="O9" s="454"/>
      <c r="P9" s="454"/>
      <c r="Q9" s="454"/>
      <c r="R9" s="454"/>
      <c r="S9" s="454"/>
      <c r="T9" s="454"/>
      <c r="U9" s="454"/>
      <c r="V9" s="454"/>
    </row>
    <row r="10" spans="1:25" x14ac:dyDescent="0.3">
      <c r="A10" s="454"/>
      <c r="B10" s="704" t="s">
        <v>569</v>
      </c>
      <c r="C10" s="704"/>
      <c r="D10" s="704"/>
      <c r="E10" s="704"/>
      <c r="F10" s="704"/>
      <c r="G10" s="704"/>
      <c r="H10" s="454" t="str">
        <f>PROPER(RIGHT(Data!F2,11))</f>
        <v>Multi Meter</v>
      </c>
      <c r="I10" s="454"/>
      <c r="J10" s="454"/>
      <c r="K10" s="454"/>
      <c r="L10" s="454"/>
      <c r="M10" s="454"/>
      <c r="N10" s="454"/>
      <c r="O10" s="454"/>
      <c r="P10" s="454"/>
      <c r="Q10" s="454"/>
      <c r="R10" s="454"/>
      <c r="S10" s="454"/>
      <c r="T10" s="454"/>
      <c r="U10" s="454"/>
      <c r="V10" s="454"/>
    </row>
    <row r="11" spans="1:25" ht="16.8" x14ac:dyDescent="0.3">
      <c r="A11" s="454"/>
      <c r="B11" s="499" t="s">
        <v>615</v>
      </c>
      <c r="C11" s="463"/>
      <c r="D11" s="454"/>
      <c r="E11" s="454"/>
      <c r="F11" s="454"/>
      <c r="H11" s="454"/>
      <c r="I11" s="454"/>
      <c r="J11" s="454"/>
      <c r="K11" s="464"/>
      <c r="L11" s="454"/>
      <c r="M11" s="454"/>
      <c r="N11" s="454"/>
      <c r="O11" s="454"/>
      <c r="P11" s="454"/>
      <c r="Q11" s="454"/>
      <c r="R11" s="454"/>
      <c r="S11" s="454"/>
      <c r="T11" s="454"/>
      <c r="U11" s="454"/>
      <c r="V11" s="454"/>
    </row>
    <row r="12" spans="1:25" x14ac:dyDescent="0.3">
      <c r="A12" s="454"/>
      <c r="B12" s="704" t="s">
        <v>570</v>
      </c>
      <c r="C12" s="704"/>
      <c r="D12" s="704"/>
      <c r="E12" s="704"/>
      <c r="F12" s="704"/>
      <c r="G12" s="704"/>
      <c r="H12" s="454" t="str">
        <f>Data!D8</f>
        <v>FLUKE</v>
      </c>
      <c r="I12" s="454"/>
      <c r="J12" s="454"/>
      <c r="K12" s="464"/>
      <c r="L12" s="454"/>
      <c r="M12" s="454"/>
      <c r="N12" s="454"/>
      <c r="O12" s="454"/>
      <c r="P12" s="454"/>
      <c r="Q12" s="454"/>
      <c r="R12" s="454"/>
      <c r="S12" s="454"/>
      <c r="T12" s="454"/>
      <c r="U12" s="454"/>
      <c r="V12" s="454"/>
    </row>
    <row r="13" spans="1:25" ht="16.8" x14ac:dyDescent="0.3">
      <c r="A13" s="454"/>
      <c r="B13" s="499" t="s">
        <v>571</v>
      </c>
      <c r="C13" s="463"/>
      <c r="D13" s="454"/>
      <c r="E13" s="454"/>
      <c r="F13" s="454"/>
      <c r="H13" s="454"/>
      <c r="I13" s="454"/>
      <c r="J13" s="454"/>
      <c r="K13" s="464"/>
      <c r="L13" s="454"/>
      <c r="M13" s="454"/>
      <c r="N13" s="454"/>
      <c r="O13" s="454"/>
      <c r="P13" s="454"/>
      <c r="Q13" s="454"/>
      <c r="R13" s="454"/>
      <c r="S13" s="454"/>
      <c r="T13" s="454"/>
      <c r="U13" s="454"/>
      <c r="V13" s="454"/>
    </row>
    <row r="14" spans="1:25" x14ac:dyDescent="0.3">
      <c r="A14" s="454"/>
      <c r="B14" s="704" t="s">
        <v>10</v>
      </c>
      <c r="C14" s="704"/>
      <c r="D14" s="704"/>
      <c r="E14" s="704"/>
      <c r="F14" s="704"/>
      <c r="G14" s="704"/>
      <c r="H14" s="705">
        <f>Data!J8</f>
        <v>179</v>
      </c>
      <c r="I14" s="705"/>
      <c r="J14" s="705"/>
      <c r="K14" s="705"/>
      <c r="L14" s="705"/>
      <c r="M14" s="454"/>
      <c r="N14" s="454"/>
      <c r="O14" s="454"/>
      <c r="P14" s="454"/>
      <c r="Q14" s="454"/>
      <c r="R14" s="454"/>
      <c r="S14" s="454"/>
      <c r="T14" s="454"/>
      <c r="U14" s="454"/>
      <c r="V14" s="454"/>
    </row>
    <row r="15" spans="1:25" ht="16.8" x14ac:dyDescent="0.3">
      <c r="A15" s="454"/>
      <c r="B15" s="499" t="s">
        <v>572</v>
      </c>
      <c r="C15" s="454"/>
      <c r="D15" s="454"/>
      <c r="E15" s="454"/>
      <c r="F15" s="454"/>
      <c r="H15" s="454"/>
      <c r="I15" s="454"/>
      <c r="J15" s="454"/>
      <c r="K15" s="464"/>
      <c r="L15" s="454"/>
      <c r="M15" s="454"/>
      <c r="N15" s="454"/>
      <c r="O15" s="454"/>
      <c r="P15" s="454"/>
      <c r="Q15" s="454"/>
      <c r="R15" s="454"/>
      <c r="S15" s="454"/>
      <c r="T15" s="454"/>
      <c r="U15" s="454"/>
      <c r="V15" s="454"/>
    </row>
    <row r="16" spans="1:25" x14ac:dyDescent="0.3">
      <c r="A16" s="454"/>
      <c r="B16" s="704" t="s">
        <v>573</v>
      </c>
      <c r="C16" s="704"/>
      <c r="D16" s="704"/>
      <c r="E16" s="704"/>
      <c r="F16" s="704"/>
      <c r="G16" s="704"/>
      <c r="H16" s="705" t="str">
        <f>Data!J10</f>
        <v>-</v>
      </c>
      <c r="I16" s="705"/>
      <c r="J16" s="705"/>
      <c r="K16" s="705"/>
      <c r="L16" s="705"/>
      <c r="M16" s="454"/>
      <c r="N16" s="454"/>
      <c r="O16" s="454"/>
      <c r="P16" s="454"/>
      <c r="Q16" s="454"/>
      <c r="R16" s="454"/>
      <c r="S16" s="454"/>
      <c r="T16" s="454"/>
      <c r="U16" s="454"/>
      <c r="V16" s="454"/>
    </row>
    <row r="17" spans="1:26" ht="16.8" x14ac:dyDescent="0.3">
      <c r="A17" s="454"/>
      <c r="B17" s="499" t="s">
        <v>574</v>
      </c>
      <c r="C17" s="463"/>
      <c r="D17" s="454"/>
      <c r="E17" s="454"/>
      <c r="F17" s="454"/>
      <c r="H17" s="454"/>
      <c r="I17" s="454"/>
      <c r="J17" s="454"/>
      <c r="K17" s="466"/>
      <c r="L17" s="454"/>
      <c r="M17" s="454"/>
      <c r="N17" s="454"/>
      <c r="S17" s="454"/>
      <c r="T17" s="454"/>
      <c r="U17" s="454"/>
      <c r="V17" s="454"/>
    </row>
    <row r="18" spans="1:26" x14ac:dyDescent="0.3">
      <c r="A18" s="454"/>
      <c r="B18" s="704" t="s">
        <v>575</v>
      </c>
      <c r="C18" s="704"/>
      <c r="D18" s="704"/>
      <c r="E18" s="704"/>
      <c r="F18" s="704"/>
      <c r="G18" s="704"/>
      <c r="H18" s="454" t="str">
        <f>Data!D10</f>
        <v>66340242</v>
      </c>
      <c r="I18" s="454"/>
      <c r="J18" s="466"/>
      <c r="L18" s="454"/>
      <c r="M18" s="454"/>
      <c r="N18" s="454"/>
      <c r="S18" s="454"/>
      <c r="T18" s="454"/>
      <c r="U18" s="454"/>
      <c r="V18" s="454"/>
    </row>
    <row r="19" spans="1:26" ht="16.8" x14ac:dyDescent="0.3">
      <c r="A19" s="454"/>
      <c r="B19" s="499" t="s">
        <v>576</v>
      </c>
      <c r="C19" s="463"/>
      <c r="D19" s="464"/>
      <c r="E19" s="454"/>
      <c r="F19" s="454"/>
      <c r="G19" s="454"/>
      <c r="H19" s="454"/>
      <c r="I19" s="454"/>
      <c r="J19" s="454"/>
      <c r="K19" s="454"/>
      <c r="L19" s="454"/>
      <c r="M19" s="454"/>
      <c r="N19" s="454"/>
      <c r="O19" s="454"/>
      <c r="P19" s="454"/>
      <c r="Q19" s="454"/>
      <c r="R19" s="454"/>
      <c r="S19" s="454"/>
      <c r="T19" s="454"/>
      <c r="U19" s="454"/>
      <c r="V19" s="454"/>
    </row>
    <row r="20" spans="1:26" x14ac:dyDescent="0.3">
      <c r="A20" s="454"/>
      <c r="B20" s="704" t="s">
        <v>577</v>
      </c>
      <c r="C20" s="704"/>
      <c r="D20" s="704"/>
      <c r="E20" s="704"/>
      <c r="F20" s="704"/>
      <c r="G20" s="704"/>
      <c r="H20" s="703" t="s">
        <v>578</v>
      </c>
      <c r="I20" s="703"/>
      <c r="J20" s="703"/>
      <c r="K20" s="703"/>
      <c r="L20" s="703"/>
      <c r="M20" s="459" t="str">
        <f>Data!D9</f>
        <v>-</v>
      </c>
      <c r="N20" s="454"/>
      <c r="O20" s="454"/>
      <c r="P20" s="454"/>
      <c r="Q20" s="454"/>
      <c r="R20" s="454"/>
      <c r="S20" s="454"/>
      <c r="T20" s="454"/>
      <c r="U20" s="454"/>
      <c r="V20" s="454"/>
    </row>
    <row r="21" spans="1:26" ht="16.8" x14ac:dyDescent="0.3">
      <c r="A21" s="454"/>
      <c r="B21" s="499" t="s">
        <v>579</v>
      </c>
      <c r="C21" s="454"/>
      <c r="D21" s="464"/>
      <c r="E21" s="454"/>
      <c r="F21" s="454"/>
      <c r="H21" s="703" t="s">
        <v>580</v>
      </c>
      <c r="I21" s="703"/>
      <c r="J21" s="703"/>
      <c r="K21" s="703"/>
      <c r="L21" s="703"/>
      <c r="M21" s="459" t="s">
        <v>562</v>
      </c>
      <c r="N21" s="454"/>
      <c r="O21" s="454"/>
      <c r="P21" s="454"/>
      <c r="Q21" s="454"/>
      <c r="R21" s="454"/>
      <c r="S21" s="454"/>
      <c r="T21" s="454"/>
      <c r="U21" s="454"/>
      <c r="V21" s="454"/>
    </row>
    <row r="22" spans="1:26" ht="16.8" x14ac:dyDescent="0.3">
      <c r="A22" s="454"/>
      <c r="B22" s="499"/>
      <c r="C22" s="454"/>
      <c r="D22" s="464"/>
      <c r="E22" s="454"/>
      <c r="F22" s="454"/>
      <c r="H22" s="495"/>
      <c r="I22" s="495"/>
      <c r="J22" s="495"/>
      <c r="K22" s="495"/>
      <c r="L22" s="495"/>
      <c r="M22" s="459"/>
      <c r="N22" s="454"/>
      <c r="O22" s="454"/>
      <c r="P22" s="454"/>
      <c r="Q22" s="454"/>
      <c r="R22" s="454"/>
      <c r="S22" s="454"/>
      <c r="T22" s="454"/>
      <c r="U22" s="454"/>
      <c r="V22" s="454"/>
    </row>
    <row r="23" spans="1:26" x14ac:dyDescent="0.3">
      <c r="A23" s="454"/>
      <c r="B23" s="454"/>
      <c r="C23" s="467"/>
      <c r="D23" s="454"/>
      <c r="E23" s="454"/>
      <c r="F23" s="454"/>
      <c r="G23" s="454"/>
      <c r="H23" s="454"/>
      <c r="I23" s="454"/>
      <c r="J23" s="454"/>
      <c r="K23" s="454"/>
      <c r="L23" s="454"/>
      <c r="M23" s="454"/>
      <c r="N23" s="454"/>
      <c r="O23" s="454"/>
      <c r="P23" s="454"/>
      <c r="Q23" s="454"/>
      <c r="R23" s="454"/>
      <c r="S23" s="454"/>
      <c r="T23" s="454"/>
      <c r="U23" s="454"/>
      <c r="V23" s="454"/>
    </row>
    <row r="24" spans="1:26" x14ac:dyDescent="0.3">
      <c r="A24" s="454"/>
      <c r="B24" s="461" t="s">
        <v>581</v>
      </c>
      <c r="C24" s="461"/>
      <c r="D24" s="461"/>
      <c r="E24" s="468"/>
      <c r="F24" s="468"/>
      <c r="G24" s="468"/>
      <c r="H24" s="468"/>
      <c r="I24" s="454"/>
      <c r="J24" s="468"/>
      <c r="K24" s="468"/>
      <c r="L24" s="468"/>
      <c r="M24" s="468"/>
      <c r="N24" s="454"/>
      <c r="O24" s="454"/>
      <c r="P24" s="454"/>
      <c r="Q24" s="454"/>
      <c r="R24" s="454"/>
      <c r="S24" s="454"/>
      <c r="T24" s="454"/>
      <c r="U24" s="454"/>
      <c r="V24" s="454"/>
    </row>
    <row r="25" spans="1:26" x14ac:dyDescent="0.3">
      <c r="A25" s="454"/>
      <c r="B25" s="462" t="s">
        <v>582</v>
      </c>
      <c r="C25" s="462"/>
      <c r="D25" s="462"/>
      <c r="E25" s="469"/>
      <c r="F25" s="469"/>
      <c r="G25" s="469"/>
      <c r="H25" s="469"/>
      <c r="I25" s="454"/>
      <c r="J25" s="469"/>
      <c r="K25" s="469"/>
      <c r="L25" s="469"/>
      <c r="M25" s="469"/>
      <c r="N25" s="454"/>
      <c r="O25" s="454"/>
      <c r="P25" s="454"/>
      <c r="Q25" s="454"/>
      <c r="R25" s="454"/>
      <c r="S25" s="454"/>
      <c r="T25" s="454"/>
      <c r="U25" s="454"/>
      <c r="V25" s="454"/>
    </row>
    <row r="26" spans="1:26" x14ac:dyDescent="0.3">
      <c r="A26" s="454"/>
      <c r="B26" s="470"/>
      <c r="C26" s="470"/>
      <c r="D26" s="470"/>
      <c r="E26" s="470"/>
      <c r="F26" s="470"/>
      <c r="G26" s="470"/>
      <c r="H26" s="470"/>
      <c r="I26" s="454"/>
      <c r="J26" s="470"/>
      <c r="K26" s="470"/>
      <c r="L26" s="470"/>
      <c r="M26" s="470"/>
      <c r="N26" s="454"/>
      <c r="O26" s="454"/>
      <c r="P26" s="454"/>
      <c r="Q26" s="454"/>
      <c r="R26" s="454"/>
      <c r="S26" s="454"/>
      <c r="T26" s="454"/>
      <c r="U26" s="454"/>
      <c r="V26" s="454"/>
    </row>
    <row r="27" spans="1:26" x14ac:dyDescent="0.3">
      <c r="A27" s="454"/>
      <c r="B27" s="704" t="s">
        <v>583</v>
      </c>
      <c r="C27" s="704"/>
      <c r="D27" s="704"/>
      <c r="E27" s="704"/>
      <c r="F27" s="704"/>
      <c r="G27" s="704"/>
      <c r="H27" s="454" t="s">
        <v>632</v>
      </c>
      <c r="I27" s="454"/>
      <c r="J27" s="454"/>
      <c r="K27" s="454"/>
      <c r="L27" s="454"/>
      <c r="M27" s="454"/>
      <c r="N27" s="454"/>
      <c r="O27" s="454"/>
      <c r="P27" s="454"/>
      <c r="Q27" s="454"/>
      <c r="R27" s="454"/>
      <c r="S27" s="454"/>
      <c r="T27" s="454"/>
      <c r="U27" s="454"/>
      <c r="V27" s="454"/>
    </row>
    <row r="28" spans="1:26" ht="16.8" x14ac:dyDescent="0.3">
      <c r="A28" s="454"/>
      <c r="B28" s="499" t="s">
        <v>584</v>
      </c>
      <c r="C28" s="463"/>
      <c r="D28" s="464"/>
      <c r="E28" s="454"/>
      <c r="F28" s="454"/>
      <c r="G28" s="454"/>
      <c r="H28" s="454"/>
      <c r="I28" s="454"/>
      <c r="J28" s="454"/>
      <c r="K28" s="454"/>
      <c r="L28" s="454"/>
      <c r="M28" s="454"/>
      <c r="N28" s="454"/>
      <c r="O28" s="454"/>
      <c r="P28" s="454"/>
      <c r="Q28" s="454"/>
      <c r="R28" s="454"/>
      <c r="S28" s="454"/>
      <c r="T28" s="454"/>
      <c r="U28" s="454"/>
      <c r="V28" s="454"/>
    </row>
    <row r="29" spans="1:26" ht="15.75" customHeight="1" x14ac:dyDescent="0.3">
      <c r="A29" s="454"/>
      <c r="B29" s="704" t="s">
        <v>585</v>
      </c>
      <c r="C29" s="704"/>
      <c r="D29" s="704"/>
      <c r="E29" s="704"/>
      <c r="F29" s="704"/>
      <c r="G29" s="704"/>
      <c r="H29" s="706" t="s">
        <v>633</v>
      </c>
      <c r="I29" s="706"/>
      <c r="J29" s="706"/>
      <c r="K29" s="706"/>
      <c r="L29" s="706"/>
      <c r="M29" s="706"/>
      <c r="N29" s="706"/>
      <c r="O29" s="706"/>
      <c r="P29" s="706"/>
      <c r="Q29" s="706"/>
      <c r="R29" s="706"/>
      <c r="S29" s="706"/>
      <c r="T29" s="706"/>
      <c r="U29" s="706"/>
      <c r="V29" s="706"/>
      <c r="W29" s="706"/>
      <c r="X29" s="706"/>
      <c r="Y29" s="706"/>
      <c r="Z29" s="706"/>
    </row>
    <row r="30" spans="1:26" ht="16.8" x14ac:dyDescent="0.3">
      <c r="A30" s="454"/>
      <c r="B30" s="499" t="s">
        <v>586</v>
      </c>
      <c r="C30" s="454"/>
      <c r="D30" s="464"/>
      <c r="E30" s="454"/>
      <c r="F30" s="454"/>
      <c r="G30" s="467"/>
      <c r="H30" s="706"/>
      <c r="I30" s="706"/>
      <c r="J30" s="706"/>
      <c r="K30" s="706"/>
      <c r="L30" s="706"/>
      <c r="M30" s="706"/>
      <c r="N30" s="706"/>
      <c r="O30" s="706"/>
      <c r="P30" s="706"/>
      <c r="Q30" s="706"/>
      <c r="R30" s="706"/>
      <c r="S30" s="706"/>
      <c r="T30" s="706"/>
      <c r="U30" s="706"/>
      <c r="V30" s="706"/>
      <c r="W30" s="706"/>
      <c r="X30" s="706"/>
      <c r="Y30" s="706"/>
      <c r="Z30" s="706"/>
    </row>
    <row r="31" spans="1:26" x14ac:dyDescent="0.3">
      <c r="A31" s="454"/>
      <c r="B31" s="463"/>
      <c r="C31" s="454"/>
      <c r="D31" s="464"/>
      <c r="E31" s="454"/>
      <c r="F31" s="454"/>
      <c r="G31" s="467"/>
      <c r="H31" s="706"/>
      <c r="I31" s="706"/>
      <c r="J31" s="706"/>
      <c r="K31" s="706"/>
      <c r="L31" s="706"/>
      <c r="M31" s="706"/>
      <c r="N31" s="706"/>
      <c r="O31" s="706"/>
      <c r="P31" s="706"/>
      <c r="Q31" s="706"/>
      <c r="R31" s="706"/>
      <c r="S31" s="706"/>
      <c r="T31" s="706"/>
      <c r="U31" s="706"/>
      <c r="V31" s="706"/>
      <c r="W31" s="706"/>
      <c r="X31" s="706"/>
      <c r="Y31" s="706"/>
      <c r="Z31" s="706"/>
    </row>
    <row r="32" spans="1:26" x14ac:dyDescent="0.3">
      <c r="A32" s="454"/>
      <c r="B32" s="454"/>
      <c r="C32" s="470"/>
      <c r="D32" s="470"/>
      <c r="E32" s="470"/>
      <c r="F32" s="470"/>
      <c r="G32" s="470"/>
      <c r="H32" s="470"/>
      <c r="I32" s="470"/>
      <c r="J32" s="470"/>
      <c r="K32" s="470"/>
      <c r="L32" s="470"/>
      <c r="M32" s="470"/>
      <c r="N32" s="454"/>
      <c r="O32" s="454"/>
      <c r="P32" s="454"/>
      <c r="Q32" s="454"/>
      <c r="R32" s="454"/>
      <c r="S32" s="454"/>
      <c r="T32" s="454"/>
      <c r="U32" s="454"/>
      <c r="V32" s="454"/>
    </row>
    <row r="33" spans="1:25" x14ac:dyDescent="0.3">
      <c r="A33" s="454"/>
      <c r="B33" s="454"/>
      <c r="C33" s="470"/>
      <c r="D33" s="470"/>
      <c r="E33" s="470"/>
      <c r="F33" s="470"/>
      <c r="G33" s="454"/>
      <c r="H33" s="454"/>
      <c r="I33" s="454"/>
      <c r="J33" s="454"/>
      <c r="K33" s="454"/>
      <c r="L33" s="454"/>
      <c r="M33" s="454"/>
      <c r="N33" s="454"/>
      <c r="P33" s="504" t="s">
        <v>37</v>
      </c>
      <c r="Q33" s="505">
        <v>1</v>
      </c>
      <c r="R33" s="707" t="s">
        <v>587</v>
      </c>
      <c r="S33" s="707"/>
      <c r="T33" s="505">
        <v>4</v>
      </c>
      <c r="U33" s="506" t="s">
        <v>588</v>
      </c>
      <c r="V33" s="454"/>
    </row>
    <row r="34" spans="1:25" ht="17.399999999999999" x14ac:dyDescent="0.3">
      <c r="A34" s="454"/>
      <c r="B34" s="454"/>
      <c r="C34" s="470"/>
      <c r="D34" s="470"/>
      <c r="E34" s="470"/>
      <c r="F34" s="470"/>
      <c r="G34" s="454"/>
      <c r="H34" s="454"/>
      <c r="I34" s="454"/>
      <c r="J34" s="454"/>
      <c r="K34" s="454"/>
      <c r="L34" s="454"/>
      <c r="M34" s="454"/>
      <c r="O34" s="454"/>
      <c r="P34" s="500" t="s">
        <v>589</v>
      </c>
      <c r="Q34" s="501"/>
      <c r="R34" s="708" t="s">
        <v>590</v>
      </c>
      <c r="S34" s="708"/>
      <c r="T34" s="502"/>
      <c r="U34" s="503" t="s">
        <v>591</v>
      </c>
      <c r="V34" s="454"/>
    </row>
    <row r="35" spans="1:25" x14ac:dyDescent="0.3">
      <c r="A35" s="454"/>
      <c r="B35" s="454"/>
      <c r="C35" s="470"/>
      <c r="D35" s="470"/>
      <c r="E35" s="470"/>
      <c r="F35" s="470"/>
      <c r="G35" s="454"/>
      <c r="H35" s="454"/>
      <c r="I35" s="454"/>
      <c r="J35" s="454"/>
      <c r="K35" s="454"/>
      <c r="L35" s="454"/>
      <c r="M35" s="470"/>
      <c r="N35" s="470"/>
      <c r="O35" s="470"/>
      <c r="P35" s="470"/>
      <c r="Q35" s="470"/>
      <c r="R35" s="470"/>
      <c r="S35" s="454"/>
      <c r="T35" s="454"/>
      <c r="U35" s="454"/>
      <c r="V35" s="454"/>
    </row>
    <row r="36" spans="1:25" x14ac:dyDescent="0.3">
      <c r="A36" s="454"/>
      <c r="B36" s="454"/>
      <c r="C36" s="470"/>
      <c r="D36" s="470"/>
      <c r="E36" s="470"/>
      <c r="F36" s="470"/>
      <c r="G36" s="454"/>
      <c r="H36" s="454"/>
      <c r="I36" s="454"/>
      <c r="J36" s="454"/>
      <c r="K36" s="454"/>
      <c r="L36" s="454"/>
      <c r="N36" s="507"/>
      <c r="O36" s="506"/>
      <c r="P36" s="454"/>
      <c r="Q36" s="454"/>
      <c r="S36" s="504" t="s">
        <v>592</v>
      </c>
      <c r="T36" s="709">
        <v>45965</v>
      </c>
      <c r="U36" s="709"/>
      <c r="V36" s="709"/>
      <c r="W36" s="709"/>
      <c r="X36" s="709"/>
      <c r="Y36" s="709"/>
    </row>
    <row r="37" spans="1:25" ht="16.8" x14ac:dyDescent="0.3">
      <c r="A37" s="454"/>
      <c r="B37" s="454"/>
      <c r="C37" s="470"/>
      <c r="D37" s="470"/>
      <c r="E37" s="470"/>
      <c r="F37" s="470"/>
      <c r="G37" s="454"/>
      <c r="H37" s="454"/>
      <c r="I37" s="454"/>
      <c r="J37" s="454"/>
      <c r="K37" s="454"/>
      <c r="L37" s="454"/>
      <c r="M37" s="454"/>
      <c r="O37" s="474"/>
      <c r="P37" s="474"/>
      <c r="Q37" s="474"/>
      <c r="R37" s="474"/>
      <c r="S37" s="500" t="s">
        <v>593</v>
      </c>
    </row>
    <row r="38" spans="1:25" x14ac:dyDescent="0.3">
      <c r="A38" s="454"/>
      <c r="B38" s="454"/>
      <c r="C38" s="470"/>
      <c r="D38" s="470"/>
      <c r="E38" s="470"/>
      <c r="F38" s="470"/>
      <c r="G38" s="454"/>
      <c r="H38" s="454"/>
      <c r="I38" s="454"/>
      <c r="J38" s="454"/>
      <c r="K38" s="454"/>
      <c r="L38" s="454"/>
      <c r="M38" s="473"/>
      <c r="N38" s="474"/>
      <c r="O38" s="474"/>
      <c r="P38" s="474"/>
      <c r="Q38" s="474"/>
      <c r="R38" s="474"/>
      <c r="S38" s="454"/>
      <c r="T38" s="454"/>
      <c r="U38" s="454"/>
      <c r="V38" s="454"/>
    </row>
    <row r="39" spans="1:25" x14ac:dyDescent="0.3">
      <c r="A39" s="454"/>
      <c r="B39" s="454"/>
      <c r="C39" s="470"/>
      <c r="D39" s="470"/>
      <c r="E39" s="470"/>
      <c r="F39" s="470"/>
      <c r="G39" s="470"/>
      <c r="H39" s="470"/>
      <c r="I39" s="470"/>
      <c r="J39" s="470"/>
      <c r="K39" s="470"/>
      <c r="L39" s="470"/>
      <c r="M39" s="470"/>
      <c r="N39" s="454"/>
      <c r="O39" s="454"/>
      <c r="P39" s="454"/>
      <c r="Q39" s="454"/>
      <c r="R39" s="454"/>
      <c r="S39" s="454"/>
      <c r="T39" s="454"/>
      <c r="U39" s="454"/>
      <c r="V39" s="454"/>
    </row>
    <row r="40" spans="1:25" x14ac:dyDescent="0.3">
      <c r="A40" s="454"/>
      <c r="B40" s="454"/>
      <c r="C40" s="454"/>
      <c r="D40" s="470"/>
      <c r="E40" s="470"/>
      <c r="F40" s="460"/>
      <c r="H40" s="475"/>
      <c r="I40" s="475"/>
      <c r="J40" s="475"/>
      <c r="K40" s="454"/>
      <c r="L40" s="476" t="s">
        <v>594</v>
      </c>
      <c r="N40" s="454"/>
      <c r="O40" s="454"/>
      <c r="P40" s="454"/>
      <c r="Q40" s="454"/>
      <c r="R40" s="454"/>
      <c r="S40" s="454"/>
      <c r="T40" s="454"/>
      <c r="U40" s="454"/>
      <c r="V40" s="454"/>
    </row>
    <row r="41" spans="1:25" x14ac:dyDescent="0.3">
      <c r="A41" s="454"/>
      <c r="B41" s="454"/>
      <c r="D41" s="470"/>
      <c r="E41" s="470"/>
      <c r="F41" s="477"/>
      <c r="G41" s="477"/>
      <c r="H41" s="477"/>
      <c r="I41" s="477"/>
      <c r="J41" s="477"/>
      <c r="K41" s="477"/>
      <c r="L41" s="478" t="s">
        <v>624</v>
      </c>
      <c r="N41" s="454"/>
      <c r="O41" s="454"/>
      <c r="P41" s="454"/>
      <c r="Q41" s="454"/>
      <c r="R41" s="454"/>
      <c r="S41" s="454"/>
      <c r="T41" s="454"/>
      <c r="U41" s="454"/>
      <c r="V41" s="454"/>
    </row>
    <row r="42" spans="1:25" x14ac:dyDescent="0.3">
      <c r="A42" s="454"/>
      <c r="B42" s="454"/>
      <c r="C42" s="470"/>
      <c r="D42" s="470"/>
      <c r="E42" s="470"/>
      <c r="F42" s="477"/>
      <c r="G42" s="477"/>
      <c r="H42" s="477"/>
      <c r="I42" s="477"/>
      <c r="J42" s="477"/>
      <c r="K42" s="477"/>
      <c r="L42" s="465" t="s">
        <v>625</v>
      </c>
      <c r="N42" s="454"/>
      <c r="O42" s="454"/>
      <c r="P42" s="454"/>
      <c r="Q42" s="454"/>
      <c r="R42" s="454"/>
      <c r="S42" s="454"/>
      <c r="T42" s="454"/>
      <c r="U42" s="454"/>
      <c r="V42" s="454"/>
    </row>
    <row r="43" spans="1:25" x14ac:dyDescent="0.3">
      <c r="A43" s="454"/>
      <c r="B43" s="454"/>
      <c r="C43" s="470"/>
      <c r="D43" s="470"/>
      <c r="E43" s="470"/>
      <c r="F43" s="477"/>
      <c r="G43" s="477"/>
      <c r="H43" s="477"/>
      <c r="I43" s="477"/>
      <c r="J43" s="477"/>
      <c r="K43" s="477"/>
      <c r="L43" s="477"/>
      <c r="M43" s="477"/>
      <c r="N43" s="454"/>
      <c r="O43" s="454"/>
      <c r="P43" s="454"/>
      <c r="Q43" s="454"/>
      <c r="R43" s="454"/>
      <c r="S43" s="454"/>
      <c r="T43" s="454"/>
      <c r="U43" s="454"/>
      <c r="V43" s="454"/>
    </row>
    <row r="44" spans="1:25" x14ac:dyDescent="0.3">
      <c r="A44" s="454"/>
      <c r="B44" s="454"/>
      <c r="C44" s="470"/>
      <c r="D44" s="470"/>
      <c r="E44" s="470"/>
      <c r="F44" s="454"/>
      <c r="G44" s="454"/>
      <c r="H44" s="479"/>
      <c r="I44" s="479"/>
      <c r="J44" s="479"/>
      <c r="K44" s="479"/>
      <c r="L44" s="468"/>
      <c r="M44" s="468"/>
      <c r="N44" s="454"/>
      <c r="O44" s="454"/>
      <c r="P44" s="454"/>
      <c r="Q44" s="454"/>
      <c r="R44" s="454"/>
      <c r="S44" s="454"/>
      <c r="T44" s="454"/>
      <c r="U44" s="454"/>
      <c r="V44" s="454"/>
    </row>
    <row r="45" spans="1:25" x14ac:dyDescent="0.3">
      <c r="A45" s="454"/>
      <c r="B45" s="454"/>
      <c r="C45" s="470"/>
      <c r="D45" s="470"/>
      <c r="E45" s="470"/>
      <c r="F45" s="454"/>
      <c r="G45" s="454"/>
      <c r="H45" s="471"/>
      <c r="I45" s="471"/>
      <c r="J45" s="471"/>
      <c r="K45" s="471"/>
      <c r="L45" s="454"/>
      <c r="M45" s="470"/>
      <c r="N45" s="454"/>
      <c r="O45" s="454"/>
      <c r="P45" s="454"/>
      <c r="Q45" s="454"/>
      <c r="R45" s="454"/>
      <c r="S45" s="454"/>
      <c r="T45" s="454"/>
      <c r="U45" s="454"/>
      <c r="V45" s="454"/>
    </row>
    <row r="46" spans="1:25" x14ac:dyDescent="0.3">
      <c r="A46" s="454"/>
      <c r="B46" s="454"/>
      <c r="C46" s="470"/>
      <c r="D46" s="470"/>
      <c r="E46" s="470"/>
      <c r="F46" s="454"/>
      <c r="G46" s="454"/>
      <c r="H46" s="471"/>
      <c r="I46" s="471"/>
      <c r="J46" s="471"/>
      <c r="K46" s="471"/>
      <c r="L46" s="454"/>
      <c r="M46" s="470"/>
      <c r="N46" s="454"/>
      <c r="O46" s="471"/>
      <c r="P46" s="454"/>
      <c r="Q46" s="454"/>
      <c r="R46" s="454"/>
      <c r="S46" s="454"/>
      <c r="T46" s="454"/>
      <c r="U46" s="454"/>
      <c r="V46" s="454"/>
    </row>
    <row r="47" spans="1:25" x14ac:dyDescent="0.3">
      <c r="A47" s="454"/>
      <c r="B47" s="454"/>
      <c r="C47" s="470"/>
      <c r="D47" s="470"/>
      <c r="E47" s="470"/>
      <c r="F47" s="454"/>
      <c r="G47" s="454"/>
      <c r="H47" s="471"/>
      <c r="I47" s="471"/>
      <c r="J47" s="471"/>
      <c r="K47" s="471"/>
      <c r="L47" s="454"/>
      <c r="M47" s="470"/>
      <c r="N47" s="454"/>
      <c r="O47" s="471"/>
      <c r="P47" s="454"/>
      <c r="Q47" s="454"/>
      <c r="R47" s="454"/>
      <c r="S47" s="454"/>
      <c r="T47" s="454"/>
      <c r="U47" s="454"/>
      <c r="V47" s="454"/>
    </row>
    <row r="48" spans="1:25" x14ac:dyDescent="0.3">
      <c r="A48" s="454"/>
      <c r="B48" s="454"/>
      <c r="C48" s="470"/>
      <c r="D48" s="470"/>
      <c r="E48" s="470"/>
      <c r="F48" s="454"/>
      <c r="G48" s="454"/>
      <c r="H48" s="471"/>
      <c r="I48" s="471"/>
      <c r="J48" s="471"/>
      <c r="K48" s="471"/>
      <c r="L48" s="454"/>
      <c r="M48" s="470"/>
      <c r="N48" s="454"/>
      <c r="O48" s="471"/>
      <c r="P48" s="454"/>
      <c r="Q48" s="454"/>
      <c r="R48" s="454"/>
      <c r="S48" s="454"/>
      <c r="T48" s="454"/>
      <c r="U48" s="454"/>
      <c r="V48" s="454"/>
    </row>
    <row r="49" spans="1:22" x14ac:dyDescent="0.3">
      <c r="A49" s="454"/>
      <c r="B49" s="454"/>
      <c r="C49" s="470"/>
      <c r="D49" s="470"/>
      <c r="E49" s="470"/>
      <c r="F49" s="454"/>
      <c r="G49" s="454"/>
      <c r="H49" s="471"/>
      <c r="I49" s="471"/>
      <c r="J49" s="471"/>
      <c r="K49" s="471"/>
      <c r="L49" s="454"/>
      <c r="M49" s="470"/>
      <c r="N49" s="454"/>
      <c r="O49" s="471"/>
      <c r="P49" s="454"/>
      <c r="Q49" s="454"/>
      <c r="R49" s="454"/>
      <c r="S49" s="454"/>
      <c r="T49" s="454"/>
      <c r="U49" s="454"/>
      <c r="V49" s="454"/>
    </row>
    <row r="50" spans="1:22" ht="93.75" customHeight="1" x14ac:dyDescent="0.3">
      <c r="A50" s="454"/>
      <c r="B50" s="454"/>
      <c r="C50" s="470"/>
      <c r="D50" s="470"/>
      <c r="E50" s="470"/>
      <c r="F50" s="454"/>
      <c r="G50" s="454"/>
      <c r="H50" s="471"/>
      <c r="I50" s="471"/>
      <c r="J50" s="471"/>
      <c r="K50" s="471"/>
      <c r="L50" s="471"/>
      <c r="M50" s="470"/>
      <c r="N50" s="454"/>
      <c r="O50" s="454"/>
      <c r="P50" s="454"/>
      <c r="Q50" s="454"/>
      <c r="R50" s="454"/>
      <c r="S50" s="454"/>
      <c r="T50" s="454"/>
      <c r="U50" s="454"/>
      <c r="V50" s="454"/>
    </row>
    <row r="51" spans="1:22" x14ac:dyDescent="0.3">
      <c r="A51" s="454"/>
      <c r="B51" s="454"/>
      <c r="C51" s="454"/>
      <c r="D51" s="454"/>
      <c r="E51" s="454"/>
      <c r="F51" s="454"/>
      <c r="G51" s="454"/>
      <c r="H51" s="454"/>
      <c r="I51" s="454"/>
      <c r="J51" s="454"/>
      <c r="K51" s="454"/>
      <c r="M51" s="710" t="s">
        <v>595</v>
      </c>
      <c r="N51" s="710"/>
      <c r="O51" s="710"/>
      <c r="P51" s="710"/>
      <c r="Q51" s="454" t="str">
        <f>CONCATENATE($N$4,$O$4)</f>
        <v>0092-6.1/KALIBRASI BBLM/XI/2025</v>
      </c>
      <c r="R51" s="454"/>
      <c r="S51" s="454"/>
      <c r="T51" s="454"/>
      <c r="U51" s="454"/>
      <c r="V51" s="454"/>
    </row>
    <row r="52" spans="1:22" x14ac:dyDescent="0.3">
      <c r="A52" s="454"/>
      <c r="B52" s="454"/>
      <c r="C52" s="454"/>
      <c r="D52" s="454"/>
      <c r="E52" s="454"/>
      <c r="F52" s="454"/>
      <c r="G52" s="454"/>
      <c r="H52" s="454"/>
      <c r="I52" s="454"/>
      <c r="J52" s="454"/>
      <c r="K52" s="454"/>
      <c r="M52" s="711" t="s">
        <v>0</v>
      </c>
      <c r="N52" s="711"/>
      <c r="O52" s="711"/>
      <c r="P52" s="711"/>
      <c r="Q52" s="510" t="str">
        <f>Data!C$15</f>
        <v>K560</v>
      </c>
      <c r="R52" s="454"/>
      <c r="S52" s="454"/>
      <c r="T52" s="454"/>
      <c r="U52" s="454"/>
      <c r="V52" s="454"/>
    </row>
    <row r="53" spans="1:22" x14ac:dyDescent="0.3">
      <c r="A53" s="454"/>
      <c r="B53" s="454"/>
      <c r="C53" s="454"/>
      <c r="D53" s="454"/>
      <c r="E53" s="454"/>
      <c r="F53" s="454"/>
      <c r="G53" s="454"/>
      <c r="H53" s="454"/>
      <c r="I53" s="454"/>
      <c r="J53" s="454"/>
      <c r="K53" s="454"/>
      <c r="M53" s="711" t="s">
        <v>596</v>
      </c>
      <c r="N53" s="711"/>
      <c r="O53" s="711"/>
      <c r="P53" s="711"/>
      <c r="Q53" s="480" t="str">
        <f>CONCATENATE(INT(ROW()/49)+1, " dari ",T$33)</f>
        <v>2 dari 4</v>
      </c>
      <c r="R53" s="454"/>
      <c r="S53" s="454"/>
      <c r="T53" s="454"/>
      <c r="U53" s="454"/>
      <c r="V53" s="454"/>
    </row>
    <row r="54" spans="1:22" x14ac:dyDescent="0.3">
      <c r="A54" s="454"/>
      <c r="B54" s="454"/>
      <c r="C54" s="454"/>
      <c r="D54" s="454"/>
      <c r="E54" s="454"/>
      <c r="F54" s="454"/>
      <c r="G54" s="454"/>
      <c r="H54" s="454"/>
      <c r="I54" s="454"/>
      <c r="J54" s="454"/>
      <c r="K54" s="454"/>
      <c r="L54" s="454"/>
      <c r="R54" s="454"/>
      <c r="S54" s="454"/>
      <c r="T54" s="454"/>
      <c r="U54" s="454"/>
      <c r="V54" s="454"/>
    </row>
    <row r="55" spans="1:22" x14ac:dyDescent="0.3">
      <c r="A55" s="454"/>
      <c r="B55" s="454"/>
      <c r="C55" s="454"/>
      <c r="D55" s="454"/>
      <c r="E55" s="454"/>
      <c r="F55" s="454"/>
      <c r="G55" s="454"/>
      <c r="H55" s="454"/>
      <c r="I55" s="454"/>
      <c r="J55" s="454"/>
      <c r="K55" s="454"/>
      <c r="L55" s="454"/>
      <c r="M55" s="454"/>
      <c r="N55" s="454"/>
      <c r="O55" s="454"/>
      <c r="P55" s="454"/>
      <c r="R55" s="454"/>
      <c r="S55" s="454"/>
      <c r="T55" s="454"/>
      <c r="U55" s="454"/>
      <c r="V55" s="454"/>
    </row>
    <row r="56" spans="1:22" x14ac:dyDescent="0.3">
      <c r="A56" s="454"/>
      <c r="B56" s="712" t="s">
        <v>597</v>
      </c>
      <c r="C56" s="712"/>
      <c r="D56" s="712"/>
      <c r="E56" s="712"/>
      <c r="F56" s="712"/>
      <c r="G56" s="712"/>
      <c r="H56" s="477"/>
      <c r="I56" s="454"/>
      <c r="J56" s="454"/>
      <c r="K56" s="454"/>
      <c r="L56" s="454"/>
      <c r="M56" s="454"/>
      <c r="N56" s="454"/>
      <c r="O56" s="454"/>
      <c r="P56" s="454"/>
      <c r="R56" s="454"/>
      <c r="S56" s="454"/>
      <c r="T56" s="454"/>
      <c r="U56" s="454"/>
      <c r="V56" s="454"/>
    </row>
    <row r="57" spans="1:22" x14ac:dyDescent="0.3">
      <c r="A57" s="454"/>
      <c r="B57" s="711" t="s">
        <v>598</v>
      </c>
      <c r="C57" s="711"/>
      <c r="D57" s="711"/>
      <c r="E57" s="711"/>
      <c r="F57" s="711"/>
      <c r="G57" s="711"/>
      <c r="H57" s="711"/>
      <c r="I57" s="711"/>
      <c r="J57" s="472" t="str">
        <f>PROPER(RIGHT(Data!F2,11))</f>
        <v>Multi Meter</v>
      </c>
      <c r="K57" s="472"/>
      <c r="L57" s="472"/>
      <c r="M57" s="454"/>
      <c r="N57" s="472"/>
      <c r="O57" s="472"/>
      <c r="P57" s="454"/>
      <c r="Q57" s="454"/>
      <c r="R57" s="454"/>
      <c r="S57" s="454"/>
      <c r="T57" s="454"/>
      <c r="U57" s="454"/>
      <c r="V57" s="454"/>
    </row>
    <row r="58" spans="1:22" x14ac:dyDescent="0.3">
      <c r="A58" s="454"/>
      <c r="B58" s="711" t="s">
        <v>616</v>
      </c>
      <c r="C58" s="711"/>
      <c r="D58" s="711"/>
      <c r="E58" s="711"/>
      <c r="F58" s="711"/>
      <c r="G58" s="711"/>
      <c r="H58" s="711"/>
      <c r="I58" s="711"/>
      <c r="J58" s="472" t="str">
        <f>CONCATENATE(Data!D8," / ",Data!J8)</f>
        <v>FLUKE / 179</v>
      </c>
      <c r="K58" s="454"/>
      <c r="L58" s="472"/>
      <c r="M58" s="454"/>
      <c r="N58" s="459"/>
      <c r="O58" s="454"/>
      <c r="P58" s="454"/>
      <c r="Q58" s="454"/>
      <c r="R58" s="454"/>
      <c r="S58" s="454"/>
      <c r="T58" s="454"/>
      <c r="U58" s="454"/>
      <c r="V58" s="454"/>
    </row>
    <row r="59" spans="1:22" x14ac:dyDescent="0.3">
      <c r="A59" s="454"/>
      <c r="B59" s="711" t="s">
        <v>599</v>
      </c>
      <c r="C59" s="711"/>
      <c r="D59" s="711"/>
      <c r="E59" s="711"/>
      <c r="F59" s="711"/>
      <c r="G59" s="711"/>
      <c r="H59" s="711"/>
      <c r="I59" s="711"/>
      <c r="J59" s="472" t="str">
        <f>CONCATENATE(Data!J10," / ",Data!D10)</f>
        <v>- / 66340242</v>
      </c>
      <c r="K59" s="454"/>
      <c r="L59" s="470"/>
      <c r="M59" s="454"/>
      <c r="N59" s="454"/>
      <c r="O59" s="454"/>
      <c r="P59" s="454"/>
      <c r="Q59" s="454"/>
      <c r="R59" s="454"/>
      <c r="S59" s="454"/>
    </row>
    <row r="60" spans="1:22" x14ac:dyDescent="0.3">
      <c r="A60" s="454"/>
      <c r="B60" s="711" t="s">
        <v>600</v>
      </c>
      <c r="C60" s="711"/>
      <c r="D60" s="711"/>
      <c r="E60" s="711"/>
      <c r="F60" s="711"/>
      <c r="G60" s="711"/>
      <c r="H60" s="711"/>
      <c r="I60" s="711"/>
      <c r="J60" s="472" t="str">
        <f>Data!D9</f>
        <v>-</v>
      </c>
      <c r="K60" s="454"/>
      <c r="L60" s="472"/>
      <c r="M60" s="454"/>
      <c r="N60" s="454"/>
      <c r="O60" s="454"/>
      <c r="P60" s="454"/>
      <c r="Q60" s="454"/>
      <c r="R60" s="454"/>
      <c r="S60" s="454"/>
    </row>
    <row r="61" spans="1:22" x14ac:dyDescent="0.3">
      <c r="A61" s="454"/>
      <c r="B61" s="711" t="s">
        <v>580</v>
      </c>
      <c r="C61" s="711"/>
      <c r="D61" s="711"/>
      <c r="E61" s="711"/>
      <c r="F61" s="711"/>
      <c r="G61" s="711"/>
      <c r="H61" s="711"/>
      <c r="I61" s="711"/>
      <c r="J61" s="472" t="s">
        <v>562</v>
      </c>
      <c r="K61" s="472"/>
      <c r="L61" s="472"/>
      <c r="M61" s="454"/>
      <c r="N61" s="454"/>
      <c r="O61" s="454"/>
      <c r="P61" s="454"/>
      <c r="Q61" s="454"/>
      <c r="R61" s="454"/>
      <c r="S61" s="454"/>
      <c r="T61" s="454"/>
      <c r="U61" s="454"/>
      <c r="V61" s="454"/>
    </row>
    <row r="62" spans="1:22" x14ac:dyDescent="0.3">
      <c r="A62" s="454"/>
      <c r="B62" s="711" t="s">
        <v>601</v>
      </c>
      <c r="C62" s="711"/>
      <c r="D62" s="711"/>
      <c r="E62" s="711"/>
      <c r="F62" s="711"/>
      <c r="G62" s="711"/>
      <c r="H62" s="711"/>
      <c r="I62" s="711"/>
      <c r="J62" s="472" t="str">
        <f>Data!D11</f>
        <v>IK-K-KL-01</v>
      </c>
      <c r="K62" s="454"/>
      <c r="L62" s="472"/>
      <c r="M62" s="454"/>
      <c r="N62" s="454"/>
      <c r="O62" s="454"/>
      <c r="P62" s="454"/>
      <c r="Q62" s="454"/>
      <c r="R62" s="454"/>
      <c r="S62" s="454"/>
      <c r="T62" s="454"/>
      <c r="U62" s="454"/>
      <c r="V62" s="454"/>
    </row>
    <row r="63" spans="1:22" x14ac:dyDescent="0.3">
      <c r="A63" s="454"/>
      <c r="B63" s="711" t="s">
        <v>602</v>
      </c>
      <c r="C63" s="711"/>
      <c r="D63" s="711"/>
      <c r="E63" s="711"/>
      <c r="F63" s="711"/>
      <c r="G63" s="711"/>
      <c r="H63" s="711"/>
      <c r="I63" s="711"/>
      <c r="J63" s="714">
        <f>Data!C16</f>
        <v>45937</v>
      </c>
      <c r="K63" s="714"/>
      <c r="L63" s="714"/>
      <c r="M63" s="714"/>
      <c r="N63" s="714"/>
      <c r="O63" s="714"/>
      <c r="P63" s="454"/>
      <c r="Q63" s="472" t="s">
        <v>603</v>
      </c>
      <c r="R63" s="454"/>
      <c r="S63" s="454"/>
      <c r="T63" s="454"/>
      <c r="U63" s="454"/>
      <c r="V63" s="454"/>
    </row>
    <row r="64" spans="1:22" x14ac:dyDescent="0.3">
      <c r="A64" s="454"/>
      <c r="B64" s="711" t="s">
        <v>604</v>
      </c>
      <c r="C64" s="711"/>
      <c r="D64" s="711"/>
      <c r="E64" s="711"/>
      <c r="F64" s="711"/>
      <c r="G64" s="711"/>
      <c r="H64" s="711"/>
      <c r="I64" s="711"/>
      <c r="J64" s="715">
        <f>Data!C17</f>
        <v>45952</v>
      </c>
      <c r="K64" s="715"/>
      <c r="L64" s="715"/>
      <c r="M64" s="715"/>
      <c r="N64" s="715"/>
      <c r="O64" s="715"/>
      <c r="Q64" s="711" t="s">
        <v>605</v>
      </c>
      <c r="R64" s="711"/>
      <c r="S64" s="711"/>
      <c r="T64" s="711"/>
      <c r="U64" s="711"/>
      <c r="V64" s="472" t="str">
        <f>CONCATENATE("(",ROUND(Data!F14,1)," ± ",ROUND(Data!G14,1),") °C")</f>
        <v>(22,9 ± 0,5) °C</v>
      </c>
    </row>
    <row r="65" spans="1:26" x14ac:dyDescent="0.3">
      <c r="A65" s="454"/>
      <c r="B65" s="454"/>
      <c r="C65" s="481"/>
      <c r="D65" s="481"/>
      <c r="E65" s="481"/>
      <c r="F65" s="472"/>
      <c r="G65" s="472"/>
      <c r="H65" s="511"/>
      <c r="I65" s="511"/>
      <c r="J65" s="715"/>
      <c r="K65" s="715"/>
      <c r="L65" s="715"/>
      <c r="M65" s="715"/>
      <c r="N65" s="715"/>
      <c r="O65" s="715"/>
      <c r="Q65" s="711" t="s">
        <v>606</v>
      </c>
      <c r="R65" s="711"/>
      <c r="S65" s="711"/>
      <c r="T65" s="711"/>
      <c r="U65" s="711"/>
      <c r="V65" s="472" t="str">
        <f>CONCATENATE("(",ROUND(Data!L14,1)," ± ",ROUND(Data!M14,1),") %RH")</f>
        <v>(63,3 ± 1,4) %RH</v>
      </c>
    </row>
    <row r="66" spans="1:26" x14ac:dyDescent="0.3">
      <c r="A66" s="454"/>
      <c r="B66" s="454"/>
      <c r="C66" s="481"/>
      <c r="D66" s="481"/>
      <c r="E66" s="481"/>
      <c r="F66" s="472"/>
      <c r="G66" s="472"/>
      <c r="H66" s="511"/>
      <c r="I66" s="511"/>
      <c r="J66" s="512"/>
      <c r="K66" s="512"/>
      <c r="L66" s="512"/>
      <c r="M66" s="512"/>
      <c r="N66" s="512"/>
      <c r="O66" s="512"/>
      <c r="Q66" s="508"/>
      <c r="R66" s="508"/>
      <c r="S66" s="508"/>
      <c r="T66" s="508"/>
      <c r="U66" s="508"/>
      <c r="V66" s="472"/>
    </row>
    <row r="67" spans="1:26" x14ac:dyDescent="0.3">
      <c r="A67" s="454"/>
      <c r="B67" s="454"/>
      <c r="C67" s="470"/>
      <c r="D67" s="470"/>
      <c r="E67" s="470"/>
      <c r="F67" s="472"/>
      <c r="G67" s="472"/>
      <c r="H67" s="472"/>
      <c r="I67" s="472"/>
      <c r="O67" s="454"/>
      <c r="P67" s="454"/>
      <c r="Q67" s="454"/>
      <c r="R67" s="454"/>
      <c r="S67" s="454"/>
      <c r="T67" s="454"/>
      <c r="U67" s="454"/>
      <c r="V67" s="454"/>
    </row>
    <row r="68" spans="1:26" x14ac:dyDescent="0.3">
      <c r="A68" s="454"/>
      <c r="B68" s="716" t="s">
        <v>607</v>
      </c>
      <c r="C68" s="716"/>
      <c r="D68" s="716"/>
      <c r="E68" s="716"/>
      <c r="F68" s="716"/>
      <c r="G68" s="716"/>
      <c r="H68" s="716"/>
      <c r="I68" s="716"/>
      <c r="J68" s="716"/>
      <c r="K68" s="716"/>
      <c r="L68" s="716"/>
      <c r="M68" s="716"/>
      <c r="N68" s="716"/>
      <c r="O68" s="716"/>
      <c r="P68" s="716"/>
      <c r="Q68" s="716"/>
      <c r="R68" s="716"/>
      <c r="S68" s="716"/>
      <c r="T68" s="716"/>
      <c r="U68" s="716"/>
      <c r="V68" s="716"/>
      <c r="W68" s="716"/>
      <c r="X68" s="716"/>
      <c r="Y68" s="716"/>
      <c r="Z68" s="716"/>
    </row>
    <row r="69" spans="1:26" x14ac:dyDescent="0.3">
      <c r="A69" s="454"/>
      <c r="B69" s="588"/>
      <c r="C69" s="588"/>
      <c r="D69" s="588"/>
      <c r="E69" s="588"/>
      <c r="F69" s="588"/>
      <c r="G69" s="588"/>
      <c r="H69" s="588"/>
      <c r="I69" s="588"/>
      <c r="J69" s="588"/>
      <c r="K69" s="588"/>
      <c r="L69" s="588"/>
      <c r="M69" s="588"/>
      <c r="N69" s="588"/>
      <c r="O69" s="588"/>
      <c r="P69" s="588"/>
      <c r="Q69" s="588"/>
      <c r="R69" s="588"/>
      <c r="S69" s="588"/>
      <c r="T69" s="588"/>
      <c r="U69" s="588"/>
      <c r="V69" s="588"/>
      <c r="W69" s="588"/>
      <c r="X69" s="588"/>
      <c r="Y69" s="588"/>
      <c r="Z69" s="588"/>
    </row>
    <row r="70" spans="1:26" x14ac:dyDescent="0.3">
      <c r="A70" s="454"/>
      <c r="B70" s="454"/>
      <c r="C70" s="454"/>
      <c r="D70" s="454"/>
      <c r="E70" s="454"/>
      <c r="F70" s="454"/>
      <c r="G70" s="454"/>
      <c r="H70" s="454"/>
      <c r="I70" s="454"/>
      <c r="J70" s="454"/>
      <c r="K70" s="454"/>
      <c r="L70" s="454"/>
      <c r="M70" s="454"/>
      <c r="N70" s="454"/>
      <c r="O70" s="454"/>
      <c r="P70" s="454"/>
      <c r="Q70" s="454"/>
      <c r="R70" s="454"/>
      <c r="S70" s="454"/>
      <c r="T70" s="454"/>
      <c r="U70" s="454"/>
    </row>
    <row r="71" spans="1:26" x14ac:dyDescent="0.3">
      <c r="A71" s="454"/>
      <c r="B71" s="454"/>
      <c r="C71" s="454"/>
      <c r="D71" s="454"/>
      <c r="E71" s="717" t="s">
        <v>608</v>
      </c>
      <c r="F71" s="718"/>
      <c r="G71" s="718"/>
      <c r="H71" s="718"/>
      <c r="I71" s="718"/>
      <c r="J71" s="718"/>
      <c r="K71" s="718"/>
      <c r="L71" s="718"/>
      <c r="M71" s="718"/>
      <c r="N71" s="718"/>
      <c r="O71" s="718"/>
      <c r="P71" s="718"/>
      <c r="Q71" s="718"/>
      <c r="R71" s="718"/>
      <c r="S71" s="718"/>
      <c r="T71" s="718"/>
      <c r="U71" s="718"/>
      <c r="V71" s="718"/>
      <c r="W71" s="718"/>
      <c r="X71" s="719"/>
    </row>
    <row r="72" spans="1:26" x14ac:dyDescent="0.3">
      <c r="A72" s="454"/>
      <c r="B72" s="454"/>
      <c r="C72" s="454"/>
      <c r="D72" s="482"/>
      <c r="E72" s="720"/>
      <c r="F72" s="721"/>
      <c r="G72" s="721"/>
      <c r="H72" s="721"/>
      <c r="I72" s="721"/>
      <c r="J72" s="721"/>
      <c r="K72" s="721"/>
      <c r="L72" s="721"/>
      <c r="M72" s="721"/>
      <c r="N72" s="721"/>
      <c r="O72" s="721"/>
      <c r="P72" s="721"/>
      <c r="Q72" s="721"/>
      <c r="R72" s="721"/>
      <c r="S72" s="721"/>
      <c r="T72" s="721"/>
      <c r="U72" s="721"/>
      <c r="V72" s="721"/>
      <c r="W72" s="721"/>
      <c r="X72" s="722"/>
    </row>
    <row r="73" spans="1:26" ht="15" customHeight="1" x14ac:dyDescent="0.3">
      <c r="A73" s="454"/>
      <c r="B73" s="454"/>
      <c r="C73" s="454"/>
      <c r="D73" s="454"/>
      <c r="E73" s="735" t="s">
        <v>609</v>
      </c>
      <c r="F73" s="735"/>
      <c r="G73" s="735"/>
      <c r="H73" s="735"/>
      <c r="I73" s="735"/>
      <c r="J73" s="743" t="s">
        <v>3</v>
      </c>
      <c r="K73" s="743"/>
      <c r="L73" s="743"/>
      <c r="M73" s="743"/>
      <c r="N73" s="743"/>
      <c r="O73" s="743" t="s">
        <v>4</v>
      </c>
      <c r="P73" s="743"/>
      <c r="Q73" s="743"/>
      <c r="R73" s="743"/>
      <c r="S73" s="743"/>
      <c r="T73" s="737" t="s">
        <v>610</v>
      </c>
      <c r="U73" s="738"/>
      <c r="V73" s="738"/>
      <c r="W73" s="738"/>
      <c r="X73" s="739"/>
    </row>
    <row r="74" spans="1:26" x14ac:dyDescent="0.3">
      <c r="A74" s="454"/>
      <c r="B74" s="454"/>
      <c r="C74" s="454"/>
      <c r="D74" s="454"/>
      <c r="E74" s="736"/>
      <c r="F74" s="736"/>
      <c r="G74" s="736"/>
      <c r="H74" s="736"/>
      <c r="I74" s="736"/>
      <c r="J74" s="744"/>
      <c r="K74" s="744"/>
      <c r="L74" s="744"/>
      <c r="M74" s="744"/>
      <c r="N74" s="744"/>
      <c r="O74" s="744"/>
      <c r="P74" s="744"/>
      <c r="Q74" s="744"/>
      <c r="R74" s="744"/>
      <c r="S74" s="744"/>
      <c r="T74" s="740"/>
      <c r="U74" s="741"/>
      <c r="V74" s="741"/>
      <c r="W74" s="741"/>
      <c r="X74" s="742"/>
    </row>
    <row r="75" spans="1:26" x14ac:dyDescent="0.3">
      <c r="A75" s="454"/>
      <c r="B75" s="454"/>
      <c r="C75" s="454"/>
      <c r="D75" s="454"/>
      <c r="E75" s="486"/>
      <c r="F75" s="454"/>
      <c r="G75" s="454"/>
      <c r="H75" s="454"/>
      <c r="I75" s="337"/>
      <c r="J75" s="747" t="str">
        <f>"* "&amp;'Kor&amp;U95% VAC'!H2</f>
        <v>* 60,3</v>
      </c>
      <c r="K75" s="748"/>
      <c r="L75" s="748"/>
      <c r="M75" s="484" t="str">
        <f>'Kor&amp;U95% VAC'!I2</f>
        <v>mV</v>
      </c>
      <c r="N75" s="485"/>
      <c r="O75" s="733">
        <f>'Kor&amp;U95% VAC'!J2</f>
        <v>-0.31153335447385899</v>
      </c>
      <c r="P75" s="734"/>
      <c r="Q75" s="734"/>
      <c r="R75" s="484" t="str">
        <f>M75</f>
        <v>mV</v>
      </c>
      <c r="S75" s="485"/>
      <c r="T75" s="693">
        <f>IF('Kor&amp;U95% VAC'!K2&gt;'Kor&amp;U95% VAC'!M2,'Kor&amp;U95% VAC'!K2,'Kor&amp;U95% VAC'!M2)</f>
        <v>7.1999999999999995E-2</v>
      </c>
      <c r="U75" s="694"/>
      <c r="V75" s="694"/>
      <c r="W75" s="484" t="str">
        <f>R75</f>
        <v>mV</v>
      </c>
      <c r="X75" s="485"/>
    </row>
    <row r="76" spans="1:26" x14ac:dyDescent="0.3">
      <c r="A76" s="454"/>
      <c r="B76" s="454"/>
      <c r="C76" s="454"/>
      <c r="D76" s="454"/>
      <c r="E76" s="486"/>
      <c r="F76" s="713" t="str">
        <f>CONCATENATE('Kor&amp;U95% VAC'!C2," ",'Kor&amp;U95% VAC'!D2)</f>
        <v>50 Hz</v>
      </c>
      <c r="G76" s="713"/>
      <c r="H76" s="713"/>
      <c r="I76" s="337"/>
      <c r="J76" s="725">
        <f>'Kor&amp;U95% VAC'!H3</f>
        <v>300.10000000000002</v>
      </c>
      <c r="K76" s="726"/>
      <c r="L76" s="726"/>
      <c r="M76" s="454" t="str">
        <f>'Kor&amp;U95% VAC'!I3</f>
        <v>mV</v>
      </c>
      <c r="N76" s="487"/>
      <c r="O76" s="725">
        <f>'Kor&amp;U95% VAC'!J3</f>
        <v>-9.7787120592897736E-2</v>
      </c>
      <c r="P76" s="726"/>
      <c r="Q76" s="726"/>
      <c r="R76" s="454" t="str">
        <f t="shared" ref="R76:R89" si="0">M76</f>
        <v>mV</v>
      </c>
      <c r="S76" s="487"/>
      <c r="T76" s="697">
        <f>IF('Kor&amp;U95% VAC'!K3&gt;'Kor&amp;U95% VAC'!M3,'Kor&amp;U95% VAC'!K3,'Kor&amp;U95% VAC'!M3)</f>
        <v>0.36</v>
      </c>
      <c r="U76" s="698"/>
      <c r="V76" s="698"/>
      <c r="W76" s="454" t="str">
        <f t="shared" ref="W76:W89" si="1">R76</f>
        <v>mV</v>
      </c>
      <c r="X76" s="487"/>
    </row>
    <row r="77" spans="1:26" x14ac:dyDescent="0.3">
      <c r="A77" s="454"/>
      <c r="B77" s="454"/>
      <c r="C77" s="454"/>
      <c r="D77" s="454"/>
      <c r="E77" s="489"/>
      <c r="F77" s="490"/>
      <c r="G77" s="490"/>
      <c r="H77" s="490"/>
      <c r="I77" s="518"/>
      <c r="J77" s="745">
        <f>'Kor&amp;U95% VAC'!H4</f>
        <v>539.9</v>
      </c>
      <c r="K77" s="746"/>
      <c r="L77" s="746"/>
      <c r="M77" s="490" t="str">
        <f>'Kor&amp;U95% VAC'!I4</f>
        <v>mV</v>
      </c>
      <c r="N77" s="491"/>
      <c r="O77" s="745">
        <f>'Kor&amp;U95% VAC'!J4</f>
        <v>0.10000000000002274</v>
      </c>
      <c r="P77" s="746"/>
      <c r="Q77" s="746"/>
      <c r="R77" s="490" t="str">
        <f t="shared" si="0"/>
        <v>mV</v>
      </c>
      <c r="S77" s="491"/>
      <c r="T77" s="699">
        <f>IF('Kor&amp;U95% VAC'!K4&gt;'Kor&amp;U95% VAC'!M4,'Kor&amp;U95% VAC'!K4,'Kor&amp;U95% VAC'!M4)</f>
        <v>113.76669723150827</v>
      </c>
      <c r="U77" s="700"/>
      <c r="V77" s="700"/>
      <c r="W77" s="490" t="str">
        <f t="shared" si="1"/>
        <v>mV</v>
      </c>
      <c r="X77" s="491"/>
    </row>
    <row r="78" spans="1:26" x14ac:dyDescent="0.3">
      <c r="A78" s="454"/>
      <c r="B78" s="454"/>
      <c r="C78" s="454"/>
      <c r="D78" s="454"/>
      <c r="E78" s="483"/>
      <c r="F78" s="484"/>
      <c r="G78" s="484"/>
      <c r="H78" s="484"/>
      <c r="I78" s="517"/>
      <c r="J78" s="695">
        <f>'Kor&amp;U95% VAC'!H5</f>
        <v>0.60299999999999998</v>
      </c>
      <c r="K78" s="696"/>
      <c r="L78" s="696"/>
      <c r="M78" s="484" t="str">
        <f>'Kor&amp;U95% VAC'!I5</f>
        <v>V</v>
      </c>
      <c r="N78" s="485"/>
      <c r="O78" s="695">
        <f>'Kor&amp;U95% VAC'!J5</f>
        <v>2.8722388059702064E-3</v>
      </c>
      <c r="P78" s="696"/>
      <c r="Q78" s="696"/>
      <c r="R78" s="454" t="str">
        <f t="shared" si="0"/>
        <v>V</v>
      </c>
      <c r="S78" s="487"/>
      <c r="T78" s="727">
        <f>IF('Kor&amp;U95% VAC'!K5&gt;'Kor&amp;U95% VAC'!M5,'Kor&amp;U95% VAC'!K5,'Kor&amp;U95% VAC'!M5)</f>
        <v>4.7445185566299265E-2</v>
      </c>
      <c r="U78" s="728"/>
      <c r="V78" s="728"/>
      <c r="W78" s="484" t="str">
        <f t="shared" si="1"/>
        <v>V</v>
      </c>
      <c r="X78" s="485"/>
    </row>
    <row r="79" spans="1:26" x14ac:dyDescent="0.3">
      <c r="A79" s="454"/>
      <c r="B79" s="454"/>
      <c r="C79" s="454"/>
      <c r="D79" s="454"/>
      <c r="E79" s="486"/>
      <c r="F79" s="713" t="str">
        <f>CONCATENATE('Kor&amp;U95% VAC'!C5," ",'Kor&amp;U95% VAC'!D5)</f>
        <v>50 Hz</v>
      </c>
      <c r="G79" s="713"/>
      <c r="H79" s="713"/>
      <c r="I79" s="337"/>
      <c r="J79" s="731">
        <f>'Kor&amp;U95% VAC'!H6</f>
        <v>3.0030000000000001</v>
      </c>
      <c r="K79" s="732"/>
      <c r="L79" s="732"/>
      <c r="M79" s="454" t="str">
        <f>'Kor&amp;U95% VAC'!I6</f>
        <v>V</v>
      </c>
      <c r="N79" s="487"/>
      <c r="O79" s="731">
        <f>'Kor&amp;U95% VAC'!J6</f>
        <v>-2.2303261914267125E-3</v>
      </c>
      <c r="P79" s="732"/>
      <c r="Q79" s="732"/>
      <c r="R79" s="454" t="str">
        <f t="shared" si="0"/>
        <v>V</v>
      </c>
      <c r="S79" s="487"/>
      <c r="T79" s="729">
        <f>IF('Kor&amp;U95% VAC'!K6&gt;'Kor&amp;U95% VAC'!M6,'Kor&amp;U95% VAC'!K6,'Kor&amp;U95% VAC'!M6)</f>
        <v>1.7699999999999999E-3</v>
      </c>
      <c r="U79" s="730"/>
      <c r="V79" s="730"/>
      <c r="W79" s="454" t="str">
        <f t="shared" si="1"/>
        <v>V</v>
      </c>
      <c r="X79" s="487"/>
    </row>
    <row r="80" spans="1:26" x14ac:dyDescent="0.3">
      <c r="A80" s="454"/>
      <c r="B80" s="454"/>
      <c r="C80" s="454"/>
      <c r="D80" s="454"/>
      <c r="E80" s="489"/>
      <c r="F80" s="490"/>
      <c r="G80" s="490"/>
      <c r="H80" s="490"/>
      <c r="I80" s="518"/>
      <c r="J80" s="749">
        <f>'Kor&amp;U95% VAC'!H7</f>
        <v>5.3979999999999997</v>
      </c>
      <c r="K80" s="750"/>
      <c r="L80" s="750"/>
      <c r="M80" s="490" t="str">
        <f>'Kor&amp;U95% VAC'!I7</f>
        <v>V</v>
      </c>
      <c r="N80" s="491"/>
      <c r="O80" s="749">
        <f>'Kor&amp;U95% VAC'!J7</f>
        <v>6.3910447761283962E-4</v>
      </c>
      <c r="P80" s="750"/>
      <c r="Q80" s="750"/>
      <c r="R80" s="490" t="str">
        <f t="shared" si="0"/>
        <v>V</v>
      </c>
      <c r="S80" s="491"/>
      <c r="T80" s="758">
        <f>IF('Kor&amp;U95% VAC'!K7&gt;'Kor&amp;U95% VAC'!M7,'Kor&amp;U95% VAC'!K7,'Kor&amp;U95% VAC'!M7)</f>
        <v>4.104E-3</v>
      </c>
      <c r="U80" s="759"/>
      <c r="V80" s="759"/>
      <c r="W80" s="490" t="str">
        <f t="shared" si="1"/>
        <v>V</v>
      </c>
      <c r="X80" s="491"/>
    </row>
    <row r="81" spans="1:24" x14ac:dyDescent="0.3">
      <c r="A81" s="454"/>
      <c r="B81" s="454"/>
      <c r="C81" s="454"/>
      <c r="D81" s="454"/>
      <c r="E81" s="483"/>
      <c r="F81" s="484"/>
      <c r="G81" s="484"/>
      <c r="H81" s="484"/>
      <c r="I81" s="517"/>
      <c r="J81" s="693">
        <f>'Kor&amp;U95% VAC'!H8</f>
        <v>6.02</v>
      </c>
      <c r="K81" s="694"/>
      <c r="L81" s="694"/>
      <c r="M81" s="454" t="str">
        <f>'Kor&amp;U95% VAC'!I8</f>
        <v>V</v>
      </c>
      <c r="N81" s="487"/>
      <c r="O81" s="693">
        <f>'Kor&amp;U95% VAC'!J8</f>
        <v>-2.1326865671641215E-2</v>
      </c>
      <c r="P81" s="694"/>
      <c r="Q81" s="694"/>
      <c r="R81" s="454" t="str">
        <f t="shared" si="0"/>
        <v>V</v>
      </c>
      <c r="S81" s="487"/>
      <c r="T81" s="695">
        <f>IF('Kor&amp;U95% VAC'!K8&gt;'Kor&amp;U95% VAC'!M8,'Kor&amp;U95% VAC'!K8,'Kor&amp;U95% VAC'!M8)</f>
        <v>6.1061546122449083E-3</v>
      </c>
      <c r="U81" s="696"/>
      <c r="V81" s="696"/>
      <c r="W81" s="484" t="str">
        <f t="shared" si="1"/>
        <v>V</v>
      </c>
      <c r="X81" s="485"/>
    </row>
    <row r="82" spans="1:24" x14ac:dyDescent="0.3">
      <c r="A82" s="454"/>
      <c r="B82" s="454"/>
      <c r="C82" s="454"/>
      <c r="D82" s="454"/>
      <c r="E82" s="486"/>
      <c r="F82" s="713" t="str">
        <f>CONCATENATE('Kor&amp;U95% VAC'!C8," ",'Kor&amp;U95% VAC'!D8)</f>
        <v>50 Hz</v>
      </c>
      <c r="G82" s="713"/>
      <c r="H82" s="713"/>
      <c r="I82" s="337"/>
      <c r="J82" s="697">
        <f>'Kor&amp;U95% VAC'!H9</f>
        <v>30.03</v>
      </c>
      <c r="K82" s="698"/>
      <c r="L82" s="698"/>
      <c r="M82" s="454" t="str">
        <f>'Kor&amp;U95% VAC'!I9</f>
        <v>V</v>
      </c>
      <c r="N82" s="487"/>
      <c r="O82" s="697">
        <f>'Kor&amp;U95% VAC'!J9</f>
        <v>-3.0097451537063336E-2</v>
      </c>
      <c r="P82" s="698"/>
      <c r="Q82" s="698"/>
      <c r="R82" s="454" t="str">
        <f t="shared" si="0"/>
        <v>V</v>
      </c>
      <c r="S82" s="487"/>
      <c r="T82" s="731">
        <f>IF('Kor&amp;U95% VAC'!K9&gt;'Kor&amp;U95% VAC'!M9,'Kor&amp;U95% VAC'!K9,'Kor&amp;U95% VAC'!M9)</f>
        <v>2.2800000000000001E-2</v>
      </c>
      <c r="U82" s="732"/>
      <c r="V82" s="732"/>
      <c r="W82" s="454" t="str">
        <f t="shared" si="1"/>
        <v>V</v>
      </c>
      <c r="X82" s="487"/>
    </row>
    <row r="83" spans="1:24" x14ac:dyDescent="0.3">
      <c r="A83" s="454"/>
      <c r="B83" s="454"/>
      <c r="C83" s="454"/>
      <c r="D83" s="454"/>
      <c r="E83" s="489"/>
      <c r="F83" s="490"/>
      <c r="G83" s="490"/>
      <c r="H83" s="490"/>
      <c r="I83" s="518"/>
      <c r="J83" s="699">
        <f>'Kor&amp;U95% VAC'!H10</f>
        <v>53.98</v>
      </c>
      <c r="K83" s="700"/>
      <c r="L83" s="700"/>
      <c r="M83" s="490" t="str">
        <f>'Kor&amp;U95% VAC'!I10</f>
        <v>V</v>
      </c>
      <c r="N83" s="491"/>
      <c r="O83" s="699">
        <f>'Kor&amp;U95% VAC'!J10</f>
        <v>3.8328358209014368E-3</v>
      </c>
      <c r="P83" s="700"/>
      <c r="Q83" s="700"/>
      <c r="R83" s="490" t="str">
        <f t="shared" si="0"/>
        <v>V</v>
      </c>
      <c r="S83" s="491"/>
      <c r="T83" s="749">
        <f>IF('Kor&amp;U95% VAC'!K10&gt;'Kor&amp;U95% VAC'!M10,'Kor&amp;U95% VAC'!K10,'Kor&amp;U95% VAC'!M10)</f>
        <v>4.5899999999999996E-2</v>
      </c>
      <c r="U83" s="750"/>
      <c r="V83" s="750"/>
      <c r="W83" s="490" t="str">
        <f t="shared" si="1"/>
        <v>V</v>
      </c>
      <c r="X83" s="491"/>
    </row>
    <row r="84" spans="1:24" x14ac:dyDescent="0.3">
      <c r="A84" s="454"/>
      <c r="B84" s="454"/>
      <c r="C84" s="454"/>
      <c r="D84" s="454"/>
      <c r="E84" s="486"/>
      <c r="F84" s="454"/>
      <c r="G84" s="454"/>
      <c r="H84" s="454"/>
      <c r="I84" s="337"/>
      <c r="J84" s="733">
        <f>'Kor&amp;U95% VAC'!H11</f>
        <v>60.2</v>
      </c>
      <c r="K84" s="734"/>
      <c r="L84" s="734"/>
      <c r="M84" s="454" t="str">
        <f>'Kor&amp;U95% VAC'!I11</f>
        <v>V</v>
      </c>
      <c r="N84" s="487"/>
      <c r="O84" s="733">
        <f>'Kor&amp;U95% VAC'!J11</f>
        <v>-0.2160149253731376</v>
      </c>
      <c r="P84" s="734"/>
      <c r="Q84" s="734"/>
      <c r="R84" s="454" t="str">
        <f t="shared" si="0"/>
        <v>V</v>
      </c>
      <c r="S84" s="487"/>
      <c r="T84" s="693">
        <f>IF('Kor&amp;U95% VAC'!K11&gt;'Kor&amp;U95% VAC'!M11,'Kor&amp;U95% VAC'!K11,'Kor&amp;U95% VAC'!M11)</f>
        <v>6.1010324895349695E-2</v>
      </c>
      <c r="U84" s="694"/>
      <c r="V84" s="694"/>
      <c r="W84" s="454" t="str">
        <f t="shared" si="1"/>
        <v>V</v>
      </c>
      <c r="X84" s="487"/>
    </row>
    <row r="85" spans="1:24" x14ac:dyDescent="0.3">
      <c r="A85" s="454"/>
      <c r="B85" s="454"/>
      <c r="C85" s="454"/>
      <c r="D85" s="454"/>
      <c r="E85" s="486"/>
      <c r="F85" s="713" t="str">
        <f>CONCATENATE('Kor&amp;U95% VAC'!C11," ",'Kor&amp;U95% VAC'!D11)</f>
        <v>50 Hz</v>
      </c>
      <c r="G85" s="713"/>
      <c r="H85" s="713"/>
      <c r="I85" s="337"/>
      <c r="J85" s="725">
        <f>'Kor&amp;U95% VAC'!H12</f>
        <v>300.10000000000002</v>
      </c>
      <c r="K85" s="726"/>
      <c r="L85" s="726"/>
      <c r="M85" s="454" t="str">
        <f>'Kor&amp;U95% VAC'!I12</f>
        <v>V</v>
      </c>
      <c r="N85" s="487"/>
      <c r="O85" s="725">
        <f>'Kor&amp;U95% VAC'!J12</f>
        <v>-0.10152606869837655</v>
      </c>
      <c r="P85" s="726"/>
      <c r="Q85" s="726"/>
      <c r="R85" s="454" t="str">
        <f t="shared" si="0"/>
        <v>V</v>
      </c>
      <c r="S85" s="487"/>
      <c r="T85" s="697">
        <f>IF('Kor&amp;U95% VAC'!K12&gt;'Kor&amp;U95% VAC'!M12,'Kor&amp;U95% VAC'!K12,'Kor&amp;U95% VAC'!M12)</f>
        <v>0.255</v>
      </c>
      <c r="U85" s="698"/>
      <c r="V85" s="698"/>
      <c r="W85" s="454" t="str">
        <f t="shared" si="1"/>
        <v>V</v>
      </c>
      <c r="X85" s="487"/>
    </row>
    <row r="86" spans="1:24" x14ac:dyDescent="0.3">
      <c r="A86" s="454"/>
      <c r="B86" s="454"/>
      <c r="C86" s="454"/>
      <c r="D86" s="454"/>
      <c r="E86" s="489"/>
      <c r="F86" s="490"/>
      <c r="G86" s="490"/>
      <c r="H86" s="490"/>
      <c r="I86" s="518"/>
      <c r="J86" s="745">
        <f>'Kor&amp;U95% VAC'!H13</f>
        <v>539.9</v>
      </c>
      <c r="K86" s="746"/>
      <c r="L86" s="746"/>
      <c r="M86" s="490" t="str">
        <f>'Kor&amp;U95% VAC'!I13</f>
        <v>V</v>
      </c>
      <c r="N86" s="491"/>
      <c r="O86" s="745">
        <f>'Kor&amp;U95% VAC'!J13</f>
        <v>6.8805970149242057E-2</v>
      </c>
      <c r="P86" s="746"/>
      <c r="Q86" s="746"/>
      <c r="R86" s="490" t="str">
        <f t="shared" si="0"/>
        <v>V</v>
      </c>
      <c r="S86" s="491"/>
      <c r="T86" s="699">
        <f>IF('Kor&amp;U95% VAC'!K13&gt;'Kor&amp;U95% VAC'!M13,'Kor&amp;U95% VAC'!K13,'Kor&amp;U95% VAC'!M13)</f>
        <v>0.43740000000000007</v>
      </c>
      <c r="U86" s="700"/>
      <c r="V86" s="700"/>
      <c r="W86" s="490" t="str">
        <f t="shared" si="1"/>
        <v>V</v>
      </c>
      <c r="X86" s="491"/>
    </row>
    <row r="87" spans="1:24" x14ac:dyDescent="0.3">
      <c r="A87" s="454"/>
      <c r="B87" s="454"/>
      <c r="C87" s="454"/>
      <c r="D87" s="454"/>
      <c r="E87" s="486"/>
      <c r="F87" s="454"/>
      <c r="G87" s="454"/>
      <c r="H87" s="454"/>
      <c r="I87" s="337"/>
      <c r="J87" s="760">
        <f>'Kor&amp;U95% VAC'!H14</f>
        <v>101</v>
      </c>
      <c r="K87" s="761"/>
      <c r="L87" s="761"/>
      <c r="M87" s="454" t="str">
        <f>'Kor&amp;U95% VAC'!I14</f>
        <v>V</v>
      </c>
      <c r="N87" s="487"/>
      <c r="O87" s="760">
        <f>'Kor&amp;U95% VAC'!J14</f>
        <v>-1.0150000000000006</v>
      </c>
      <c r="P87" s="761"/>
      <c r="Q87" s="761"/>
      <c r="R87" s="454" t="str">
        <f t="shared" si="0"/>
        <v>V</v>
      </c>
      <c r="S87" s="487"/>
      <c r="T87" s="733">
        <f>IF('Kor&amp;U95% VAC'!K14&gt;'Kor&amp;U95% VAC'!M14,'Kor&amp;U95% VAC'!K14,'Kor&amp;U95% VAC'!M14)</f>
        <v>0.57768218006607763</v>
      </c>
      <c r="U87" s="734"/>
      <c r="V87" s="734"/>
      <c r="W87" s="454" t="str">
        <f t="shared" si="1"/>
        <v>V</v>
      </c>
      <c r="X87" s="487"/>
    </row>
    <row r="88" spans="1:24" x14ac:dyDescent="0.3">
      <c r="A88" s="454"/>
      <c r="B88" s="454"/>
      <c r="C88" s="454"/>
      <c r="D88" s="454"/>
      <c r="E88" s="486"/>
      <c r="F88" s="713" t="str">
        <f>CONCATENATE('Kor&amp;U95% VAC'!C14," ",'Kor&amp;U95% VAC'!D14)</f>
        <v>50 Hz</v>
      </c>
      <c r="G88" s="713"/>
      <c r="H88" s="713"/>
      <c r="I88" s="337"/>
      <c r="J88" s="723">
        <f>'Kor&amp;U95% VAC'!H15</f>
        <v>500</v>
      </c>
      <c r="K88" s="724"/>
      <c r="L88" s="724"/>
      <c r="M88" s="454" t="str">
        <f>'Kor&amp;U95% VAC'!I15</f>
        <v>V</v>
      </c>
      <c r="N88" s="487"/>
      <c r="O88" s="723">
        <f>'Kor&amp;U95% VAC'!J15</f>
        <v>-3.4776119402977201E-2</v>
      </c>
      <c r="P88" s="724"/>
      <c r="Q88" s="724"/>
      <c r="R88" s="454" t="str">
        <f t="shared" si="0"/>
        <v>V</v>
      </c>
      <c r="S88" s="487"/>
      <c r="T88" s="725">
        <f>IF('Kor&amp;U95% VAC'!K15&gt;'Kor&amp;U95% VAC'!M15,'Kor&amp;U95% VAC'!K15,'Kor&amp;U95% VAC'!M15)</f>
        <v>0.58726761836089214</v>
      </c>
      <c r="U88" s="726"/>
      <c r="V88" s="726"/>
      <c r="W88" s="454" t="str">
        <f t="shared" si="1"/>
        <v>V</v>
      </c>
      <c r="X88" s="487"/>
    </row>
    <row r="89" spans="1:24" x14ac:dyDescent="0.3">
      <c r="A89" s="454"/>
      <c r="B89" s="454"/>
      <c r="C89" s="454"/>
      <c r="D89" s="454"/>
      <c r="E89" s="489"/>
      <c r="F89" s="490"/>
      <c r="G89" s="490"/>
      <c r="H89" s="490"/>
      <c r="I89" s="518"/>
      <c r="J89" s="772">
        <f>'Kor&amp;U95% VAC'!H16</f>
        <v>899</v>
      </c>
      <c r="K89" s="773"/>
      <c r="L89" s="773"/>
      <c r="M89" s="490" t="str">
        <f>'Kor&amp;U95% VAC'!I16</f>
        <v>V</v>
      </c>
      <c r="N89" s="491"/>
      <c r="O89" s="772">
        <f>'Kor&amp;U95% VAC'!J16</f>
        <v>1.0010447761194428</v>
      </c>
      <c r="P89" s="773"/>
      <c r="Q89" s="773"/>
      <c r="R89" s="490" t="str">
        <f t="shared" si="0"/>
        <v>V</v>
      </c>
      <c r="S89" s="491"/>
      <c r="T89" s="745">
        <f>IF('Kor&amp;U95% VAC'!K16&gt;'Kor&amp;U95% VAC'!M16,'Kor&amp;U95% VAC'!K16,'Kor&amp;U95% VAC'!M16)</f>
        <v>0.72900000000000009</v>
      </c>
      <c r="U89" s="746"/>
      <c r="V89" s="746"/>
      <c r="W89" s="490" t="str">
        <f t="shared" si="1"/>
        <v>V</v>
      </c>
      <c r="X89" s="491"/>
    </row>
    <row r="90" spans="1:24" x14ac:dyDescent="0.3">
      <c r="A90" s="454"/>
      <c r="B90" s="454"/>
      <c r="C90" s="454"/>
      <c r="D90" s="482"/>
    </row>
    <row r="91" spans="1:24" x14ac:dyDescent="0.3">
      <c r="A91" s="454"/>
      <c r="B91" s="454"/>
      <c r="C91" s="454"/>
      <c r="D91" s="454"/>
    </row>
    <row r="92" spans="1:24" x14ac:dyDescent="0.3">
      <c r="A92" s="454"/>
      <c r="B92" s="454"/>
      <c r="C92" s="454"/>
      <c r="D92" s="454"/>
    </row>
    <row r="93" spans="1:24" x14ac:dyDescent="0.3">
      <c r="A93" s="454"/>
      <c r="B93" s="454"/>
      <c r="C93" s="454"/>
      <c r="D93" s="454"/>
    </row>
    <row r="94" spans="1:24" x14ac:dyDescent="0.3">
      <c r="A94" s="454"/>
      <c r="B94" s="454"/>
      <c r="C94" s="454"/>
      <c r="D94" s="454"/>
    </row>
    <row r="95" spans="1:24" x14ac:dyDescent="0.3">
      <c r="A95" s="454"/>
      <c r="B95" s="454"/>
      <c r="C95" s="454"/>
      <c r="D95" s="454"/>
    </row>
    <row r="96" spans="1:24" x14ac:dyDescent="0.3">
      <c r="A96" s="454"/>
      <c r="B96" s="454"/>
      <c r="C96" s="454"/>
      <c r="D96" s="454"/>
      <c r="E96" s="454"/>
      <c r="F96" s="454"/>
      <c r="G96" s="454"/>
      <c r="H96" s="454"/>
      <c r="I96" s="454"/>
      <c r="K96" s="530"/>
      <c r="L96" s="530"/>
      <c r="M96" s="530"/>
      <c r="N96" s="454"/>
      <c r="O96" s="454"/>
      <c r="P96" s="530"/>
      <c r="Q96" s="530"/>
      <c r="R96" s="530"/>
      <c r="S96" s="454"/>
      <c r="T96" s="454"/>
      <c r="U96" s="586"/>
      <c r="V96" s="586"/>
      <c r="W96" s="586"/>
      <c r="X96" s="454"/>
    </row>
    <row r="97" spans="1:24" x14ac:dyDescent="0.3">
      <c r="A97" s="454"/>
      <c r="B97" s="454"/>
      <c r="C97" s="454"/>
      <c r="D97" s="454"/>
      <c r="E97" s="454"/>
      <c r="F97" s="454"/>
      <c r="G97" s="454"/>
      <c r="H97" s="454"/>
      <c r="I97" s="493"/>
      <c r="J97" s="493"/>
    </row>
    <row r="98" spans="1:24" x14ac:dyDescent="0.3">
      <c r="A98" s="454"/>
      <c r="B98" s="454"/>
      <c r="C98" s="454"/>
      <c r="D98" s="454"/>
      <c r="E98" s="454"/>
      <c r="F98" s="454"/>
      <c r="G98" s="454"/>
      <c r="H98" s="454"/>
      <c r="I98" s="493"/>
      <c r="J98" s="493"/>
    </row>
    <row r="99" spans="1:24" x14ac:dyDescent="0.3">
      <c r="A99" s="454"/>
      <c r="B99" s="454"/>
      <c r="C99" s="454"/>
      <c r="D99" s="454"/>
      <c r="E99" s="454"/>
      <c r="F99" s="454"/>
      <c r="G99" s="454"/>
      <c r="H99" s="454"/>
      <c r="I99" s="493"/>
      <c r="J99" s="493"/>
    </row>
    <row r="100" spans="1:24" x14ac:dyDescent="0.3">
      <c r="A100" s="454"/>
      <c r="B100" s="454"/>
      <c r="C100" s="454"/>
      <c r="D100" s="454"/>
      <c r="E100" s="454"/>
      <c r="F100" s="454"/>
      <c r="G100" s="454"/>
      <c r="H100" s="454"/>
      <c r="I100" s="493"/>
      <c r="J100" s="493"/>
    </row>
    <row r="101" spans="1:24" ht="93.75" customHeight="1" x14ac:dyDescent="0.3">
      <c r="A101" s="454"/>
      <c r="B101" s="454"/>
      <c r="C101" s="454"/>
      <c r="D101" s="454"/>
      <c r="E101" s="454"/>
      <c r="F101" s="454"/>
      <c r="G101" s="454"/>
      <c r="H101" s="454"/>
      <c r="I101" s="493"/>
      <c r="J101" s="493"/>
      <c r="K101" s="454"/>
      <c r="L101" s="454"/>
      <c r="M101" s="488"/>
      <c r="N101" s="488"/>
      <c r="O101" s="454"/>
      <c r="P101" s="454"/>
      <c r="Q101" s="492"/>
      <c r="R101" s="492"/>
      <c r="S101" s="454"/>
      <c r="T101" s="454"/>
      <c r="U101" s="454"/>
      <c r="V101" s="454"/>
    </row>
    <row r="102" spans="1:24" ht="15" customHeight="1" x14ac:dyDescent="0.4">
      <c r="A102" s="454"/>
      <c r="B102" s="454"/>
      <c r="C102" s="454"/>
      <c r="D102" s="454"/>
      <c r="E102" s="455"/>
      <c r="F102" s="455"/>
      <c r="G102" s="454"/>
      <c r="H102" s="454"/>
      <c r="M102" s="710" t="s">
        <v>595</v>
      </c>
      <c r="N102" s="710"/>
      <c r="O102" s="710"/>
      <c r="P102" s="710"/>
      <c r="Q102" s="454" t="str">
        <f>CONCATENATE($N$4,$O$4)</f>
        <v>0092-6.1/KALIBRASI BBLM/XI/2025</v>
      </c>
      <c r="R102" s="454"/>
      <c r="S102" s="454"/>
      <c r="T102" s="454"/>
      <c r="U102" s="454"/>
      <c r="V102" s="454"/>
    </row>
    <row r="103" spans="1:24" ht="15" customHeight="1" x14ac:dyDescent="0.35">
      <c r="A103" s="454"/>
      <c r="B103" s="454"/>
      <c r="C103" s="454"/>
      <c r="D103" s="454"/>
      <c r="E103" s="456"/>
      <c r="F103" s="456"/>
      <c r="G103" s="454"/>
      <c r="H103" s="454"/>
      <c r="M103" s="710" t="s">
        <v>0</v>
      </c>
      <c r="N103" s="710"/>
      <c r="O103" s="710"/>
      <c r="P103" s="710"/>
      <c r="Q103" s="510" t="str">
        <f>Data!C$15</f>
        <v>K560</v>
      </c>
      <c r="R103" s="454"/>
      <c r="S103" s="454"/>
      <c r="T103" s="454"/>
      <c r="U103" s="454"/>
      <c r="V103" s="454"/>
    </row>
    <row r="104" spans="1:24" ht="15" customHeight="1" x14ac:dyDescent="0.3">
      <c r="A104" s="454"/>
      <c r="B104" s="454"/>
      <c r="C104" s="454"/>
      <c r="D104" s="454"/>
      <c r="E104" s="454"/>
      <c r="F104" s="454"/>
      <c r="G104" s="454"/>
      <c r="H104" s="454"/>
      <c r="M104" s="710" t="s">
        <v>596</v>
      </c>
      <c r="N104" s="710"/>
      <c r="O104" s="710"/>
      <c r="P104" s="710"/>
      <c r="Q104" s="509" t="str">
        <f>CONCATENATE(INT(ROW()/49)+1, " dari ",T$33)</f>
        <v>3 dari 4</v>
      </c>
      <c r="R104" s="454"/>
      <c r="S104" s="454"/>
      <c r="T104" s="454"/>
      <c r="U104" s="454"/>
      <c r="V104" s="454"/>
    </row>
    <row r="105" spans="1:24" ht="15" customHeight="1" x14ac:dyDescent="0.3">
      <c r="A105" s="454"/>
      <c r="B105" s="454"/>
      <c r="C105" s="454"/>
      <c r="D105" s="454"/>
      <c r="E105" s="454"/>
      <c r="F105" s="454"/>
      <c r="G105" s="454"/>
      <c r="H105" s="454"/>
      <c r="I105" s="454"/>
      <c r="J105" s="454"/>
      <c r="K105" s="454"/>
      <c r="L105" s="454"/>
      <c r="M105" s="454"/>
      <c r="N105" s="454"/>
      <c r="O105" s="454"/>
      <c r="P105" s="454"/>
      <c r="Q105" s="454"/>
      <c r="R105" s="454"/>
      <c r="S105" s="454"/>
      <c r="T105" s="454"/>
      <c r="U105" s="454"/>
      <c r="V105" s="454"/>
    </row>
    <row r="106" spans="1:24" x14ac:dyDescent="0.3">
      <c r="A106" s="454"/>
      <c r="B106" s="454"/>
      <c r="C106" s="454"/>
      <c r="D106" s="454"/>
      <c r="E106" s="454"/>
      <c r="F106" s="454"/>
      <c r="G106" s="454"/>
      <c r="H106" s="454"/>
      <c r="I106" s="454"/>
      <c r="J106" s="454"/>
      <c r="K106" s="454"/>
      <c r="L106" s="454"/>
      <c r="M106" s="454"/>
      <c r="N106" s="454"/>
      <c r="O106" s="454"/>
      <c r="P106" s="454"/>
      <c r="Q106" s="454"/>
      <c r="R106" s="454"/>
      <c r="S106" s="454"/>
      <c r="T106" s="454"/>
      <c r="U106" s="454"/>
      <c r="V106" s="454"/>
    </row>
    <row r="107" spans="1:24" x14ac:dyDescent="0.3">
      <c r="A107" s="454"/>
      <c r="B107" s="454"/>
      <c r="C107" s="454"/>
      <c r="D107" s="454"/>
      <c r="E107" s="717" t="s">
        <v>611</v>
      </c>
      <c r="F107" s="718"/>
      <c r="G107" s="718"/>
      <c r="H107" s="718"/>
      <c r="I107" s="718"/>
      <c r="J107" s="718"/>
      <c r="K107" s="718"/>
      <c r="L107" s="718"/>
      <c r="M107" s="718"/>
      <c r="N107" s="718"/>
      <c r="O107" s="718"/>
      <c r="P107" s="718"/>
      <c r="Q107" s="718"/>
      <c r="R107" s="718"/>
      <c r="S107" s="718"/>
      <c r="T107" s="718"/>
      <c r="U107" s="718"/>
      <c r="V107" s="718"/>
      <c r="W107" s="718"/>
      <c r="X107" s="719"/>
    </row>
    <row r="108" spans="1:24" x14ac:dyDescent="0.3">
      <c r="A108" s="454"/>
      <c r="B108" s="454"/>
      <c r="C108" s="454"/>
      <c r="D108" s="482"/>
      <c r="E108" s="720"/>
      <c r="F108" s="721"/>
      <c r="G108" s="721"/>
      <c r="H108" s="721"/>
      <c r="I108" s="721"/>
      <c r="J108" s="721"/>
      <c r="K108" s="721"/>
      <c r="L108" s="721"/>
      <c r="M108" s="721"/>
      <c r="N108" s="721"/>
      <c r="O108" s="721"/>
      <c r="P108" s="721"/>
      <c r="Q108" s="721"/>
      <c r="R108" s="721"/>
      <c r="S108" s="721"/>
      <c r="T108" s="721"/>
      <c r="U108" s="721"/>
      <c r="V108" s="721"/>
      <c r="W108" s="721"/>
      <c r="X108" s="722"/>
    </row>
    <row r="109" spans="1:24" ht="15" customHeight="1" x14ac:dyDescent="0.3">
      <c r="A109" s="454"/>
      <c r="B109" s="454"/>
      <c r="C109" s="454"/>
      <c r="D109" s="454"/>
      <c r="E109" s="735" t="s">
        <v>609</v>
      </c>
      <c r="F109" s="735"/>
      <c r="G109" s="735"/>
      <c r="H109" s="735"/>
      <c r="I109" s="735"/>
      <c r="J109" s="743" t="s">
        <v>3</v>
      </c>
      <c r="K109" s="743"/>
      <c r="L109" s="743"/>
      <c r="M109" s="743"/>
      <c r="N109" s="743"/>
      <c r="O109" s="743" t="s">
        <v>4</v>
      </c>
      <c r="P109" s="743"/>
      <c r="Q109" s="743"/>
      <c r="R109" s="743"/>
      <c r="S109" s="743"/>
      <c r="T109" s="743" t="s">
        <v>610</v>
      </c>
      <c r="U109" s="743"/>
      <c r="V109" s="743"/>
      <c r="W109" s="743"/>
      <c r="X109" s="743"/>
    </row>
    <row r="110" spans="1:24" x14ac:dyDescent="0.3">
      <c r="A110" s="454"/>
      <c r="B110" s="454"/>
      <c r="C110" s="454"/>
      <c r="D110" s="454"/>
      <c r="E110" s="736"/>
      <c r="F110" s="736"/>
      <c r="G110" s="736"/>
      <c r="H110" s="736"/>
      <c r="I110" s="736"/>
      <c r="J110" s="744"/>
      <c r="K110" s="744"/>
      <c r="L110" s="744"/>
      <c r="M110" s="744"/>
      <c r="N110" s="744"/>
      <c r="O110" s="744"/>
      <c r="P110" s="744"/>
      <c r="Q110" s="744"/>
      <c r="R110" s="744"/>
      <c r="S110" s="744"/>
      <c r="T110" s="744"/>
      <c r="U110" s="744"/>
      <c r="V110" s="744"/>
      <c r="W110" s="744"/>
      <c r="X110" s="744"/>
    </row>
    <row r="111" spans="1:24" x14ac:dyDescent="0.3">
      <c r="A111" s="454"/>
      <c r="B111" s="454"/>
      <c r="C111" s="454"/>
      <c r="D111" s="454"/>
      <c r="E111" s="486"/>
      <c r="F111" s="454"/>
      <c r="G111" s="454"/>
      <c r="H111" s="454"/>
      <c r="I111" s="337"/>
      <c r="J111" s="747">
        <f>'Kor&amp;U95% VDC'!F2</f>
        <v>60</v>
      </c>
      <c r="K111" s="748"/>
      <c r="L111" s="748"/>
      <c r="M111" s="484" t="str">
        <f>'Kor&amp;U95% VDC'!G2</f>
        <v>mV</v>
      </c>
      <c r="N111" s="485"/>
      <c r="O111" s="747">
        <f>'Kor&amp;U95% VDC'!H2</f>
        <v>-2.2033294456704766E-3</v>
      </c>
      <c r="P111" s="748"/>
      <c r="Q111" s="748"/>
      <c r="R111" s="484" t="str">
        <f>M111</f>
        <v>mV</v>
      </c>
      <c r="S111" s="485"/>
      <c r="T111" s="766">
        <f>IF('Kor&amp;U95% VDC'!I2&gt;'Kor&amp;U95% VDC'!K2,'Kor&amp;U95% VDC'!I2,'Kor&amp;U95% VDC'!K2)</f>
        <v>5.7876078643173512E-2</v>
      </c>
      <c r="U111" s="767"/>
      <c r="V111" s="767"/>
      <c r="W111" s="454" t="str">
        <f>R111</f>
        <v>mV</v>
      </c>
      <c r="X111" s="337"/>
    </row>
    <row r="112" spans="1:24" x14ac:dyDescent="0.3">
      <c r="A112" s="454"/>
      <c r="B112" s="454"/>
      <c r="C112" s="454"/>
      <c r="D112" s="454"/>
      <c r="E112" s="486"/>
      <c r="F112" s="713" t="str">
        <f>CONCATENATE('Kor&amp;U95% VDC'!A2," ",'Kor&amp;U95% VDC'!B2)</f>
        <v>600 mV</v>
      </c>
      <c r="G112" s="713"/>
      <c r="H112" s="713"/>
      <c r="I112" s="337"/>
      <c r="J112" s="762">
        <f>'Kor&amp;U95% VDC'!F3</f>
        <v>299.89999999999998</v>
      </c>
      <c r="K112" s="763"/>
      <c r="L112" s="763"/>
      <c r="M112" s="454" t="str">
        <f>'Kor&amp;U95% VDC'!G3</f>
        <v>mV</v>
      </c>
      <c r="N112" s="487"/>
      <c r="O112" s="762">
        <f>'Kor&amp;U95% VDC'!H3</f>
        <v>8.9631097581786889E-2</v>
      </c>
      <c r="P112" s="763"/>
      <c r="Q112" s="763"/>
      <c r="R112" s="454" t="str">
        <f t="shared" ref="R112:R113" si="2">M112</f>
        <v>mV</v>
      </c>
      <c r="S112" s="487"/>
      <c r="T112" s="768">
        <f>IF('Kor&amp;U95% VDC'!I3&gt;'Kor&amp;U95% VDC'!K3,'Kor&amp;U95% VDC'!I3,'Kor&amp;U95% VDC'!K3)</f>
        <v>0.108</v>
      </c>
      <c r="U112" s="769"/>
      <c r="V112" s="769"/>
      <c r="W112" s="454" t="str">
        <f t="shared" ref="W112:W113" si="3">R112</f>
        <v>mV</v>
      </c>
      <c r="X112" s="337"/>
    </row>
    <row r="113" spans="1:24" x14ac:dyDescent="0.3">
      <c r="A113" s="454"/>
      <c r="B113" s="454"/>
      <c r="C113" s="454"/>
      <c r="D113" s="454"/>
      <c r="E113" s="489"/>
      <c r="F113" s="490"/>
      <c r="G113" s="490"/>
      <c r="H113" s="490"/>
      <c r="I113" s="518"/>
      <c r="J113" s="764">
        <f>'Kor&amp;U95% VDC'!F4</f>
        <v>539.9</v>
      </c>
      <c r="K113" s="765"/>
      <c r="L113" s="765"/>
      <c r="M113" s="490" t="str">
        <f>'Kor&amp;U95% VDC'!G4</f>
        <v>mV</v>
      </c>
      <c r="N113" s="491"/>
      <c r="O113" s="764">
        <f>'Kor&amp;U95% VDC'!H4</f>
        <v>9.2925373134335132E-2</v>
      </c>
      <c r="P113" s="765"/>
      <c r="Q113" s="765"/>
      <c r="R113" s="490" t="str">
        <f t="shared" si="2"/>
        <v>mV</v>
      </c>
      <c r="S113" s="491"/>
      <c r="T113" s="770">
        <f>IF('Kor&amp;U95% VDC'!I4&gt;'Kor&amp;U95% VDC'!K4,'Kor&amp;U95% VDC'!I4,'Kor&amp;U95% VDC'!K4)</f>
        <v>5.845041202284848E-2</v>
      </c>
      <c r="U113" s="771"/>
      <c r="V113" s="771"/>
      <c r="W113" s="490" t="str">
        <f t="shared" si="3"/>
        <v>mV</v>
      </c>
      <c r="X113" s="518"/>
    </row>
    <row r="114" spans="1:24" x14ac:dyDescent="0.3">
      <c r="A114" s="454"/>
      <c r="B114" s="454"/>
      <c r="C114" s="454"/>
      <c r="D114" s="454"/>
      <c r="E114" s="486"/>
      <c r="F114" s="454"/>
      <c r="G114" s="454"/>
      <c r="H114" s="454"/>
      <c r="I114" s="337"/>
      <c r="J114" s="695">
        <f>'Kor&amp;U95% VDC'!F5</f>
        <v>0.6</v>
      </c>
      <c r="K114" s="696"/>
      <c r="L114" s="696"/>
      <c r="M114" s="484" t="str">
        <f>'Kor&amp;U95% VDC'!G5</f>
        <v>V</v>
      </c>
      <c r="N114" s="485"/>
      <c r="O114" s="695">
        <f>'Kor&amp;U95% VDC'!H5</f>
        <v>-7.6388059699894484E-6</v>
      </c>
      <c r="P114" s="696"/>
      <c r="Q114" s="696"/>
      <c r="R114" s="484" t="str">
        <f>M114</f>
        <v>V</v>
      </c>
      <c r="S114" s="485"/>
      <c r="T114" s="727">
        <f>IF('Kor&amp;U95% VDC'!I5&gt;'Kor&amp;U95% VDC'!K5,'Kor&amp;U95% VDC'!I5,'Kor&amp;U95% VDC'!K5)</f>
        <v>5.7742017455908619E-4</v>
      </c>
      <c r="U114" s="728"/>
      <c r="V114" s="728"/>
      <c r="W114" s="514" t="str">
        <f>R114</f>
        <v>V</v>
      </c>
      <c r="X114" s="337"/>
    </row>
    <row r="115" spans="1:24" x14ac:dyDescent="0.3">
      <c r="A115" s="454"/>
      <c r="B115" s="454"/>
      <c r="C115" s="454"/>
      <c r="D115" s="454"/>
      <c r="E115" s="486"/>
      <c r="F115" s="713" t="str">
        <f>CONCATENATE('Kor&amp;U95% VDC'!A5," ",'Kor&amp;U95% VDC'!B5)</f>
        <v>6 V</v>
      </c>
      <c r="G115" s="713"/>
      <c r="H115" s="713"/>
      <c r="I115" s="337"/>
      <c r="J115" s="731">
        <f>'Kor&amp;U95% VDC'!F6</f>
        <v>2.9990000000000001</v>
      </c>
      <c r="K115" s="732"/>
      <c r="L115" s="732"/>
      <c r="M115" s="454" t="str">
        <f>'Kor&amp;U95% VDC'!G6</f>
        <v>V</v>
      </c>
      <c r="N115" s="487"/>
      <c r="O115" s="731">
        <f>'Kor&amp;U95% VDC'!H6</f>
        <v>9.8001794053192981E-4</v>
      </c>
      <c r="P115" s="732"/>
      <c r="Q115" s="732"/>
      <c r="R115" s="454" t="str">
        <f t="shared" ref="R115:R125" si="4">M115</f>
        <v>V</v>
      </c>
      <c r="S115" s="487"/>
      <c r="T115" s="729">
        <f>IF('Kor&amp;U95% VDC'!I6&gt;'Kor&amp;U95% VDC'!K6,'Kor&amp;U95% VDC'!I6,'Kor&amp;U95% VDC'!K6)</f>
        <v>5.7815222525249078E-4</v>
      </c>
      <c r="U115" s="730"/>
      <c r="V115" s="730"/>
      <c r="W115" s="514" t="str">
        <f t="shared" ref="W115:W125" si="5">R115</f>
        <v>V</v>
      </c>
      <c r="X115" s="337"/>
    </row>
    <row r="116" spans="1:24" x14ac:dyDescent="0.3">
      <c r="A116" s="454"/>
      <c r="B116" s="454"/>
      <c r="C116" s="454"/>
      <c r="D116" s="454"/>
      <c r="E116" s="489"/>
      <c r="F116" s="490"/>
      <c r="G116" s="490"/>
      <c r="H116" s="490"/>
      <c r="I116" s="518"/>
      <c r="J116" s="749">
        <f>'Kor&amp;U95% VDC'!F7</f>
        <v>5.399</v>
      </c>
      <c r="K116" s="750"/>
      <c r="L116" s="750"/>
      <c r="M116" s="490" t="str">
        <f>'Kor&amp;U95% VDC'!G7</f>
        <v>V</v>
      </c>
      <c r="N116" s="491"/>
      <c r="O116" s="749">
        <f>'Kor&amp;U95% VDC'!H7</f>
        <v>9.4913582343014724E-4</v>
      </c>
      <c r="P116" s="750"/>
      <c r="Q116" s="750"/>
      <c r="R116" s="490" t="str">
        <f t="shared" si="4"/>
        <v>V</v>
      </c>
      <c r="S116" s="491"/>
      <c r="T116" s="758">
        <f>IF('Kor&amp;U95% VDC'!I7&gt;'Kor&amp;U95% VDC'!K7,'Kor&amp;U95% VDC'!I7,'Kor&amp;U95% VDC'!K7)</f>
        <v>5.7967403821807223E-4</v>
      </c>
      <c r="U116" s="759"/>
      <c r="V116" s="759"/>
      <c r="W116" s="513" t="str">
        <f t="shared" si="5"/>
        <v>V</v>
      </c>
      <c r="X116" s="518"/>
    </row>
    <row r="117" spans="1:24" x14ac:dyDescent="0.3">
      <c r="A117" s="454"/>
      <c r="B117" s="454"/>
      <c r="C117" s="454"/>
      <c r="D117" s="454"/>
      <c r="E117" s="483"/>
      <c r="F117" s="484"/>
      <c r="G117" s="484"/>
      <c r="H117" s="484"/>
      <c r="I117" s="517"/>
      <c r="J117" s="693">
        <f>'Kor&amp;U95% VDC'!F8</f>
        <v>6</v>
      </c>
      <c r="K117" s="694"/>
      <c r="L117" s="694"/>
      <c r="M117" s="454" t="str">
        <f>'Kor&amp;U95% VDC'!G8</f>
        <v>V</v>
      </c>
      <c r="N117" s="487"/>
      <c r="O117" s="693">
        <f>'Kor&amp;U95% VDC'!H8</f>
        <v>-5.4297113751822224E-5</v>
      </c>
      <c r="P117" s="694"/>
      <c r="Q117" s="694"/>
      <c r="R117" s="454" t="str">
        <f t="shared" si="4"/>
        <v>V</v>
      </c>
      <c r="S117" s="487"/>
      <c r="T117" s="695">
        <f>IF('Kor&amp;U95% VDC'!I8&gt;'Kor&amp;U95% VDC'!K8,'Kor&amp;U95% VDC'!I8,'Kor&amp;U95% VDC'!K8)</f>
        <v>5.7737591694116451E-3</v>
      </c>
      <c r="U117" s="696"/>
      <c r="V117" s="696"/>
      <c r="W117" s="514" t="str">
        <f t="shared" si="5"/>
        <v>V</v>
      </c>
      <c r="X117" s="337"/>
    </row>
    <row r="118" spans="1:24" x14ac:dyDescent="0.3">
      <c r="A118" s="454"/>
      <c r="B118" s="454"/>
      <c r="C118" s="454"/>
      <c r="D118" s="454"/>
      <c r="E118" s="486"/>
      <c r="F118" s="713" t="str">
        <f>CONCATENATE('Kor&amp;U95% VDC'!A8," ",'Kor&amp;U95% VDC'!B8)</f>
        <v>60 V</v>
      </c>
      <c r="G118" s="713"/>
      <c r="H118" s="713"/>
      <c r="I118" s="337"/>
      <c r="J118" s="697">
        <f>'Kor&amp;U95% VDC'!F9</f>
        <v>30</v>
      </c>
      <c r="K118" s="698"/>
      <c r="L118" s="698"/>
      <c r="M118" s="454" t="str">
        <f>'Kor&amp;U95% VDC'!G9</f>
        <v>V</v>
      </c>
      <c r="N118" s="487"/>
      <c r="O118" s="697">
        <f>'Kor&amp;U95% VDC'!H9</f>
        <v>-6.6790980664421795E-5</v>
      </c>
      <c r="P118" s="698"/>
      <c r="Q118" s="698"/>
      <c r="R118" s="454" t="str">
        <f t="shared" si="4"/>
        <v>V</v>
      </c>
      <c r="S118" s="487"/>
      <c r="T118" s="731">
        <f>IF('Kor&amp;U95% VDC'!I9&gt;'Kor&amp;U95% VDC'!K9,'Kor&amp;U95% VDC'!I9,'Kor&amp;U95% VDC'!K9)</f>
        <v>5.7862811393845654E-3</v>
      </c>
      <c r="U118" s="732"/>
      <c r="V118" s="732"/>
      <c r="W118" s="514" t="str">
        <f t="shared" si="5"/>
        <v>V</v>
      </c>
      <c r="X118" s="337"/>
    </row>
    <row r="119" spans="1:24" x14ac:dyDescent="0.3">
      <c r="A119" s="454"/>
      <c r="B119" s="454"/>
      <c r="C119" s="454"/>
      <c r="D119" s="454"/>
      <c r="E119" s="489"/>
      <c r="F119" s="490"/>
      <c r="G119" s="490"/>
      <c r="H119" s="490"/>
      <c r="I119" s="518"/>
      <c r="J119" s="699">
        <f>'Kor&amp;U95% VDC'!F10</f>
        <v>53.989999999999995</v>
      </c>
      <c r="K119" s="700"/>
      <c r="L119" s="700"/>
      <c r="M119" s="490" t="str">
        <f>'Kor&amp;U95% VDC'!G10</f>
        <v>V</v>
      </c>
      <c r="N119" s="491"/>
      <c r="O119" s="699">
        <f>'Kor&amp;U95% VDC'!H10</f>
        <v>9.8713432835850767E-3</v>
      </c>
      <c r="P119" s="700"/>
      <c r="Q119" s="700"/>
      <c r="R119" s="490" t="str">
        <f t="shared" si="4"/>
        <v>V</v>
      </c>
      <c r="S119" s="491"/>
      <c r="T119" s="749">
        <f>IF('Kor&amp;U95% VDC'!I10&gt;'Kor&amp;U95% VDC'!K10,'Kor&amp;U95% VDC'!I10,'Kor&amp;U95% VDC'!K10)</f>
        <v>5.8416325843444325E-3</v>
      </c>
      <c r="U119" s="750"/>
      <c r="V119" s="750"/>
      <c r="W119" s="513" t="str">
        <f t="shared" si="5"/>
        <v>V</v>
      </c>
      <c r="X119" s="518"/>
    </row>
    <row r="120" spans="1:24" x14ac:dyDescent="0.3">
      <c r="A120" s="454"/>
      <c r="B120" s="454"/>
      <c r="C120" s="454"/>
      <c r="D120" s="454"/>
      <c r="E120" s="483"/>
      <c r="F120" s="484"/>
      <c r="G120" s="484"/>
      <c r="H120" s="484"/>
      <c r="I120" s="517"/>
      <c r="J120" s="733">
        <f>'Kor&amp;U95% VDC'!F11</f>
        <v>60</v>
      </c>
      <c r="K120" s="734"/>
      <c r="L120" s="734"/>
      <c r="M120" s="454" t="str">
        <f>'Kor&amp;U95% VDC'!G11</f>
        <v>V</v>
      </c>
      <c r="N120" s="487"/>
      <c r="O120" s="733">
        <f>'Kor&amp;U95% VDC'!H11</f>
        <v>-1.197014925367057E-4</v>
      </c>
      <c r="P120" s="734"/>
      <c r="Q120" s="734"/>
      <c r="R120" s="454" t="str">
        <f t="shared" si="4"/>
        <v>V</v>
      </c>
      <c r="S120" s="487"/>
      <c r="T120" s="693">
        <f>IF('Kor&amp;U95% VDC'!I11&gt;'Kor&amp;U95% VDC'!K11,'Kor&amp;U95% VDC'!I11,'Kor&amp;U95% VDC'!K11)</f>
        <v>5.7741856623817089E-2</v>
      </c>
      <c r="U120" s="694"/>
      <c r="V120" s="694"/>
      <c r="W120" s="514" t="str">
        <f t="shared" si="5"/>
        <v>V</v>
      </c>
      <c r="X120" s="337"/>
    </row>
    <row r="121" spans="1:24" x14ac:dyDescent="0.3">
      <c r="A121" s="454"/>
      <c r="B121" s="454"/>
      <c r="C121" s="454"/>
      <c r="D121" s="454"/>
      <c r="E121" s="486"/>
      <c r="F121" s="713" t="str">
        <f>CONCATENATE('Kor&amp;U95% VDC'!A11," ",'Kor&amp;U95% VDC'!B11)</f>
        <v>600 V</v>
      </c>
      <c r="G121" s="713"/>
      <c r="H121" s="713"/>
      <c r="I121" s="337"/>
      <c r="J121" s="725">
        <f>'Kor&amp;U95% VDC'!F12</f>
        <v>299.89999999999998</v>
      </c>
      <c r="K121" s="726"/>
      <c r="L121" s="726"/>
      <c r="M121" s="454" t="str">
        <f>'Kor&amp;U95% VDC'!G12</f>
        <v>V</v>
      </c>
      <c r="N121" s="487"/>
      <c r="O121" s="725">
        <f>'Kor&amp;U95% VDC'!H12</f>
        <v>0.1002379614808433</v>
      </c>
      <c r="P121" s="726"/>
      <c r="Q121" s="726"/>
      <c r="R121" s="454" t="str">
        <f t="shared" si="4"/>
        <v>V</v>
      </c>
      <c r="S121" s="487"/>
      <c r="T121" s="697">
        <f>IF('Kor&amp;U95% VDC'!I12&gt;'Kor&amp;U95% VDC'!K12,'Kor&amp;U95% VDC'!I12,'Kor&amp;U95% VDC'!K12)</f>
        <v>5.7863117689304119E-2</v>
      </c>
      <c r="U121" s="698"/>
      <c r="V121" s="698"/>
      <c r="W121" s="514" t="str">
        <f t="shared" si="5"/>
        <v>V</v>
      </c>
      <c r="X121" s="337"/>
    </row>
    <row r="122" spans="1:24" x14ac:dyDescent="0.3">
      <c r="A122" s="454"/>
      <c r="B122" s="454"/>
      <c r="C122" s="454"/>
      <c r="D122" s="454"/>
      <c r="E122" s="489"/>
      <c r="F122" s="490"/>
      <c r="G122" s="490"/>
      <c r="H122" s="490"/>
      <c r="I122" s="518"/>
      <c r="J122" s="745">
        <f>'Kor&amp;U95% VDC'!F13</f>
        <v>539.9</v>
      </c>
      <c r="K122" s="746"/>
      <c r="L122" s="746"/>
      <c r="M122" s="490" t="str">
        <f>'Kor&amp;U95% VDC'!G13</f>
        <v>V</v>
      </c>
      <c r="N122" s="491"/>
      <c r="O122" s="745">
        <f>'Kor&amp;U95% VDC'!H13</f>
        <v>9.622301353738294E-2</v>
      </c>
      <c r="P122" s="746"/>
      <c r="Q122" s="746"/>
      <c r="R122" s="490" t="str">
        <f t="shared" si="4"/>
        <v>V</v>
      </c>
      <c r="S122" s="491"/>
      <c r="T122" s="699">
        <f>IF('Kor&amp;U95% VDC'!I13&gt;'Kor&amp;U95% VDC'!K13,'Kor&amp;U95% VDC'!I13,'Kor&amp;U95% VDC'!K13)</f>
        <v>5.8200411371685579E-2</v>
      </c>
      <c r="U122" s="700"/>
      <c r="V122" s="700"/>
      <c r="W122" s="513" t="str">
        <f t="shared" si="5"/>
        <v>V</v>
      </c>
      <c r="X122" s="518"/>
    </row>
    <row r="123" spans="1:24" x14ac:dyDescent="0.3">
      <c r="A123" s="454"/>
      <c r="B123" s="454"/>
      <c r="C123" s="454"/>
      <c r="D123" s="454"/>
      <c r="E123" s="483"/>
      <c r="F123" s="484"/>
      <c r="G123" s="484"/>
      <c r="H123" s="484"/>
      <c r="I123" s="517"/>
      <c r="J123" s="760">
        <f>'Kor&amp;U95% VDC'!F14</f>
        <v>100</v>
      </c>
      <c r="K123" s="761"/>
      <c r="L123" s="761"/>
      <c r="M123" s="454" t="str">
        <f>'Kor&amp;U95% VDC'!G14</f>
        <v>V</v>
      </c>
      <c r="N123" s="487"/>
      <c r="O123" s="760">
        <f>'Kor&amp;U95% VDC'!H14</f>
        <v>-6.0000000004833964E-5</v>
      </c>
      <c r="P123" s="761"/>
      <c r="Q123" s="761"/>
      <c r="R123" s="454" t="str">
        <f t="shared" si="4"/>
        <v>V</v>
      </c>
      <c r="S123" s="487"/>
      <c r="T123" s="733">
        <f>IF('Kor&amp;U95% VDC'!I14&gt;'Kor&amp;U95% VDC'!K14,'Kor&amp;U95% VDC'!I14,'Kor&amp;U95% VDC'!K14)</f>
        <v>0.57735093721312358</v>
      </c>
      <c r="U123" s="734"/>
      <c r="V123" s="734"/>
      <c r="W123" s="514" t="str">
        <f t="shared" si="5"/>
        <v>V</v>
      </c>
      <c r="X123" s="337"/>
    </row>
    <row r="124" spans="1:24" x14ac:dyDescent="0.3">
      <c r="A124" s="454"/>
      <c r="B124" s="454"/>
      <c r="C124" s="454"/>
      <c r="D124" s="454"/>
      <c r="E124" s="486"/>
      <c r="F124" s="713" t="str">
        <f>CONCATENATE('Kor&amp;U95% VDC'!A14," ",'Kor&amp;U95% VDC'!B14)</f>
        <v>1000 V</v>
      </c>
      <c r="G124" s="713"/>
      <c r="H124" s="713"/>
      <c r="I124" s="337"/>
      <c r="J124" s="723">
        <f>'Kor&amp;U95% VDC'!F15</f>
        <v>500</v>
      </c>
      <c r="K124" s="724"/>
      <c r="L124" s="724"/>
      <c r="M124" s="454" t="str">
        <f>'Kor&amp;U95% VDC'!G15</f>
        <v>V</v>
      </c>
      <c r="N124" s="487"/>
      <c r="O124" s="723">
        <f>'Kor&amp;U95% VDC'!H15</f>
        <v>-3.6999999999807187E-3</v>
      </c>
      <c r="P124" s="724"/>
      <c r="Q124" s="724"/>
      <c r="R124" s="454" t="str">
        <f t="shared" si="4"/>
        <v>V</v>
      </c>
      <c r="S124" s="487"/>
      <c r="T124" s="725">
        <f>IF('Kor&amp;U95% VDC'!I15&gt;'Kor&amp;U95% VDC'!K15,'Kor&amp;U95% VDC'!I15,'Kor&amp;U95% VDC'!K15)</f>
        <v>0.57737942443551882</v>
      </c>
      <c r="U124" s="726"/>
      <c r="V124" s="726"/>
      <c r="W124" s="514" t="str">
        <f t="shared" si="5"/>
        <v>V</v>
      </c>
      <c r="X124" s="337"/>
    </row>
    <row r="125" spans="1:24" x14ac:dyDescent="0.3">
      <c r="A125" s="454"/>
      <c r="B125" s="454"/>
      <c r="C125" s="454"/>
      <c r="D125" s="454"/>
      <c r="E125" s="489"/>
      <c r="F125" s="490"/>
      <c r="G125" s="490"/>
      <c r="H125" s="490"/>
      <c r="I125" s="518"/>
      <c r="J125" s="772">
        <f>'Kor&amp;U95% VDC'!F16</f>
        <v>900</v>
      </c>
      <c r="K125" s="773"/>
      <c r="L125" s="773"/>
      <c r="M125" s="454" t="str">
        <f>'Kor&amp;U95% VDC'!G16</f>
        <v>V</v>
      </c>
      <c r="N125" s="491"/>
      <c r="O125" s="772">
        <f>'Kor&amp;U95% VDC'!H16</f>
        <v>-5.3959766385105468E-3</v>
      </c>
      <c r="P125" s="773"/>
      <c r="Q125" s="773"/>
      <c r="R125" s="490" t="str">
        <f t="shared" si="4"/>
        <v>V</v>
      </c>
      <c r="S125" s="491"/>
      <c r="T125" s="745">
        <f>IF('Kor&amp;U95% VDC'!I16&gt;'Kor&amp;U95% VDC'!K16,'Kor&amp;U95% VDC'!I16,'Kor&amp;U95% VDC'!K16)</f>
        <v>0.57741786652262717</v>
      </c>
      <c r="U125" s="746"/>
      <c r="V125" s="746"/>
      <c r="W125" s="513" t="str">
        <f t="shared" si="5"/>
        <v>V</v>
      </c>
      <c r="X125" s="518"/>
    </row>
    <row r="126" spans="1:24" x14ac:dyDescent="0.3">
      <c r="A126" s="454"/>
      <c r="B126" s="454"/>
      <c r="C126" s="454"/>
      <c r="D126" s="454"/>
      <c r="F126" s="484"/>
      <c r="G126" s="484"/>
      <c r="H126" s="484"/>
      <c r="I126" s="484"/>
      <c r="J126" s="519"/>
      <c r="K126" s="519"/>
      <c r="L126" s="520"/>
      <c r="M126" s="520"/>
      <c r="N126" s="484"/>
      <c r="O126" s="484"/>
      <c r="P126" s="519"/>
      <c r="Q126" s="520"/>
      <c r="R126" s="520"/>
      <c r="S126" s="484"/>
      <c r="T126" s="484"/>
      <c r="U126" s="516"/>
      <c r="V126" s="516"/>
      <c r="W126" s="515"/>
      <c r="X126" s="515"/>
    </row>
    <row r="127" spans="1:24" x14ac:dyDescent="0.3">
      <c r="A127" s="454"/>
      <c r="B127" s="454"/>
      <c r="C127" s="454"/>
      <c r="D127" s="454"/>
      <c r="F127" s="454"/>
      <c r="G127" s="454"/>
      <c r="H127" s="454"/>
      <c r="I127" s="454"/>
      <c r="L127" s="531"/>
      <c r="M127" s="531"/>
      <c r="N127" s="454"/>
      <c r="O127" s="454"/>
      <c r="Q127" s="531"/>
      <c r="R127" s="531"/>
      <c r="S127" s="454"/>
      <c r="T127" s="454"/>
      <c r="U127" s="530"/>
      <c r="V127" s="530"/>
      <c r="W127" s="514"/>
      <c r="X127" s="514"/>
    </row>
    <row r="128" spans="1:24" x14ac:dyDescent="0.3">
      <c r="A128" s="454"/>
      <c r="B128" s="454"/>
      <c r="C128" s="454"/>
      <c r="D128" s="454"/>
      <c r="E128" s="717" t="s">
        <v>620</v>
      </c>
      <c r="F128" s="718"/>
      <c r="G128" s="718"/>
      <c r="H128" s="718"/>
      <c r="I128" s="718"/>
      <c r="J128" s="718"/>
      <c r="K128" s="718"/>
      <c r="L128" s="718"/>
      <c r="M128" s="718"/>
      <c r="N128" s="718"/>
      <c r="O128" s="718"/>
      <c r="P128" s="718"/>
      <c r="Q128" s="718"/>
      <c r="R128" s="718"/>
      <c r="S128" s="718"/>
      <c r="T128" s="718"/>
      <c r="U128" s="718"/>
      <c r="V128" s="718"/>
      <c r="W128" s="718"/>
      <c r="X128" s="719"/>
    </row>
    <row r="129" spans="1:24" x14ac:dyDescent="0.3">
      <c r="A129" s="454"/>
      <c r="B129" s="454"/>
      <c r="C129" s="454"/>
      <c r="D129" s="454"/>
      <c r="E129" s="720"/>
      <c r="F129" s="721"/>
      <c r="G129" s="721"/>
      <c r="H129" s="721"/>
      <c r="I129" s="721"/>
      <c r="J129" s="721"/>
      <c r="K129" s="721"/>
      <c r="L129" s="721"/>
      <c r="M129" s="721"/>
      <c r="N129" s="721"/>
      <c r="O129" s="721"/>
      <c r="P129" s="721"/>
      <c r="Q129" s="721"/>
      <c r="R129" s="721"/>
      <c r="S129" s="721"/>
      <c r="T129" s="721"/>
      <c r="U129" s="721"/>
      <c r="V129" s="721"/>
      <c r="W129" s="721"/>
      <c r="X129" s="722"/>
    </row>
    <row r="130" spans="1:24" x14ac:dyDescent="0.3">
      <c r="A130" s="454"/>
      <c r="B130" s="454"/>
      <c r="C130" s="454"/>
      <c r="D130" s="454"/>
      <c r="E130" s="751" t="s">
        <v>609</v>
      </c>
      <c r="F130" s="752"/>
      <c r="G130" s="752"/>
      <c r="H130" s="752"/>
      <c r="I130" s="753"/>
      <c r="J130" s="737" t="s">
        <v>3</v>
      </c>
      <c r="K130" s="738"/>
      <c r="L130" s="738"/>
      <c r="M130" s="738"/>
      <c r="N130" s="739"/>
      <c r="O130" s="737" t="s">
        <v>4</v>
      </c>
      <c r="P130" s="738"/>
      <c r="Q130" s="738"/>
      <c r="R130" s="738"/>
      <c r="S130" s="739"/>
      <c r="T130" s="737" t="s">
        <v>610</v>
      </c>
      <c r="U130" s="738"/>
      <c r="V130" s="738"/>
      <c r="W130" s="738"/>
      <c r="X130" s="739"/>
    </row>
    <row r="131" spans="1:24" x14ac:dyDescent="0.3">
      <c r="A131" s="454"/>
      <c r="B131" s="454"/>
      <c r="C131" s="454"/>
      <c r="D131" s="454"/>
      <c r="E131" s="754"/>
      <c r="F131" s="755"/>
      <c r="G131" s="755"/>
      <c r="H131" s="755"/>
      <c r="I131" s="756"/>
      <c r="J131" s="774"/>
      <c r="K131" s="775"/>
      <c r="L131" s="775"/>
      <c r="M131" s="775"/>
      <c r="N131" s="776"/>
      <c r="O131" s="774"/>
      <c r="P131" s="775"/>
      <c r="Q131" s="775"/>
      <c r="R131" s="775"/>
      <c r="S131" s="776"/>
      <c r="T131" s="740"/>
      <c r="U131" s="741"/>
      <c r="V131" s="741"/>
      <c r="W131" s="741"/>
      <c r="X131" s="742"/>
    </row>
    <row r="132" spans="1:24" x14ac:dyDescent="0.3">
      <c r="A132" s="454"/>
      <c r="B132" s="454"/>
      <c r="C132" s="454"/>
      <c r="D132" s="454"/>
      <c r="E132" s="483"/>
      <c r="F132" s="484"/>
      <c r="G132" s="484"/>
      <c r="H132" s="484"/>
      <c r="I132" s="517"/>
      <c r="J132" s="693">
        <f>'Kor&amp;U95% IAC'!H2</f>
        <v>6.02</v>
      </c>
      <c r="K132" s="694"/>
      <c r="L132" s="694"/>
      <c r="M132" s="515" t="str">
        <f>'Kor&amp;U95% IAC'!I2</f>
        <v>mA</v>
      </c>
      <c r="N132" s="485"/>
      <c r="O132" s="693">
        <f>'Kor&amp;U95% IAC'!J2</f>
        <v>-1.9737313432835357E-2</v>
      </c>
      <c r="P132" s="694"/>
      <c r="Q132" s="694"/>
      <c r="R132" s="515" t="str">
        <f>M132</f>
        <v>mA</v>
      </c>
      <c r="S132" s="485"/>
      <c r="T132" s="695">
        <f>IF('Kor&amp;U95% IAC'!K2&gt;'Kor&amp;U95% IAC'!M2,'Kor&amp;U95% IAC'!K2,'Kor&amp;U95% IAC'!M2)</f>
        <v>9.0000000000000011E-3</v>
      </c>
      <c r="U132" s="696"/>
      <c r="V132" s="696"/>
      <c r="W132" s="515" t="str">
        <f>R132</f>
        <v>mA</v>
      </c>
      <c r="X132" s="517"/>
    </row>
    <row r="133" spans="1:24" x14ac:dyDescent="0.3">
      <c r="A133" s="454"/>
      <c r="B133" s="454"/>
      <c r="C133" s="454"/>
      <c r="D133" s="454"/>
      <c r="E133" s="486"/>
      <c r="F133" s="713" t="str">
        <f>CONCATENATE('Kor&amp;U95% IAC'!C2," ",'Kor&amp;U95% IAC'!D2)</f>
        <v>50 Hz</v>
      </c>
      <c r="G133" s="713"/>
      <c r="H133" s="713"/>
      <c r="I133" s="337"/>
      <c r="J133" s="697">
        <f>'Kor&amp;U95% IAC'!H3</f>
        <v>30.059999999999995</v>
      </c>
      <c r="K133" s="698"/>
      <c r="L133" s="698"/>
      <c r="M133" s="514" t="str">
        <f>'Kor&amp;U95% IAC'!I3</f>
        <v>mA</v>
      </c>
      <c r="N133" s="522"/>
      <c r="O133" s="697">
        <f>'Kor&amp;U95% IAC'!J3</f>
        <v>-5.4511443315732322E-2</v>
      </c>
      <c r="P133" s="698"/>
      <c r="Q133" s="698"/>
      <c r="R133" s="514" t="str">
        <f t="shared" ref="R133:R143" si="6">M133</f>
        <v>mA</v>
      </c>
      <c r="S133" s="522"/>
      <c r="T133" s="731">
        <f>IF('Kor&amp;U95% IAC'!K3&gt;'Kor&amp;U95% IAC'!M3,'Kor&amp;U95% IAC'!K3,'Kor&amp;U95% IAC'!M3)</f>
        <v>4.4999999999999998E-2</v>
      </c>
      <c r="U133" s="732"/>
      <c r="V133" s="732"/>
      <c r="W133" s="514" t="str">
        <f t="shared" ref="W133:W143" si="7">R133</f>
        <v>mA</v>
      </c>
      <c r="X133" s="337"/>
    </row>
    <row r="134" spans="1:24" x14ac:dyDescent="0.3">
      <c r="A134" s="454"/>
      <c r="B134" s="454"/>
      <c r="C134" s="454"/>
      <c r="D134" s="454"/>
      <c r="E134" s="489"/>
      <c r="F134" s="490"/>
      <c r="G134" s="490"/>
      <c r="H134" s="490"/>
      <c r="I134" s="518"/>
      <c r="J134" s="699">
        <f>'Kor&amp;U95% IAC'!H4</f>
        <v>54.05</v>
      </c>
      <c r="K134" s="700"/>
      <c r="L134" s="700"/>
      <c r="M134" s="513" t="str">
        <f>'Kor&amp;U95% IAC'!I4</f>
        <v>mA</v>
      </c>
      <c r="N134" s="521"/>
      <c r="O134" s="699">
        <f>'Kor&amp;U95% IAC'!J4</f>
        <v>-5.0373134328353331E-2</v>
      </c>
      <c r="P134" s="700"/>
      <c r="Q134" s="700"/>
      <c r="R134" s="513" t="str">
        <f t="shared" si="6"/>
        <v>mA</v>
      </c>
      <c r="S134" s="521"/>
      <c r="T134" s="699">
        <f>IF('Kor&amp;U95% IAC'!K4&gt;'Kor&amp;U95% IAC'!M4,'Kor&amp;U95% IAC'!K4,'Kor&amp;U95% IAC'!M4)</f>
        <v>0.108</v>
      </c>
      <c r="U134" s="700"/>
      <c r="V134" s="700"/>
      <c r="W134" s="514" t="str">
        <f t="shared" si="7"/>
        <v>mA</v>
      </c>
      <c r="X134" s="518"/>
    </row>
    <row r="135" spans="1:24" x14ac:dyDescent="0.3">
      <c r="A135" s="454"/>
      <c r="B135" s="454"/>
      <c r="C135" s="454"/>
      <c r="D135" s="482"/>
      <c r="E135" s="486"/>
      <c r="F135" s="454"/>
      <c r="G135" s="454"/>
      <c r="H135" s="454"/>
      <c r="I135" s="337"/>
      <c r="J135" s="733">
        <f>'Kor&amp;U95% IAC'!H5</f>
        <v>60.2</v>
      </c>
      <c r="K135" s="734"/>
      <c r="L135" s="734"/>
      <c r="M135" s="514" t="str">
        <f>'Kor&amp;U95% IAC'!I5</f>
        <v>mA</v>
      </c>
      <c r="N135" s="487"/>
      <c r="O135" s="733">
        <f>'Kor&amp;U95% IAC'!J5</f>
        <v>-0.20019402985074919</v>
      </c>
      <c r="P135" s="734"/>
      <c r="Q135" s="734"/>
      <c r="R135" s="514" t="str">
        <f t="shared" si="6"/>
        <v>mA</v>
      </c>
      <c r="S135" s="487"/>
      <c r="T135" s="693">
        <f>IF('Kor&amp;U95% IAC'!K5&gt;'Kor&amp;U95% IAC'!M5,'Kor&amp;U95% IAC'!K5,'Kor&amp;U95% IAC'!M5)</f>
        <v>0.12</v>
      </c>
      <c r="U135" s="694"/>
      <c r="V135" s="694"/>
      <c r="W135" s="515" t="str">
        <f t="shared" si="7"/>
        <v>mA</v>
      </c>
      <c r="X135" s="337"/>
    </row>
    <row r="136" spans="1:24" ht="15" customHeight="1" x14ac:dyDescent="0.3">
      <c r="A136" s="454"/>
      <c r="B136" s="454"/>
      <c r="C136" s="454"/>
      <c r="D136" s="454"/>
      <c r="E136" s="486"/>
      <c r="F136" s="713" t="str">
        <f>CONCATENATE('Kor&amp;U95% IAC'!C5," ",'Kor&amp;U95% IAC'!D5)</f>
        <v>50 Hz</v>
      </c>
      <c r="G136" s="713"/>
      <c r="H136" s="713"/>
      <c r="I136" s="337"/>
      <c r="J136" s="725">
        <f>'Kor&amp;U95% IAC'!H6</f>
        <v>300.39999999999998</v>
      </c>
      <c r="K136" s="726"/>
      <c r="L136" s="726"/>
      <c r="M136" s="514" t="str">
        <f>'Kor&amp;U95% IAC'!I6</f>
        <v>mA</v>
      </c>
      <c r="N136" s="522"/>
      <c r="O136" s="725">
        <f>'Kor&amp;U95% IAC'!J6</f>
        <v>-0.39102954878967466</v>
      </c>
      <c r="P136" s="726"/>
      <c r="Q136" s="726"/>
      <c r="R136" s="514" t="str">
        <f t="shared" si="6"/>
        <v>mA</v>
      </c>
      <c r="S136" s="522"/>
      <c r="T136" s="697">
        <f>IF('Kor&amp;U95% IAC'!K6&gt;'Kor&amp;U95% IAC'!M6,'Kor&amp;U95% IAC'!K6,'Kor&amp;U95% IAC'!M6)</f>
        <v>0.6</v>
      </c>
      <c r="U136" s="698"/>
      <c r="V136" s="698"/>
      <c r="W136" s="514" t="str">
        <f t="shared" si="7"/>
        <v>mA</v>
      </c>
      <c r="X136" s="337"/>
    </row>
    <row r="137" spans="1:24" x14ac:dyDescent="0.3">
      <c r="A137" s="454"/>
      <c r="B137" s="454"/>
      <c r="C137" s="454"/>
      <c r="D137" s="454"/>
      <c r="E137" s="489"/>
      <c r="F137" s="490"/>
      <c r="G137" s="490"/>
      <c r="H137" s="490"/>
      <c r="I137" s="518"/>
      <c r="J137" s="745">
        <f>'Kor&amp;U95% IAC'!H7</f>
        <v>540.1</v>
      </c>
      <c r="K137" s="746"/>
      <c r="L137" s="746"/>
      <c r="M137" s="513" t="str">
        <f>'Kor&amp;U95% IAC'!I7</f>
        <v>mA</v>
      </c>
      <c r="N137" s="521"/>
      <c r="O137" s="745">
        <f>'Kor&amp;U95% IAC'!J7</f>
        <v>-0.17253731343282652</v>
      </c>
      <c r="P137" s="746"/>
      <c r="Q137" s="746"/>
      <c r="R137" s="513" t="str">
        <f t="shared" si="6"/>
        <v>mA</v>
      </c>
      <c r="S137" s="521"/>
      <c r="T137" s="699">
        <f>IF('Kor&amp;U95% IAC'!K7&gt;'Kor&amp;U95% IAC'!M7,'Kor&amp;U95% IAC'!K7,'Kor&amp;U95% IAC'!M7)</f>
        <v>1.026</v>
      </c>
      <c r="U137" s="700"/>
      <c r="V137" s="700"/>
      <c r="W137" s="514" t="str">
        <f t="shared" si="7"/>
        <v>mA</v>
      </c>
      <c r="X137" s="518"/>
    </row>
    <row r="138" spans="1:24" x14ac:dyDescent="0.3">
      <c r="A138" s="454"/>
      <c r="B138" s="454"/>
      <c r="C138" s="454"/>
      <c r="D138" s="454"/>
      <c r="E138" s="483"/>
      <c r="F138" s="484"/>
      <c r="G138" s="484"/>
      <c r="H138" s="484"/>
      <c r="I138" s="517"/>
      <c r="J138" s="695">
        <f>'Kor&amp;U95% IAC'!H8</f>
        <v>0.60199999999999998</v>
      </c>
      <c r="K138" s="696"/>
      <c r="L138" s="696"/>
      <c r="M138" s="515" t="str">
        <f>'Kor&amp;U95% IAC'!I8</f>
        <v>A</v>
      </c>
      <c r="N138" s="485"/>
      <c r="O138" s="695">
        <f>'Kor&amp;U95% IAC'!J8</f>
        <v>-2.0761194029849106E-3</v>
      </c>
      <c r="P138" s="696"/>
      <c r="Q138" s="696"/>
      <c r="R138" s="515" t="str">
        <f t="shared" si="6"/>
        <v>A</v>
      </c>
      <c r="S138" s="485"/>
      <c r="T138" s="727">
        <f>IF('Kor&amp;U95% IAC'!K8&gt;'Kor&amp;U95% IAC'!M8,'Kor&amp;U95% IAC'!K8,'Kor&amp;U95% IAC'!M8)</f>
        <v>5.92181054428958E-3</v>
      </c>
      <c r="U138" s="728"/>
      <c r="V138" s="728"/>
      <c r="W138" s="515" t="str">
        <f t="shared" si="7"/>
        <v>A</v>
      </c>
      <c r="X138" s="517"/>
    </row>
    <row r="139" spans="1:24" x14ac:dyDescent="0.3">
      <c r="A139" s="454"/>
      <c r="B139" s="454"/>
      <c r="C139" s="454"/>
      <c r="D139" s="454"/>
      <c r="E139" s="486"/>
      <c r="F139" s="713" t="str">
        <f>CONCATENATE('Kor&amp;U95% IAC'!C8," ",'Kor&amp;U95% IAC'!D8)</f>
        <v>50 Hz</v>
      </c>
      <c r="G139" s="713"/>
      <c r="H139" s="713"/>
      <c r="I139" s="337"/>
      <c r="J139" s="731">
        <f>'Kor&amp;U95% IAC'!H9</f>
        <v>3.004</v>
      </c>
      <c r="K139" s="732"/>
      <c r="L139" s="732"/>
      <c r="M139" s="514" t="str">
        <f>'Kor&amp;U95% IAC'!I9</f>
        <v>A</v>
      </c>
      <c r="N139" s="522"/>
      <c r="O139" s="731">
        <f>'Kor&amp;U95% IAC'!J9</f>
        <v>-4.4743589743587719E-3</v>
      </c>
      <c r="P139" s="732"/>
      <c r="Q139" s="732"/>
      <c r="R139" s="514" t="str">
        <f t="shared" si="6"/>
        <v>A</v>
      </c>
      <c r="S139" s="522"/>
      <c r="T139" s="731">
        <f>IF('Kor&amp;U95% IAC'!K9&gt;'Kor&amp;U95% IAC'!M9,'Kor&amp;U95% IAC'!K9,'Kor&amp;U95% IAC'!M9)</f>
        <v>1.0432285327018009E-2</v>
      </c>
      <c r="U139" s="732"/>
      <c r="V139" s="732"/>
      <c r="W139" s="514" t="str">
        <f t="shared" si="7"/>
        <v>A</v>
      </c>
      <c r="X139" s="337"/>
    </row>
    <row r="140" spans="1:24" x14ac:dyDescent="0.3">
      <c r="A140" s="454"/>
      <c r="B140" s="454"/>
      <c r="C140" s="454"/>
      <c r="D140" s="454"/>
      <c r="E140" s="489"/>
      <c r="F140" s="490"/>
      <c r="G140" s="490"/>
      <c r="H140" s="490"/>
      <c r="I140" s="518"/>
      <c r="J140" s="749">
        <f>'Kor&amp;U95% IAC'!H10</f>
        <v>5.4029999999999996</v>
      </c>
      <c r="K140" s="750"/>
      <c r="L140" s="750"/>
      <c r="M140" s="513" t="str">
        <f>'Kor&amp;U95% IAC'!I10</f>
        <v>A</v>
      </c>
      <c r="N140" s="521"/>
      <c r="O140" s="749">
        <f>'Kor&amp;U95% IAC'!J10</f>
        <v>-3.9974358974355084E-3</v>
      </c>
      <c r="P140" s="750"/>
      <c r="Q140" s="750"/>
      <c r="R140" s="513" t="str">
        <f t="shared" si="6"/>
        <v>A</v>
      </c>
      <c r="S140" s="521"/>
      <c r="T140" s="749">
        <f>IF('Kor&amp;U95% IAC'!K10&gt;'Kor&amp;U95% IAC'!M10,'Kor&amp;U95% IAC'!K10,'Kor&amp;U95% IAC'!M10)</f>
        <v>1.8069977468458287E-2</v>
      </c>
      <c r="U140" s="750"/>
      <c r="V140" s="750"/>
      <c r="W140" s="514" t="str">
        <f t="shared" si="7"/>
        <v>A</v>
      </c>
      <c r="X140" s="518"/>
    </row>
    <row r="141" spans="1:24" x14ac:dyDescent="0.3">
      <c r="A141" s="454"/>
      <c r="B141" s="454"/>
      <c r="C141" s="454"/>
      <c r="D141" s="454"/>
      <c r="E141" s="486"/>
      <c r="F141" s="454"/>
      <c r="G141" s="454"/>
      <c r="H141" s="454"/>
      <c r="I141" s="337"/>
      <c r="J141" s="693">
        <f>'Kor&amp;U95% IAC'!H11</f>
        <v>1.01</v>
      </c>
      <c r="K141" s="694"/>
      <c r="L141" s="694"/>
      <c r="M141" s="514" t="str">
        <f>'Kor&amp;U95% IAC'!I11</f>
        <v>A</v>
      </c>
      <c r="N141" s="487"/>
      <c r="O141" s="693">
        <f>'Kor&amp;U95% IAC'!J11</f>
        <v>-1.0099999999999998E-2</v>
      </c>
      <c r="P141" s="694"/>
      <c r="Q141" s="694"/>
      <c r="R141" s="514" t="str">
        <f t="shared" si="6"/>
        <v>A</v>
      </c>
      <c r="S141" s="487"/>
      <c r="T141" s="695">
        <f>IF('Kor&amp;U95% IAC'!K11&gt;'Kor&amp;U95% IAC'!M11,'Kor&amp;U95% IAC'!K11,'Kor&amp;U95% IAC'!M11)</f>
        <v>1.9E-3</v>
      </c>
      <c r="U141" s="696"/>
      <c r="V141" s="696"/>
      <c r="W141" s="515" t="str">
        <f t="shared" si="7"/>
        <v>A</v>
      </c>
      <c r="X141" s="337"/>
    </row>
    <row r="142" spans="1:24" x14ac:dyDescent="0.3">
      <c r="A142" s="454"/>
      <c r="B142" s="454"/>
      <c r="C142" s="454"/>
      <c r="D142" s="454"/>
      <c r="E142" s="486"/>
      <c r="F142" s="713" t="str">
        <f>CONCATENATE('Kor&amp;U95% IAC'!C11," ",'Kor&amp;U95% IAC'!D11)</f>
        <v>50 Hz</v>
      </c>
      <c r="G142" s="713"/>
      <c r="H142" s="713"/>
      <c r="I142" s="337"/>
      <c r="J142" s="697">
        <f>'Kor&amp;U95% IAC'!H12</f>
        <v>5.01</v>
      </c>
      <c r="K142" s="698"/>
      <c r="L142" s="698"/>
      <c r="M142" s="514" t="str">
        <f>'Kor&amp;U95% IAC'!I12</f>
        <v>A</v>
      </c>
      <c r="N142" s="522"/>
      <c r="O142" s="697">
        <f>'Kor&amp;U95% IAC'!J12</f>
        <v>-1.0910256410256558E-2</v>
      </c>
      <c r="P142" s="698"/>
      <c r="Q142" s="698"/>
      <c r="R142" s="514" t="str">
        <f t="shared" si="6"/>
        <v>A</v>
      </c>
      <c r="S142" s="522"/>
      <c r="T142" s="731">
        <f>IF('Kor&amp;U95% IAC'!K12&gt;'Kor&amp;U95% IAC'!M12,'Kor&amp;U95% IAC'!K12,'Kor&amp;U95% IAC'!M12)</f>
        <v>1.7136060393618011E-2</v>
      </c>
      <c r="U142" s="732"/>
      <c r="V142" s="732"/>
      <c r="W142" s="514" t="str">
        <f t="shared" si="7"/>
        <v>A</v>
      </c>
      <c r="X142" s="337"/>
    </row>
    <row r="143" spans="1:24" x14ac:dyDescent="0.3">
      <c r="A143" s="454"/>
      <c r="B143" s="454"/>
      <c r="C143" s="454"/>
      <c r="D143" s="454"/>
      <c r="E143" s="489"/>
      <c r="F143" s="490"/>
      <c r="G143" s="490"/>
      <c r="H143" s="490"/>
      <c r="I143" s="518"/>
      <c r="J143" s="699">
        <f>'Kor&amp;U95% IAC'!H13</f>
        <v>8.99</v>
      </c>
      <c r="K143" s="700"/>
      <c r="L143" s="700"/>
      <c r="M143" s="513" t="str">
        <f>'Kor&amp;U95% IAC'!I13</f>
        <v>A</v>
      </c>
      <c r="N143" s="521"/>
      <c r="O143" s="699">
        <f>'Kor&amp;U95% IAC'!J13</f>
        <v>8.2179487179487865E-3</v>
      </c>
      <c r="P143" s="700"/>
      <c r="Q143" s="700"/>
      <c r="R143" s="513" t="str">
        <f t="shared" si="6"/>
        <v>A</v>
      </c>
      <c r="S143" s="521"/>
      <c r="T143" s="749">
        <f>IF('Kor&amp;U95% IAC'!K13&gt;'Kor&amp;U95% IAC'!M13,'Kor&amp;U95% IAC'!K13,'Kor&amp;U95% IAC'!M13)</f>
        <v>1.7103116593976498E-2</v>
      </c>
      <c r="U143" s="750"/>
      <c r="V143" s="750"/>
      <c r="W143" s="513" t="str">
        <f t="shared" si="7"/>
        <v>A</v>
      </c>
      <c r="X143" s="518"/>
    </row>
    <row r="144" spans="1:24" x14ac:dyDescent="0.3">
      <c r="A144" s="454"/>
      <c r="B144" s="454"/>
      <c r="C144" s="454"/>
      <c r="D144" s="454"/>
    </row>
    <row r="145" spans="1:24" x14ac:dyDescent="0.3">
      <c r="A145" s="454"/>
      <c r="B145" s="454"/>
      <c r="C145" s="454"/>
      <c r="D145" s="454"/>
    </row>
    <row r="146" spans="1:24" x14ac:dyDescent="0.3">
      <c r="A146" s="454"/>
      <c r="B146" s="454"/>
      <c r="C146" s="454"/>
      <c r="D146" s="454"/>
    </row>
    <row r="147" spans="1:24" x14ac:dyDescent="0.3">
      <c r="A147" s="454"/>
      <c r="B147" s="454"/>
      <c r="C147" s="454"/>
      <c r="D147" s="454"/>
    </row>
    <row r="148" spans="1:24" x14ac:dyDescent="0.3">
      <c r="A148" s="454"/>
      <c r="B148" s="454"/>
      <c r="C148" s="454"/>
      <c r="D148" s="454"/>
    </row>
    <row r="149" spans="1:24" x14ac:dyDescent="0.3">
      <c r="A149" s="454"/>
      <c r="B149" s="454"/>
      <c r="C149" s="454"/>
      <c r="D149" s="454"/>
      <c r="E149" s="454"/>
    </row>
    <row r="150" spans="1:24" x14ac:dyDescent="0.3">
      <c r="A150" s="454"/>
      <c r="B150" s="454"/>
      <c r="C150" s="454"/>
      <c r="D150" s="454"/>
      <c r="E150" s="454"/>
    </row>
    <row r="151" spans="1:24" x14ac:dyDescent="0.3">
      <c r="A151" s="454"/>
      <c r="B151" s="454"/>
      <c r="C151" s="454"/>
      <c r="D151" s="454"/>
      <c r="E151" s="454"/>
    </row>
    <row r="152" spans="1:24" ht="93.75" customHeight="1" x14ac:dyDescent="0.3">
      <c r="A152" s="454"/>
      <c r="B152" s="454"/>
      <c r="C152" s="454"/>
      <c r="D152" s="454"/>
      <c r="E152" s="454"/>
      <c r="F152" s="454"/>
      <c r="G152" s="454"/>
      <c r="H152" s="454"/>
      <c r="I152" s="454"/>
      <c r="J152" s="454"/>
      <c r="K152" s="454"/>
      <c r="L152" s="454"/>
      <c r="M152" s="454"/>
      <c r="N152" s="454"/>
      <c r="O152" s="454"/>
      <c r="P152" s="454"/>
      <c r="Q152" s="454"/>
      <c r="R152" s="454"/>
      <c r="S152" s="454"/>
      <c r="T152" s="454"/>
      <c r="U152" s="454"/>
      <c r="V152" s="454"/>
    </row>
    <row r="153" spans="1:24" ht="15" customHeight="1" x14ac:dyDescent="0.4">
      <c r="A153" s="454"/>
      <c r="B153" s="454"/>
      <c r="C153" s="454"/>
      <c r="D153" s="454"/>
      <c r="E153" s="455"/>
      <c r="F153" s="455"/>
      <c r="G153" s="454"/>
      <c r="K153" s="454"/>
      <c r="M153" s="710" t="s">
        <v>595</v>
      </c>
      <c r="N153" s="710"/>
      <c r="O153" s="710"/>
      <c r="P153" s="710"/>
      <c r="Q153" s="454" t="str">
        <f>CONCATENATE($N$4,$O$4)</f>
        <v>0092-6.1/KALIBRASI BBLM/XI/2025</v>
      </c>
      <c r="R153" s="454"/>
      <c r="S153" s="454"/>
      <c r="T153" s="454"/>
      <c r="U153" s="454"/>
      <c r="V153" s="454"/>
    </row>
    <row r="154" spans="1:24" ht="15" customHeight="1" x14ac:dyDescent="0.35">
      <c r="A154" s="454"/>
      <c r="B154" s="454"/>
      <c r="C154" s="454"/>
      <c r="D154" s="454"/>
      <c r="E154" s="456"/>
      <c r="F154" s="456"/>
      <c r="G154" s="454"/>
      <c r="K154" s="454"/>
      <c r="M154" s="711" t="s">
        <v>0</v>
      </c>
      <c r="N154" s="711"/>
      <c r="O154" s="711"/>
      <c r="P154" s="711"/>
      <c r="Q154" s="510" t="str">
        <f>Data!C$15</f>
        <v>K560</v>
      </c>
      <c r="R154" s="454"/>
      <c r="S154" s="454"/>
      <c r="T154" s="454"/>
      <c r="U154" s="454"/>
      <c r="V154" s="454"/>
    </row>
    <row r="155" spans="1:24" ht="15" customHeight="1" x14ac:dyDescent="0.3">
      <c r="A155" s="454"/>
      <c r="B155" s="454"/>
      <c r="C155" s="454"/>
      <c r="D155" s="454"/>
      <c r="E155" s="454"/>
      <c r="F155" s="454"/>
      <c r="G155" s="454"/>
      <c r="K155" s="454"/>
      <c r="M155" s="711" t="s">
        <v>596</v>
      </c>
      <c r="N155" s="711"/>
      <c r="O155" s="711"/>
      <c r="P155" s="711"/>
      <c r="Q155" s="480" t="str">
        <f>CONCATENATE(INT(ROW()/49)+1, " dari ",T$33)</f>
        <v>4 dari 4</v>
      </c>
      <c r="R155" s="454"/>
      <c r="S155" s="454"/>
      <c r="T155" s="454"/>
      <c r="U155" s="454"/>
      <c r="V155" s="454"/>
    </row>
    <row r="156" spans="1:24" ht="15" customHeight="1" x14ac:dyDescent="0.3">
      <c r="A156" s="454"/>
      <c r="B156" s="454"/>
      <c r="C156" s="454"/>
      <c r="D156" s="454"/>
      <c r="E156" s="454"/>
      <c r="F156" s="454"/>
      <c r="G156" s="454"/>
      <c r="K156" s="454"/>
      <c r="M156" s="508"/>
      <c r="N156" s="508"/>
      <c r="O156" s="508"/>
      <c r="P156" s="508"/>
      <c r="Q156" s="480"/>
      <c r="R156" s="454"/>
      <c r="S156" s="454"/>
      <c r="T156" s="454"/>
      <c r="U156" s="454"/>
      <c r="V156" s="454"/>
    </row>
    <row r="157" spans="1:24" x14ac:dyDescent="0.3">
      <c r="A157" s="454"/>
      <c r="B157" s="454"/>
      <c r="C157" s="454"/>
      <c r="D157" s="454"/>
      <c r="E157" s="717" t="s">
        <v>612</v>
      </c>
      <c r="F157" s="718"/>
      <c r="G157" s="718"/>
      <c r="H157" s="718"/>
      <c r="I157" s="718"/>
      <c r="J157" s="718"/>
      <c r="K157" s="718"/>
      <c r="L157" s="718"/>
      <c r="M157" s="718"/>
      <c r="N157" s="718"/>
      <c r="O157" s="718"/>
      <c r="P157" s="718"/>
      <c r="Q157" s="718"/>
      <c r="R157" s="718"/>
      <c r="S157" s="718"/>
      <c r="T157" s="718"/>
      <c r="U157" s="718"/>
      <c r="V157" s="718"/>
      <c r="W157" s="718"/>
      <c r="X157" s="719"/>
    </row>
    <row r="158" spans="1:24" x14ac:dyDescent="0.3">
      <c r="A158" s="454"/>
      <c r="B158" s="454"/>
      <c r="C158" s="454"/>
      <c r="D158" s="454"/>
      <c r="E158" s="720"/>
      <c r="F158" s="721"/>
      <c r="G158" s="721"/>
      <c r="H158" s="721"/>
      <c r="I158" s="721"/>
      <c r="J158" s="721"/>
      <c r="K158" s="721"/>
      <c r="L158" s="721"/>
      <c r="M158" s="721"/>
      <c r="N158" s="721"/>
      <c r="O158" s="721"/>
      <c r="P158" s="721"/>
      <c r="Q158" s="721"/>
      <c r="R158" s="721"/>
      <c r="S158" s="721"/>
      <c r="T158" s="721"/>
      <c r="U158" s="721"/>
      <c r="V158" s="721"/>
      <c r="W158" s="721"/>
      <c r="X158" s="722"/>
    </row>
    <row r="159" spans="1:24" x14ac:dyDescent="0.3">
      <c r="A159" s="454"/>
      <c r="B159" s="454"/>
      <c r="C159" s="454"/>
      <c r="D159" s="454"/>
      <c r="E159" s="735" t="s">
        <v>609</v>
      </c>
      <c r="F159" s="735"/>
      <c r="G159" s="735"/>
      <c r="H159" s="735"/>
      <c r="I159" s="735"/>
      <c r="J159" s="743" t="s">
        <v>3</v>
      </c>
      <c r="K159" s="743"/>
      <c r="L159" s="743"/>
      <c r="M159" s="743"/>
      <c r="N159" s="743"/>
      <c r="O159" s="743" t="s">
        <v>4</v>
      </c>
      <c r="P159" s="743"/>
      <c r="Q159" s="743"/>
      <c r="R159" s="743"/>
      <c r="S159" s="743"/>
      <c r="T159" s="743" t="s">
        <v>610</v>
      </c>
      <c r="U159" s="743"/>
      <c r="V159" s="743"/>
      <c r="W159" s="743"/>
      <c r="X159" s="743"/>
    </row>
    <row r="160" spans="1:24" x14ac:dyDescent="0.3">
      <c r="A160" s="454"/>
      <c r="B160" s="454"/>
      <c r="C160" s="454"/>
      <c r="D160" s="454"/>
      <c r="E160" s="736"/>
      <c r="F160" s="736"/>
      <c r="G160" s="736"/>
      <c r="H160" s="736"/>
      <c r="I160" s="736"/>
      <c r="J160" s="744"/>
      <c r="K160" s="744"/>
      <c r="L160" s="744"/>
      <c r="M160" s="744"/>
      <c r="N160" s="744"/>
      <c r="O160" s="744"/>
      <c r="P160" s="744"/>
      <c r="Q160" s="744"/>
      <c r="R160" s="744"/>
      <c r="S160" s="744"/>
      <c r="T160" s="744"/>
      <c r="U160" s="744"/>
      <c r="V160" s="744"/>
      <c r="W160" s="744"/>
      <c r="X160" s="744"/>
    </row>
    <row r="161" spans="1:24" x14ac:dyDescent="0.3">
      <c r="A161" s="454"/>
      <c r="B161" s="454"/>
      <c r="C161" s="454"/>
      <c r="D161" s="454"/>
      <c r="E161" s="486"/>
      <c r="F161" s="454"/>
      <c r="G161" s="454"/>
      <c r="H161" s="454"/>
      <c r="I161" s="337"/>
      <c r="J161" s="693">
        <f>'Kor&amp;U95% IDC'!F2</f>
        <v>6</v>
      </c>
      <c r="K161" s="694"/>
      <c r="L161" s="694"/>
      <c r="M161" s="515" t="str">
        <f>'Kor&amp;U95% IDC'!G2</f>
        <v>mA</v>
      </c>
      <c r="N161" s="485"/>
      <c r="O161" s="693">
        <f>'Kor&amp;U95% IDC'!H2</f>
        <v>-7.994057724935999E-5</v>
      </c>
      <c r="P161" s="694"/>
      <c r="Q161" s="694"/>
      <c r="R161" s="515" t="str">
        <f>M161</f>
        <v>mA</v>
      </c>
      <c r="S161" s="484"/>
      <c r="T161" s="695">
        <f>IF('Kor&amp;U95% IDC'!I2&gt;'Kor&amp;U95% IDC'!K2,'Kor&amp;U95% IDC'!I2,'Kor&amp;U95% IDC'!K2)</f>
        <v>5.7769907375310762E-3</v>
      </c>
      <c r="U161" s="696"/>
      <c r="V161" s="696"/>
      <c r="W161" s="514" t="str">
        <f>R161</f>
        <v>mA</v>
      </c>
      <c r="X161" s="337"/>
    </row>
    <row r="162" spans="1:24" x14ac:dyDescent="0.3">
      <c r="A162" s="454"/>
      <c r="B162" s="454"/>
      <c r="C162" s="454"/>
      <c r="D162" s="454"/>
      <c r="E162" s="486"/>
      <c r="F162" s="713" t="str">
        <f>CONCATENATE('Kor&amp;U95% IDC'!A2," ",'Kor&amp;U95% IDC'!B2)</f>
        <v>60 mA</v>
      </c>
      <c r="G162" s="713"/>
      <c r="H162" s="713"/>
      <c r="I162" s="337"/>
      <c r="J162" s="697">
        <f>'Kor&amp;U95% IDC'!F3</f>
        <v>29.99</v>
      </c>
      <c r="K162" s="698"/>
      <c r="L162" s="698"/>
      <c r="M162" s="514" t="str">
        <f>'Kor&amp;U95% IDC'!G3</f>
        <v>mA</v>
      </c>
      <c r="N162" s="487"/>
      <c r="O162" s="697">
        <f>'Kor&amp;U95% IDC'!H3</f>
        <v>9.8448462984812579E-3</v>
      </c>
      <c r="P162" s="698"/>
      <c r="Q162" s="698"/>
      <c r="R162" s="514" t="str">
        <f>M162</f>
        <v>mA</v>
      </c>
      <c r="S162" s="454"/>
      <c r="T162" s="731">
        <f>IF('Kor&amp;U95% IDC'!I3&gt;'Kor&amp;U95% IDC'!K3,'Kor&amp;U95% IDC'!I3,'Kor&amp;U95% IDC'!K3)</f>
        <v>8.4000000000000012E-3</v>
      </c>
      <c r="U162" s="732"/>
      <c r="V162" s="732"/>
      <c r="W162" s="454" t="str">
        <f>R162</f>
        <v>mA</v>
      </c>
      <c r="X162" s="337"/>
    </row>
    <row r="163" spans="1:24" x14ac:dyDescent="0.3">
      <c r="A163" s="454"/>
      <c r="B163" s="454"/>
      <c r="C163" s="454"/>
      <c r="D163" s="454"/>
      <c r="E163" s="489"/>
      <c r="F163" s="490"/>
      <c r="G163" s="490"/>
      <c r="H163" s="490"/>
      <c r="I163" s="518"/>
      <c r="J163" s="699">
        <f>'Kor&amp;U95% IDC'!F4</f>
        <v>53.989999999999995</v>
      </c>
      <c r="K163" s="700"/>
      <c r="L163" s="700"/>
      <c r="M163" s="513" t="str">
        <f>'Kor&amp;U95% IDC'!G4</f>
        <v>mA</v>
      </c>
      <c r="N163" s="491"/>
      <c r="O163" s="699">
        <f>'Kor&amp;U95% IDC'!H4</f>
        <v>9.0985074626885876E-3</v>
      </c>
      <c r="P163" s="700"/>
      <c r="Q163" s="700"/>
      <c r="R163" s="513" t="str">
        <f>M163</f>
        <v>mA</v>
      </c>
      <c r="S163" s="490"/>
      <c r="T163" s="749">
        <f>IF('Kor&amp;U95% IDC'!I4&gt;'Kor&amp;U95% IDC'!K4,'Kor&amp;U95% IDC'!I4,'Kor&amp;U95% IDC'!K4)</f>
        <v>2.376E-2</v>
      </c>
      <c r="U163" s="750"/>
      <c r="V163" s="750"/>
      <c r="W163" s="490" t="str">
        <f>R163</f>
        <v>mA</v>
      </c>
      <c r="X163" s="518"/>
    </row>
    <row r="164" spans="1:24" ht="15" customHeight="1" x14ac:dyDescent="0.3">
      <c r="A164" s="454"/>
      <c r="B164" s="454"/>
      <c r="C164" s="454"/>
      <c r="D164" s="454"/>
      <c r="E164" s="486"/>
      <c r="F164" s="454"/>
      <c r="G164" s="454"/>
      <c r="H164" s="454"/>
      <c r="I164" s="337"/>
      <c r="J164" s="733">
        <f>'Kor&amp;U95% IDC'!F5</f>
        <v>60</v>
      </c>
      <c r="K164" s="734"/>
      <c r="L164" s="734"/>
      <c r="M164" s="515" t="str">
        <f>'Kor&amp;U95% IDC'!G5</f>
        <v>mA</v>
      </c>
      <c r="N164" s="485"/>
      <c r="O164" s="733">
        <f>'Kor&amp;U95% IDC'!H5</f>
        <v>-1.0447761194001259E-3</v>
      </c>
      <c r="P164" s="734"/>
      <c r="Q164" s="734"/>
      <c r="R164" s="515" t="str">
        <f t="shared" ref="R164:R172" si="8">M164</f>
        <v>mA</v>
      </c>
      <c r="S164" s="484"/>
      <c r="T164" s="693">
        <f>IF('Kor&amp;U95% IDC'!I5&gt;'Kor&amp;U95% IDC'!K5,'Kor&amp;U95% IDC'!I5,'Kor&amp;U95% IDC'!K5)</f>
        <v>5.8637578585644633E-2</v>
      </c>
      <c r="U164" s="694"/>
      <c r="V164" s="694"/>
      <c r="W164" s="514" t="str">
        <f t="shared" ref="W164:W172" si="9">R164</f>
        <v>mA</v>
      </c>
      <c r="X164" s="337"/>
    </row>
    <row r="165" spans="1:24" ht="15" customHeight="1" x14ac:dyDescent="0.3">
      <c r="A165" s="454"/>
      <c r="B165" s="454"/>
      <c r="C165" s="454"/>
      <c r="D165" s="454"/>
      <c r="E165" s="486"/>
      <c r="F165" s="713" t="str">
        <f>CONCATENATE('Kor&amp;U95% IDC'!A5," ",'Kor&amp;U95% IDC'!B5)</f>
        <v>600 mA</v>
      </c>
      <c r="G165" s="713"/>
      <c r="H165" s="713"/>
      <c r="I165" s="337"/>
      <c r="J165" s="725">
        <f>'Kor&amp;U95% IDC'!F6</f>
        <v>300.10000000000002</v>
      </c>
      <c r="K165" s="726"/>
      <c r="L165" s="726"/>
      <c r="M165" s="514" t="str">
        <f>'Kor&amp;U95% IDC'!G6</f>
        <v>mA</v>
      </c>
      <c r="N165" s="487"/>
      <c r="O165" s="725">
        <f>'Kor&amp;U95% IDC'!H6</f>
        <v>-0.1450449356008221</v>
      </c>
      <c r="P165" s="726"/>
      <c r="Q165" s="726"/>
      <c r="R165" s="514" t="str">
        <f t="shared" si="8"/>
        <v>mA</v>
      </c>
      <c r="S165" s="454"/>
      <c r="T165" s="697">
        <f>IF('Kor&amp;U95% IDC'!I6&gt;'Kor&amp;U95% IDC'!K6,'Kor&amp;U95% IDC'!I6,'Kor&amp;U95% IDC'!K6)</f>
        <v>0.15222554771289926</v>
      </c>
      <c r="U165" s="698"/>
      <c r="V165" s="698"/>
      <c r="W165" s="454" t="str">
        <f t="shared" si="9"/>
        <v>mA</v>
      </c>
      <c r="X165" s="337"/>
    </row>
    <row r="166" spans="1:24" ht="15" customHeight="1" x14ac:dyDescent="0.3">
      <c r="A166" s="454"/>
      <c r="B166" s="454"/>
      <c r="C166" s="454"/>
      <c r="D166" s="454"/>
      <c r="E166" s="489"/>
      <c r="F166" s="490"/>
      <c r="G166" s="490"/>
      <c r="H166" s="490"/>
      <c r="I166" s="518"/>
      <c r="J166" s="745">
        <f>'Kor&amp;U95% IDC'!F7</f>
        <v>540.1</v>
      </c>
      <c r="K166" s="746"/>
      <c r="L166" s="746"/>
      <c r="M166" s="514" t="str">
        <f>'Kor&amp;U95% IDC'!G7</f>
        <v>mA</v>
      </c>
      <c r="N166" s="491"/>
      <c r="O166" s="745">
        <f>'Kor&amp;U95% IDC'!H7</f>
        <v>-0.18820895522389947</v>
      </c>
      <c r="P166" s="746"/>
      <c r="Q166" s="746"/>
      <c r="R166" s="514" t="str">
        <f t="shared" si="8"/>
        <v>mA</v>
      </c>
      <c r="S166" s="490"/>
      <c r="T166" s="699">
        <f>IF('Kor&amp;U95% IDC'!I7&gt;'Kor&amp;U95% IDC'!K7,'Kor&amp;U95% IDC'!I7,'Kor&amp;U95% IDC'!K7)</f>
        <v>1.5660000000000001</v>
      </c>
      <c r="U166" s="700"/>
      <c r="V166" s="700"/>
      <c r="W166" s="490" t="str">
        <f t="shared" si="9"/>
        <v>mA</v>
      </c>
      <c r="X166" s="518"/>
    </row>
    <row r="167" spans="1:24" ht="15" customHeight="1" x14ac:dyDescent="0.3">
      <c r="A167" s="454"/>
      <c r="B167" s="454"/>
      <c r="C167" s="454"/>
      <c r="D167" s="454"/>
      <c r="E167" s="486"/>
      <c r="F167" s="454"/>
      <c r="G167" s="454"/>
      <c r="H167" s="454"/>
      <c r="I167" s="337"/>
      <c r="J167" s="695">
        <f>'Kor&amp;U95% IDC'!F8</f>
        <v>0.6</v>
      </c>
      <c r="K167" s="696"/>
      <c r="L167" s="696"/>
      <c r="M167" s="515" t="str">
        <f>'Kor&amp;U95% IDC'!G8</f>
        <v>A</v>
      </c>
      <c r="N167" s="485"/>
      <c r="O167" s="695">
        <f>'Kor&amp;U95% IDC'!H8</f>
        <v>-9.6268656716302914E-5</v>
      </c>
      <c r="P167" s="696"/>
      <c r="Q167" s="696"/>
      <c r="R167" s="515" t="str">
        <f t="shared" si="8"/>
        <v>A</v>
      </c>
      <c r="S167" s="484"/>
      <c r="T167" s="727">
        <f>IF('Kor&amp;U95% IDC'!I8&gt;'Kor&amp;U95% IDC'!K8,'Kor&amp;U95% IDC'!I8,'Kor&amp;U95% IDC'!K8)</f>
        <v>1.74E-3</v>
      </c>
      <c r="U167" s="728"/>
      <c r="V167" s="728"/>
      <c r="W167" s="514" t="str">
        <f t="shared" si="9"/>
        <v>A</v>
      </c>
      <c r="X167" s="337"/>
    </row>
    <row r="168" spans="1:24" ht="15" customHeight="1" x14ac:dyDescent="0.3">
      <c r="A168" s="454"/>
      <c r="B168" s="454"/>
      <c r="C168" s="454"/>
      <c r="D168" s="454"/>
      <c r="E168" s="486"/>
      <c r="F168" s="713" t="str">
        <f>CONCATENATE('Kor&amp;U95% IDC'!A8," ",'Kor&amp;U95% IDC'!B8)</f>
        <v>6 A</v>
      </c>
      <c r="G168" s="713"/>
      <c r="H168" s="713"/>
      <c r="I168" s="337"/>
      <c r="J168" s="731">
        <f>'Kor&amp;U95% IDC'!F9</f>
        <v>2.9990000000000001</v>
      </c>
      <c r="K168" s="732"/>
      <c r="L168" s="732"/>
      <c r="M168" s="514" t="str">
        <f>'Kor&amp;U95% IDC'!G9</f>
        <v>A</v>
      </c>
      <c r="N168" s="487"/>
      <c r="O168" s="731">
        <f>'Kor&amp;U95% IDC'!H9</f>
        <v>-7.9487179487358617E-5</v>
      </c>
      <c r="P168" s="732"/>
      <c r="Q168" s="732"/>
      <c r="R168" s="514" t="str">
        <f t="shared" si="8"/>
        <v>A</v>
      </c>
      <c r="S168" s="454"/>
      <c r="T168" s="729">
        <f>IF('Kor&amp;U95% IDC'!I9&gt;'Kor&amp;U95% IDC'!K9,'Kor&amp;U95% IDC'!I9,'Kor&amp;U95% IDC'!K9)</f>
        <v>7.8326345836128575E-3</v>
      </c>
      <c r="U168" s="730"/>
      <c r="V168" s="730"/>
      <c r="W168" s="454" t="str">
        <f t="shared" si="9"/>
        <v>A</v>
      </c>
      <c r="X168" s="337"/>
    </row>
    <row r="169" spans="1:24" ht="15" customHeight="1" x14ac:dyDescent="0.3">
      <c r="A169" s="454"/>
      <c r="B169" s="454"/>
      <c r="C169" s="454"/>
      <c r="D169" s="454"/>
      <c r="E169" s="489"/>
      <c r="F169" s="490"/>
      <c r="G169" s="490"/>
      <c r="H169" s="490"/>
      <c r="I169" s="518"/>
      <c r="J169" s="749">
        <f>'Kor&amp;U95% IDC'!F10</f>
        <v>5.399</v>
      </c>
      <c r="K169" s="750"/>
      <c r="L169" s="750"/>
      <c r="M169" s="514" t="str">
        <f>'Kor&amp;U95% IDC'!G10</f>
        <v>A</v>
      </c>
      <c r="N169" s="491"/>
      <c r="O169" s="749">
        <f>'Kor&amp;U95% IDC'!H10</f>
        <v>-1.7948717948357285E-5</v>
      </c>
      <c r="P169" s="750"/>
      <c r="Q169" s="750"/>
      <c r="R169" s="514" t="str">
        <f t="shared" si="8"/>
        <v>A</v>
      </c>
      <c r="S169" s="490"/>
      <c r="T169" s="758">
        <f>IF('Kor&amp;U95% IDC'!I10&gt;'Kor&amp;U95% IDC'!K10,'Kor&amp;U95% IDC'!I10,'Kor&amp;U95% IDC'!K10)</f>
        <v>7.8230144628505024E-3</v>
      </c>
      <c r="U169" s="759"/>
      <c r="V169" s="759"/>
      <c r="W169" s="490" t="str">
        <f t="shared" si="9"/>
        <v>A</v>
      </c>
      <c r="X169" s="518"/>
    </row>
    <row r="170" spans="1:24" ht="15" customHeight="1" x14ac:dyDescent="0.3">
      <c r="A170" s="454"/>
      <c r="B170" s="454"/>
      <c r="C170" s="454"/>
      <c r="D170" s="454"/>
      <c r="E170" s="486"/>
      <c r="F170" s="454"/>
      <c r="G170" s="454"/>
      <c r="H170" s="454"/>
      <c r="I170" s="337"/>
      <c r="J170" s="693">
        <f>'Kor&amp;U95% IDC'!F11</f>
        <v>1</v>
      </c>
      <c r="K170" s="694"/>
      <c r="L170" s="694"/>
      <c r="M170" s="515" t="str">
        <f>'Kor&amp;U95% IDC'!G11</f>
        <v>A</v>
      </c>
      <c r="N170" s="485"/>
      <c r="O170" s="693">
        <f>'Kor&amp;U95% IDC'!H11</f>
        <v>-1.4999999999998348E-4</v>
      </c>
      <c r="P170" s="694"/>
      <c r="Q170" s="694"/>
      <c r="R170" s="515" t="str">
        <f t="shared" si="8"/>
        <v>A</v>
      </c>
      <c r="S170" s="484"/>
      <c r="T170" s="695">
        <f>IF('Kor&amp;U95% IDC'!I11&gt;'Kor&amp;U95% IDC'!K11,'Kor&amp;U95% IDC'!I11,'Kor&amp;U95% IDC'!K11)</f>
        <v>5.7935733711246317E-3</v>
      </c>
      <c r="U170" s="696"/>
      <c r="V170" s="696"/>
      <c r="W170" s="514" t="str">
        <f t="shared" si="9"/>
        <v>A</v>
      </c>
      <c r="X170" s="337"/>
    </row>
    <row r="171" spans="1:24" ht="15" customHeight="1" x14ac:dyDescent="0.3">
      <c r="A171" s="454"/>
      <c r="B171" s="454"/>
      <c r="C171" s="454"/>
      <c r="D171" s="454"/>
      <c r="E171" s="486"/>
      <c r="F171" s="713" t="str">
        <f>CONCATENATE('Kor&amp;U95% IDC'!A11," ",'Kor&amp;U95% IDC'!B11)</f>
        <v>10 A</v>
      </c>
      <c r="G171" s="713"/>
      <c r="H171" s="713"/>
      <c r="I171" s="337"/>
      <c r="J171" s="697">
        <f>'Kor&amp;U95% IDC'!F12</f>
        <v>5</v>
      </c>
      <c r="K171" s="698"/>
      <c r="L171" s="698"/>
      <c r="M171" s="454" t="str">
        <f>'Kor&amp;U95% IDC'!G12</f>
        <v>A</v>
      </c>
      <c r="N171" s="487"/>
      <c r="O171" s="697">
        <f>'Kor&amp;U95% IDC'!H12</f>
        <v>-1.0282051282048954E-3</v>
      </c>
      <c r="P171" s="698"/>
      <c r="Q171" s="698"/>
      <c r="R171" s="514" t="str">
        <f t="shared" si="8"/>
        <v>A</v>
      </c>
      <c r="S171" s="454"/>
      <c r="T171" s="731">
        <f>IF('Kor&amp;U95% IDC'!I12&gt;'Kor&amp;U95% IDC'!K12,'Kor&amp;U95% IDC'!I12,'Kor&amp;U95% IDC'!K12)</f>
        <v>9.7069355486622891E-3</v>
      </c>
      <c r="U171" s="732"/>
      <c r="V171" s="732"/>
      <c r="W171" s="454" t="str">
        <f t="shared" si="9"/>
        <v>A</v>
      </c>
      <c r="X171" s="337"/>
    </row>
    <row r="172" spans="1:24" ht="15" customHeight="1" x14ac:dyDescent="0.3">
      <c r="A172" s="454"/>
      <c r="B172" s="454"/>
      <c r="C172" s="454"/>
      <c r="D172" s="454"/>
      <c r="E172" s="489"/>
      <c r="F172" s="490"/>
      <c r="G172" s="490"/>
      <c r="H172" s="490"/>
      <c r="I172" s="518"/>
      <c r="J172" s="699">
        <f>'Kor&amp;U95% IDC'!F13</f>
        <v>9</v>
      </c>
      <c r="K172" s="700"/>
      <c r="L172" s="700"/>
      <c r="M172" s="490" t="str">
        <f>'Kor&amp;U95% IDC'!G13</f>
        <v>A</v>
      </c>
      <c r="N172" s="491"/>
      <c r="O172" s="699">
        <f>'Kor&amp;U95% IDC'!H13</f>
        <v>-9.2564102564018924E-4</v>
      </c>
      <c r="P172" s="700"/>
      <c r="Q172" s="700"/>
      <c r="R172" s="513" t="str">
        <f t="shared" si="8"/>
        <v>A</v>
      </c>
      <c r="S172" s="490"/>
      <c r="T172" s="749">
        <f>IF('Kor&amp;U95% IDC'!I13&gt;'Kor&amp;U95% IDC'!K13,'Kor&amp;U95% IDC'!I13,'Kor&amp;U95% IDC'!K13)</f>
        <v>1.17E-2</v>
      </c>
      <c r="U172" s="750"/>
      <c r="V172" s="750"/>
      <c r="W172" s="490" t="str">
        <f t="shared" si="9"/>
        <v>A</v>
      </c>
      <c r="X172" s="518"/>
    </row>
    <row r="173" spans="1:24" ht="15" customHeight="1" x14ac:dyDescent="0.3">
      <c r="A173" s="454"/>
      <c r="B173" s="454"/>
      <c r="C173" s="454"/>
      <c r="D173" s="454"/>
      <c r="E173" s="454"/>
      <c r="F173" s="454"/>
      <c r="G173" s="454"/>
      <c r="H173" s="454"/>
      <c r="I173" s="454"/>
      <c r="K173" s="514"/>
      <c r="L173" s="514"/>
      <c r="M173" s="514"/>
      <c r="N173" s="454"/>
      <c r="O173" s="454"/>
      <c r="P173" s="514"/>
      <c r="Q173" s="514"/>
      <c r="R173" s="514"/>
      <c r="S173" s="514"/>
      <c r="T173" s="454"/>
      <c r="U173" s="587"/>
      <c r="V173" s="587"/>
      <c r="W173" s="587"/>
      <c r="X173" s="454"/>
    </row>
    <row r="174" spans="1:24" ht="15" customHeight="1" x14ac:dyDescent="0.3">
      <c r="A174" s="454"/>
      <c r="B174" s="454"/>
      <c r="C174" s="454"/>
      <c r="D174" s="454"/>
      <c r="E174" s="717" t="s">
        <v>613</v>
      </c>
      <c r="F174" s="718"/>
      <c r="G174" s="718"/>
      <c r="H174" s="718"/>
      <c r="I174" s="718"/>
      <c r="J174" s="718"/>
      <c r="K174" s="718"/>
      <c r="L174" s="718"/>
      <c r="M174" s="718"/>
      <c r="N174" s="718"/>
      <c r="O174" s="718"/>
      <c r="P174" s="718"/>
      <c r="Q174" s="718"/>
      <c r="R174" s="718"/>
      <c r="S174" s="718"/>
      <c r="T174" s="718"/>
      <c r="U174" s="718"/>
      <c r="V174" s="718"/>
      <c r="W174" s="718"/>
      <c r="X174" s="719"/>
    </row>
    <row r="175" spans="1:24" x14ac:dyDescent="0.3">
      <c r="A175" s="454"/>
      <c r="B175" s="454"/>
      <c r="C175" s="454"/>
      <c r="D175" s="454"/>
      <c r="E175" s="720"/>
      <c r="F175" s="721"/>
      <c r="G175" s="721"/>
      <c r="H175" s="721"/>
      <c r="I175" s="721"/>
      <c r="J175" s="721"/>
      <c r="K175" s="721"/>
      <c r="L175" s="721"/>
      <c r="M175" s="721"/>
      <c r="N175" s="721"/>
      <c r="O175" s="721"/>
      <c r="P175" s="721"/>
      <c r="Q175" s="721"/>
      <c r="R175" s="721"/>
      <c r="S175" s="721"/>
      <c r="T175" s="721"/>
      <c r="U175" s="721"/>
      <c r="V175" s="721"/>
      <c r="W175" s="721"/>
      <c r="X175" s="722"/>
    </row>
    <row r="176" spans="1:24" x14ac:dyDescent="0.3">
      <c r="A176" s="454"/>
      <c r="B176" s="454"/>
      <c r="C176" s="454"/>
      <c r="D176" s="482"/>
      <c r="E176" s="735" t="s">
        <v>609</v>
      </c>
      <c r="F176" s="735"/>
      <c r="G176" s="735"/>
      <c r="H176" s="735"/>
      <c r="I176" s="735"/>
      <c r="J176" s="743" t="s">
        <v>3</v>
      </c>
      <c r="K176" s="743"/>
      <c r="L176" s="743"/>
      <c r="M176" s="743"/>
      <c r="N176" s="743"/>
      <c r="O176" s="743" t="s">
        <v>4</v>
      </c>
      <c r="P176" s="743"/>
      <c r="Q176" s="743"/>
      <c r="R176" s="743"/>
      <c r="S176" s="743"/>
      <c r="T176" s="743" t="s">
        <v>610</v>
      </c>
      <c r="U176" s="743"/>
      <c r="V176" s="743"/>
      <c r="W176" s="743"/>
      <c r="X176" s="743"/>
    </row>
    <row r="177" spans="1:24" ht="15" customHeight="1" x14ac:dyDescent="0.3">
      <c r="A177" s="454"/>
      <c r="B177" s="454"/>
      <c r="C177" s="454"/>
      <c r="D177" s="454"/>
      <c r="E177" s="736"/>
      <c r="F177" s="736"/>
      <c r="G177" s="736"/>
      <c r="H177" s="736"/>
      <c r="I177" s="736"/>
      <c r="J177" s="744"/>
      <c r="K177" s="744"/>
      <c r="L177" s="744"/>
      <c r="M177" s="744"/>
      <c r="N177" s="744"/>
      <c r="O177" s="744"/>
      <c r="P177" s="744"/>
      <c r="Q177" s="744"/>
      <c r="R177" s="744"/>
      <c r="S177" s="744"/>
      <c r="T177" s="744"/>
      <c r="U177" s="744"/>
      <c r="V177" s="744"/>
      <c r="W177" s="744"/>
      <c r="X177" s="744"/>
    </row>
    <row r="178" spans="1:24" x14ac:dyDescent="0.3">
      <c r="A178" s="454"/>
      <c r="B178" s="454"/>
      <c r="C178" s="454"/>
      <c r="D178" s="454"/>
      <c r="E178" s="486"/>
      <c r="F178" s="454"/>
      <c r="G178" s="454"/>
      <c r="H178" s="454"/>
      <c r="I178" s="337"/>
      <c r="J178" s="725">
        <f>'Kor&amp;U95% R'!F2</f>
        <v>60.1</v>
      </c>
      <c r="K178" s="726"/>
      <c r="L178" s="726"/>
      <c r="M178" s="514" t="str">
        <f>'Kor&amp;U95% R'!G2</f>
        <v>Ω</v>
      </c>
      <c r="N178" s="487"/>
      <c r="O178" s="733">
        <f>'Kor&amp;U95% R'!H2</f>
        <v>-9.9291011235955295E-2</v>
      </c>
      <c r="P178" s="734"/>
      <c r="Q178" s="734"/>
      <c r="R178" s="515" t="str">
        <f>M178</f>
        <v>Ω</v>
      </c>
      <c r="S178" s="485"/>
      <c r="T178" s="693">
        <f>IF('Kor&amp;U95% R'!I2&gt;'Kor&amp;U95% R'!K2,'Kor&amp;U95% R'!I2,'Kor&amp;U95% R'!K2)</f>
        <v>6.6000000000000003E-2</v>
      </c>
      <c r="U178" s="694"/>
      <c r="V178" s="694"/>
      <c r="W178" s="515" t="str">
        <f>M178</f>
        <v>Ω</v>
      </c>
      <c r="X178" s="517"/>
    </row>
    <row r="179" spans="1:24" x14ac:dyDescent="0.3">
      <c r="A179" s="454"/>
      <c r="B179" s="454"/>
      <c r="C179" s="454"/>
      <c r="D179" s="454"/>
      <c r="E179" s="486"/>
      <c r="F179" s="713" t="str">
        <f>'Kor&amp;U95% R'!A2&amp;" "&amp;'Kor&amp;U95% R'!B2</f>
        <v>600 Ω</v>
      </c>
      <c r="G179" s="713"/>
      <c r="H179" s="713"/>
      <c r="I179" s="337"/>
      <c r="J179" s="725">
        <f>'Kor&amp;U95% R'!F3</f>
        <v>301.10000000000002</v>
      </c>
      <c r="K179" s="726"/>
      <c r="L179" s="726"/>
      <c r="M179" s="514" t="str">
        <f>'Kor&amp;U95% R'!G3</f>
        <v>Ω</v>
      </c>
      <c r="N179" s="487"/>
      <c r="O179" s="725">
        <f>'Kor&amp;U95% R'!H3</f>
        <v>-1.1012134831460685</v>
      </c>
      <c r="P179" s="726"/>
      <c r="Q179" s="726"/>
      <c r="R179" s="514" t="str">
        <f t="shared" ref="R179:R194" si="10">M179</f>
        <v>Ω</v>
      </c>
      <c r="S179" s="487"/>
      <c r="T179" s="697">
        <f>IF('Kor&amp;U95% R'!I3&gt;'Kor&amp;U95% R'!K3,'Kor&amp;U95% R'!I3,'Kor&amp;U95% R'!K3)</f>
        <v>8.4000000000000005E-2</v>
      </c>
      <c r="U179" s="698"/>
      <c r="V179" s="698"/>
      <c r="W179" s="514" t="str">
        <f t="shared" ref="W179:W194" si="11">M179</f>
        <v>Ω</v>
      </c>
      <c r="X179" s="337"/>
    </row>
    <row r="180" spans="1:24" x14ac:dyDescent="0.3">
      <c r="A180" s="454"/>
      <c r="B180" s="454"/>
      <c r="C180" s="454"/>
      <c r="D180" s="454"/>
      <c r="E180" s="489"/>
      <c r="F180" s="490"/>
      <c r="G180" s="490"/>
      <c r="H180" s="490"/>
      <c r="I180" s="518"/>
      <c r="J180" s="745">
        <f>'Kor&amp;U95% R'!F4</f>
        <v>541</v>
      </c>
      <c r="K180" s="746"/>
      <c r="L180" s="746"/>
      <c r="M180" s="513" t="str">
        <f>'Kor&amp;U95% R'!G4</f>
        <v>Ω</v>
      </c>
      <c r="N180" s="491"/>
      <c r="O180" s="745">
        <f>'Kor&amp;U95% R'!H4</f>
        <v>-1.0038831460673237</v>
      </c>
      <c r="P180" s="746"/>
      <c r="Q180" s="746"/>
      <c r="R180" s="513" t="str">
        <f t="shared" si="10"/>
        <v>Ω</v>
      </c>
      <c r="S180" s="491"/>
      <c r="T180" s="699">
        <f>IF('Kor&amp;U95% R'!I4&gt;'Kor&amp;U95% R'!K4,'Kor&amp;U95% R'!I4,'Kor&amp;U95% R'!K4)</f>
        <v>0.15120000000000003</v>
      </c>
      <c r="U180" s="700"/>
      <c r="V180" s="700"/>
      <c r="W180" s="513" t="str">
        <f t="shared" si="11"/>
        <v>Ω</v>
      </c>
      <c r="X180" s="518"/>
    </row>
    <row r="181" spans="1:24" x14ac:dyDescent="0.3">
      <c r="A181" s="454"/>
      <c r="B181" s="454"/>
      <c r="C181" s="454"/>
      <c r="D181" s="454"/>
      <c r="E181" s="486"/>
      <c r="F181" s="454"/>
      <c r="G181" s="454"/>
      <c r="H181" s="454"/>
      <c r="I181" s="337"/>
      <c r="J181" s="695">
        <f>'Kor&amp;U95% R'!F5</f>
        <v>0.60099999999999998</v>
      </c>
      <c r="K181" s="696"/>
      <c r="L181" s="696"/>
      <c r="M181" s="514" t="str">
        <f>'Kor&amp;U95% R'!G5</f>
        <v>kΩ</v>
      </c>
      <c r="N181" s="487"/>
      <c r="O181" s="695">
        <f>'Kor&amp;U95% R'!H5</f>
        <v>-1.0045505617976014E-3</v>
      </c>
      <c r="P181" s="696"/>
      <c r="Q181" s="696"/>
      <c r="R181" s="514" t="str">
        <f t="shared" si="10"/>
        <v>kΩ</v>
      </c>
      <c r="S181" s="487"/>
      <c r="T181" s="727">
        <f>IF('Kor&amp;U95% R'!I5&gt;'Kor&amp;U95% R'!K5,'Kor&amp;U95% R'!I5,'Kor&amp;U95% R'!K5)</f>
        <v>5.7765610408672769E-4</v>
      </c>
      <c r="U181" s="728"/>
      <c r="V181" s="728"/>
      <c r="W181" s="514" t="str">
        <f t="shared" si="11"/>
        <v>kΩ</v>
      </c>
      <c r="X181" s="337"/>
    </row>
    <row r="182" spans="1:24" x14ac:dyDescent="0.3">
      <c r="A182" s="454"/>
      <c r="B182" s="454"/>
      <c r="C182" s="454"/>
      <c r="D182" s="454"/>
      <c r="E182" s="486"/>
      <c r="F182" s="713" t="str">
        <f>'Kor&amp;U95% R'!A5&amp;" "&amp;'Kor&amp;U95% R'!B5</f>
        <v>6 kΩ</v>
      </c>
      <c r="G182" s="713"/>
      <c r="H182" s="713"/>
      <c r="I182" s="337"/>
      <c r="J182" s="731">
        <f>'Kor&amp;U95% R'!F6</f>
        <v>3.0009999999999999</v>
      </c>
      <c r="K182" s="732"/>
      <c r="L182" s="732"/>
      <c r="M182" s="514" t="str">
        <f>'Kor&amp;U95% R'!G6</f>
        <v>kΩ</v>
      </c>
      <c r="N182" s="487"/>
      <c r="O182" s="731">
        <f>'Kor&amp;U95% R'!H6</f>
        <v>-1.0375280898875516E-3</v>
      </c>
      <c r="P182" s="732"/>
      <c r="Q182" s="732"/>
      <c r="R182" s="514" t="str">
        <f t="shared" si="10"/>
        <v>kΩ</v>
      </c>
      <c r="S182" s="487"/>
      <c r="T182" s="729">
        <f>IF('Kor&amp;U95% R'!I6&gt;'Kor&amp;U95% R'!K6,'Kor&amp;U95% R'!I6,'Kor&amp;U95% R'!K6)</f>
        <v>6.0944113295309955E-4</v>
      </c>
      <c r="U182" s="730"/>
      <c r="V182" s="730"/>
      <c r="W182" s="514" t="str">
        <f t="shared" si="11"/>
        <v>kΩ</v>
      </c>
      <c r="X182" s="337"/>
    </row>
    <row r="183" spans="1:24" x14ac:dyDescent="0.3">
      <c r="A183" s="454"/>
      <c r="B183" s="454"/>
      <c r="C183" s="454"/>
      <c r="D183" s="454"/>
      <c r="E183" s="489"/>
      <c r="F183" s="490"/>
      <c r="G183" s="490"/>
      <c r="H183" s="490"/>
      <c r="I183" s="518"/>
      <c r="J183" s="749">
        <f>'Kor&amp;U95% R'!F7</f>
        <v>5.4</v>
      </c>
      <c r="K183" s="750"/>
      <c r="L183" s="750"/>
      <c r="M183" s="513" t="str">
        <f>'Kor&amp;U95% R'!G7</f>
        <v>kΩ</v>
      </c>
      <c r="N183" s="491"/>
      <c r="O183" s="749">
        <f>'Kor&amp;U95% R'!H7</f>
        <v>-1.0008988764020899E-4</v>
      </c>
      <c r="P183" s="750"/>
      <c r="Q183" s="750"/>
      <c r="R183" s="513" t="str">
        <f t="shared" si="10"/>
        <v>kΩ</v>
      </c>
      <c r="S183" s="491"/>
      <c r="T183" s="758">
        <f>IF('Kor&amp;U95% R'!I7&gt;'Kor&amp;U95% R'!K7,'Kor&amp;U95% R'!I7,'Kor&amp;U95% R'!K7)</f>
        <v>9.7199999999999999E-4</v>
      </c>
      <c r="U183" s="759"/>
      <c r="V183" s="759"/>
      <c r="W183" s="513" t="str">
        <f t="shared" si="11"/>
        <v>kΩ</v>
      </c>
      <c r="X183" s="518"/>
    </row>
    <row r="184" spans="1:24" x14ac:dyDescent="0.3">
      <c r="A184" s="454"/>
      <c r="B184" s="454"/>
      <c r="C184" s="454"/>
      <c r="D184" s="454"/>
      <c r="E184" s="486"/>
      <c r="F184" s="454"/>
      <c r="G184" s="454"/>
      <c r="H184" s="454"/>
      <c r="I184" s="337"/>
      <c r="J184" s="693">
        <f>'Kor&amp;U95% R'!F8</f>
        <v>6</v>
      </c>
      <c r="K184" s="694"/>
      <c r="L184" s="694"/>
      <c r="M184" s="514" t="str">
        <f>'Kor&amp;U95% R'!G8</f>
        <v>kΩ</v>
      </c>
      <c r="N184" s="487"/>
      <c r="O184" s="693">
        <f>'Kor&amp;U95% R'!H8</f>
        <v>-1.157303370789009E-4</v>
      </c>
      <c r="P184" s="694"/>
      <c r="Q184" s="694"/>
      <c r="R184" s="514" t="str">
        <f t="shared" si="10"/>
        <v>kΩ</v>
      </c>
      <c r="S184" s="487"/>
      <c r="T184" s="695">
        <f>IF('Kor&amp;U95% R'!I8&gt;'Kor&amp;U95% R'!K8,'Kor&amp;U95% R'!I8,'Kor&amp;U95% R'!K8)</f>
        <v>5.7760990966224009E-3</v>
      </c>
      <c r="U184" s="696"/>
      <c r="V184" s="696"/>
      <c r="W184" s="514" t="str">
        <f t="shared" si="11"/>
        <v>kΩ</v>
      </c>
      <c r="X184" s="337"/>
    </row>
    <row r="185" spans="1:24" x14ac:dyDescent="0.3">
      <c r="A185" s="454"/>
      <c r="B185" s="454"/>
      <c r="C185" s="454"/>
      <c r="D185" s="482"/>
      <c r="E185" s="486"/>
      <c r="F185" s="713" t="str">
        <f>'Kor&amp;U95% R'!A8&amp;" "&amp;'Kor&amp;U95% R'!B8</f>
        <v>60 kΩ</v>
      </c>
      <c r="G185" s="713"/>
      <c r="H185" s="713"/>
      <c r="I185" s="337"/>
      <c r="J185" s="697">
        <f>'Kor&amp;U95% R'!F9</f>
        <v>30</v>
      </c>
      <c r="K185" s="698"/>
      <c r="L185" s="698"/>
      <c r="M185" s="514" t="str">
        <f>'Kor&amp;U95% R'!G9</f>
        <v>kΩ</v>
      </c>
      <c r="N185" s="487"/>
      <c r="O185" s="697">
        <f>'Kor&amp;U95% R'!H9</f>
        <v>-4.5505617977426027E-4</v>
      </c>
      <c r="P185" s="698"/>
      <c r="Q185" s="698"/>
      <c r="R185" s="514" t="str">
        <f t="shared" si="10"/>
        <v>kΩ</v>
      </c>
      <c r="S185" s="487"/>
      <c r="T185" s="731">
        <f>IF('Kor&amp;U95% R'!I9&gt;'Kor&amp;U95% R'!K9,'Kor&amp;U95% R'!I9,'Kor&amp;U95% R'!K9)</f>
        <v>4.6287110907195193E-2</v>
      </c>
      <c r="U185" s="732"/>
      <c r="V185" s="732"/>
      <c r="W185" s="514" t="str">
        <f t="shared" si="11"/>
        <v>kΩ</v>
      </c>
      <c r="X185" s="337"/>
    </row>
    <row r="186" spans="1:24" ht="15" customHeight="1" x14ac:dyDescent="0.3">
      <c r="A186" s="454"/>
      <c r="B186" s="454"/>
      <c r="C186" s="454"/>
      <c r="D186" s="454"/>
      <c r="E186" s="489"/>
      <c r="F186" s="490"/>
      <c r="G186" s="490"/>
      <c r="H186" s="490"/>
      <c r="I186" s="518"/>
      <c r="J186" s="699">
        <f>'Kor&amp;U95% R'!F10</f>
        <v>53.989999999999995</v>
      </c>
      <c r="K186" s="700"/>
      <c r="L186" s="700"/>
      <c r="M186" s="513" t="str">
        <f>'Kor&amp;U95% R'!G10</f>
        <v>kΩ</v>
      </c>
      <c r="N186" s="491"/>
      <c r="O186" s="699">
        <f>'Kor&amp;U95% R'!H10</f>
        <v>9.0838202247240929E-3</v>
      </c>
      <c r="P186" s="700"/>
      <c r="Q186" s="700"/>
      <c r="R186" s="513" t="str">
        <f t="shared" si="10"/>
        <v>kΩ</v>
      </c>
      <c r="S186" s="491"/>
      <c r="T186" s="749">
        <f>IF('Kor&amp;U95% R'!I10&gt;'Kor&amp;U95% R'!K10,'Kor&amp;U95% R'!I10,'Kor&amp;U95% R'!K10)</f>
        <v>4.613383881569922E-2</v>
      </c>
      <c r="U186" s="750"/>
      <c r="V186" s="750"/>
      <c r="W186" s="513" t="str">
        <f t="shared" si="11"/>
        <v>kΩ</v>
      </c>
      <c r="X186" s="518"/>
    </row>
    <row r="187" spans="1:24" x14ac:dyDescent="0.3">
      <c r="A187" s="454"/>
      <c r="B187" s="454"/>
      <c r="C187" s="454"/>
      <c r="D187" s="454"/>
      <c r="E187" s="486"/>
      <c r="F187" s="454"/>
      <c r="G187" s="454"/>
      <c r="H187" s="454"/>
      <c r="I187" s="337"/>
      <c r="J187" s="733">
        <f>'Kor&amp;U95% R'!F11</f>
        <v>60</v>
      </c>
      <c r="K187" s="734"/>
      <c r="L187" s="734"/>
      <c r="M187" s="514" t="str">
        <f>'Kor&amp;U95% R'!G11</f>
        <v>kΩ</v>
      </c>
      <c r="N187" s="487"/>
      <c r="O187" s="733">
        <f>'Kor&amp;U95% R'!H11</f>
        <v>-1.0314606741559373E-3</v>
      </c>
      <c r="P187" s="734"/>
      <c r="Q187" s="734"/>
      <c r="R187" s="514" t="str">
        <f t="shared" si="10"/>
        <v>kΩ</v>
      </c>
      <c r="S187" s="487"/>
      <c r="T187" s="693">
        <f>IF('Kor&amp;U95% R'!I11&gt;'Kor&amp;U95% R'!K11,'Kor&amp;U95% R'!I11,'Kor&amp;U95% R'!K11)</f>
        <v>7.3653222329896642E-2</v>
      </c>
      <c r="U187" s="694"/>
      <c r="V187" s="694"/>
      <c r="W187" s="514" t="str">
        <f t="shared" si="11"/>
        <v>kΩ</v>
      </c>
      <c r="X187" s="337"/>
    </row>
    <row r="188" spans="1:24" x14ac:dyDescent="0.3">
      <c r="A188" s="454"/>
      <c r="B188" s="454"/>
      <c r="C188" s="454"/>
      <c r="D188" s="454"/>
      <c r="E188" s="486"/>
      <c r="F188" s="713" t="str">
        <f>'Kor&amp;U95% R'!A11&amp;" "&amp;'Kor&amp;U95% R'!B11</f>
        <v>600 kΩ</v>
      </c>
      <c r="G188" s="713"/>
      <c r="H188" s="713"/>
      <c r="I188" s="337"/>
      <c r="J188" s="725">
        <f>'Kor&amp;U95% R'!F12</f>
        <v>299.89999999999998</v>
      </c>
      <c r="K188" s="726"/>
      <c r="L188" s="726"/>
      <c r="M188" s="514" t="str">
        <f>'Kor&amp;U95% R'!G12</f>
        <v>kΩ</v>
      </c>
      <c r="N188" s="487"/>
      <c r="O188" s="725">
        <f>'Kor&amp;U95% R'!H12</f>
        <v>9.8157303370783211E-2</v>
      </c>
      <c r="P188" s="726"/>
      <c r="Q188" s="726"/>
      <c r="R188" s="514" t="str">
        <f t="shared" si="10"/>
        <v>kΩ</v>
      </c>
      <c r="S188" s="487"/>
      <c r="T188" s="697">
        <f>IF('Kor&amp;U95% R'!I12&gt;'Kor&amp;U95% R'!K12,'Kor&amp;U95% R'!I12,'Kor&amp;U95% R'!K12)</f>
        <v>0.24299999999999999</v>
      </c>
      <c r="U188" s="698"/>
      <c r="V188" s="698"/>
      <c r="W188" s="514" t="str">
        <f t="shared" si="11"/>
        <v>kΩ</v>
      </c>
      <c r="X188" s="337"/>
    </row>
    <row r="189" spans="1:24" x14ac:dyDescent="0.3">
      <c r="A189" s="454"/>
      <c r="B189" s="454"/>
      <c r="C189" s="454"/>
      <c r="D189" s="454"/>
      <c r="E189" s="489"/>
      <c r="F189" s="490"/>
      <c r="G189" s="490"/>
      <c r="H189" s="490"/>
      <c r="I189" s="518"/>
      <c r="J189" s="745">
        <f>'Kor&amp;U95% R'!F13</f>
        <v>539.79999999999995</v>
      </c>
      <c r="K189" s="746"/>
      <c r="L189" s="746"/>
      <c r="M189" s="513" t="str">
        <f>'Kor&amp;U95% R'!G13</f>
        <v>kΩ</v>
      </c>
      <c r="N189" s="491"/>
      <c r="O189" s="745">
        <f>'Kor&amp;U95% R'!H13</f>
        <v>0.1957033707865321</v>
      </c>
      <c r="P189" s="746"/>
      <c r="Q189" s="746"/>
      <c r="R189" s="513" t="str">
        <f t="shared" si="10"/>
        <v>kΩ</v>
      </c>
      <c r="S189" s="491"/>
      <c r="T189" s="699">
        <f>IF('Kor&amp;U95% R'!I13&gt;'Kor&amp;U95% R'!K13,'Kor&amp;U95% R'!I13,'Kor&amp;U95% R'!K13)</f>
        <v>0.43740000000000007</v>
      </c>
      <c r="U189" s="700"/>
      <c r="V189" s="700"/>
      <c r="W189" s="513" t="str">
        <f t="shared" si="11"/>
        <v>kΩ</v>
      </c>
      <c r="X189" s="518"/>
    </row>
    <row r="190" spans="1:24" x14ac:dyDescent="0.3">
      <c r="A190" s="454"/>
      <c r="B190" s="454"/>
      <c r="C190" s="454"/>
      <c r="D190" s="454"/>
      <c r="E190" s="486"/>
      <c r="F190" s="454"/>
      <c r="G190" s="454"/>
      <c r="H190" s="454"/>
      <c r="I190" s="337"/>
      <c r="J190" s="695">
        <f>'Kor&amp;U95% R'!F14</f>
        <v>0.6</v>
      </c>
      <c r="K190" s="696"/>
      <c r="L190" s="696"/>
      <c r="M190" s="514" t="str">
        <f>'Kor&amp;U95% R'!G14</f>
        <v>MΩ</v>
      </c>
      <c r="N190" s="487"/>
      <c r="O190" s="695">
        <f>'Kor&amp;U95% R'!H14</f>
        <v>-4.9101123594796903E-6</v>
      </c>
      <c r="P190" s="696"/>
      <c r="Q190" s="696"/>
      <c r="R190" s="514" t="str">
        <f t="shared" si="10"/>
        <v>MΩ</v>
      </c>
      <c r="S190" s="487"/>
      <c r="T190" s="727">
        <f>IF('Kor&amp;U95% R'!I14&gt;'Kor&amp;U95% R'!K14,'Kor&amp;U95% R'!I14,'Kor&amp;U95% R'!K14)</f>
        <v>5.8079365451711034E-4</v>
      </c>
      <c r="U190" s="728"/>
      <c r="V190" s="728"/>
      <c r="W190" s="514" t="str">
        <f t="shared" si="11"/>
        <v>MΩ</v>
      </c>
      <c r="X190" s="337"/>
    </row>
    <row r="191" spans="1:24" x14ac:dyDescent="0.3">
      <c r="A191" s="454"/>
      <c r="B191" s="454"/>
      <c r="C191" s="454"/>
      <c r="D191" s="454"/>
      <c r="E191" s="486"/>
      <c r="F191" s="713" t="str">
        <f>'Kor&amp;U95% R'!A14&amp;" "&amp;'Kor&amp;U95% R'!B14</f>
        <v>6 MΩ</v>
      </c>
      <c r="G191" s="713"/>
      <c r="H191" s="713"/>
      <c r="I191" s="337"/>
      <c r="J191" s="731">
        <f>'Kor&amp;U95% R'!F15</f>
        <v>2.9969999999999999</v>
      </c>
      <c r="K191" s="732"/>
      <c r="L191" s="732"/>
      <c r="M191" s="514" t="str">
        <f>'Kor&amp;U95% R'!G15</f>
        <v>MΩ</v>
      </c>
      <c r="N191" s="487"/>
      <c r="O191" s="731">
        <f>'Kor&amp;U95% R'!H15</f>
        <v>1.6040449438201598E-3</v>
      </c>
      <c r="P191" s="732"/>
      <c r="Q191" s="732"/>
      <c r="R191" s="514" t="str">
        <f t="shared" si="10"/>
        <v>MΩ</v>
      </c>
      <c r="S191" s="487"/>
      <c r="T191" s="729">
        <f>IF('Kor&amp;U95% R'!I15&gt;'Kor&amp;U95% R'!K15,'Kor&amp;U95% R'!I15,'Kor&amp;U95% R'!K15)</f>
        <v>9.2557796477289959E-3</v>
      </c>
      <c r="U191" s="730"/>
      <c r="V191" s="730"/>
      <c r="W191" s="514" t="str">
        <f t="shared" si="11"/>
        <v>MΩ</v>
      </c>
      <c r="X191" s="337"/>
    </row>
    <row r="192" spans="1:24" x14ac:dyDescent="0.3">
      <c r="A192" s="454"/>
      <c r="B192" s="454"/>
      <c r="C192" s="454"/>
      <c r="D192" s="454"/>
      <c r="E192" s="489"/>
      <c r="F192" s="490"/>
      <c r="G192" s="490"/>
      <c r="H192" s="490"/>
      <c r="I192" s="518"/>
      <c r="J192" s="749">
        <f>'Kor&amp;U95% R'!F16</f>
        <v>5.3929999999999998</v>
      </c>
      <c r="K192" s="750"/>
      <c r="L192" s="750"/>
      <c r="M192" s="513" t="str">
        <f>'Kor&amp;U95% R'!G16</f>
        <v>MΩ</v>
      </c>
      <c r="N192" s="491"/>
      <c r="O192" s="749">
        <f>'Kor&amp;U95% R'!H16</f>
        <v>5.204943820225516E-3</v>
      </c>
      <c r="P192" s="750"/>
      <c r="Q192" s="750"/>
      <c r="R192" s="513" t="str">
        <f t="shared" si="10"/>
        <v>MΩ</v>
      </c>
      <c r="S192" s="491"/>
      <c r="T192" s="749">
        <f>IF('Kor&amp;U95% R'!I16&gt;'Kor&amp;U95% R'!K16,'Kor&amp;U95% R'!I16,'Kor&amp;U95% R'!K16)</f>
        <v>1.1880000000000002E-2</v>
      </c>
      <c r="U192" s="750"/>
      <c r="V192" s="750"/>
      <c r="W192" s="513" t="str">
        <f t="shared" si="11"/>
        <v>MΩ</v>
      </c>
      <c r="X192" s="518"/>
    </row>
    <row r="193" spans="1:26" x14ac:dyDescent="0.3">
      <c r="A193" s="454"/>
      <c r="B193" s="454"/>
      <c r="C193" s="454"/>
      <c r="D193" s="454"/>
      <c r="E193" s="483"/>
      <c r="F193" s="778" t="str">
        <f>'Kor&amp;U95% R'!A17&amp;" "&amp;'Kor&amp;U95% R'!B17</f>
        <v>60 MΩ</v>
      </c>
      <c r="G193" s="778"/>
      <c r="H193" s="778"/>
      <c r="I193" s="517"/>
      <c r="J193" s="693">
        <f>'Kor&amp;U95% R'!F17</f>
        <v>5.99</v>
      </c>
      <c r="K193" s="694"/>
      <c r="L193" s="694"/>
      <c r="M193" s="515" t="str">
        <f>'Kor&amp;U95% R'!G17</f>
        <v>MΩ</v>
      </c>
      <c r="N193" s="485"/>
      <c r="O193" s="693">
        <f>'Kor&amp;U95% R'!H17</f>
        <v>8.1051685393251915E-3</v>
      </c>
      <c r="P193" s="694"/>
      <c r="Q193" s="694"/>
      <c r="R193" s="515" t="str">
        <f t="shared" si="10"/>
        <v>MΩ</v>
      </c>
      <c r="S193" s="485"/>
      <c r="T193" s="695">
        <f>IF('Kor&amp;U95% R'!I17&gt;'Kor&amp;U95% R'!K17,'Kor&amp;U95% R'!I17,'Kor&amp;U95% R'!K17)</f>
        <v>1.3200000000000002E-2</v>
      </c>
      <c r="U193" s="696"/>
      <c r="V193" s="696"/>
      <c r="W193" s="515" t="str">
        <f t="shared" si="11"/>
        <v>MΩ</v>
      </c>
      <c r="X193" s="517"/>
    </row>
    <row r="194" spans="1:26" x14ac:dyDescent="0.3">
      <c r="A194" s="454"/>
      <c r="B194" s="454"/>
      <c r="C194" s="454"/>
      <c r="D194" s="454"/>
      <c r="E194" s="489"/>
      <c r="F194" s="755"/>
      <c r="G194" s="755"/>
      <c r="H194" s="755"/>
      <c r="I194" s="367"/>
      <c r="J194" s="699">
        <f>'Kor&amp;U95% R'!F18</f>
        <v>10.97</v>
      </c>
      <c r="K194" s="700"/>
      <c r="L194" s="700"/>
      <c r="M194" s="513" t="str">
        <f>'Kor&amp;U95% R'!G18</f>
        <v>MΩ</v>
      </c>
      <c r="N194" s="611"/>
      <c r="O194" s="699">
        <f>'Kor&amp;U95% R'!H18</f>
        <v>2.6719999999999189E-2</v>
      </c>
      <c r="P194" s="700"/>
      <c r="Q194" s="700"/>
      <c r="R194" s="513" t="str">
        <f t="shared" si="10"/>
        <v>MΩ</v>
      </c>
      <c r="S194" s="490"/>
      <c r="T194" s="749">
        <f>IF('Kor&amp;U95% R'!I18&gt;'Kor&amp;U95% R'!K18,'Kor&amp;U95% R'!I18,'Kor&amp;U95% R'!K18)</f>
        <v>2.4199999999999999E-2</v>
      </c>
      <c r="U194" s="750"/>
      <c r="V194" s="750"/>
      <c r="W194" s="490" t="str">
        <f t="shared" si="11"/>
        <v>MΩ</v>
      </c>
      <c r="X194" s="518"/>
    </row>
    <row r="195" spans="1:26" x14ac:dyDescent="0.3">
      <c r="A195" s="454"/>
      <c r="B195" s="454"/>
      <c r="C195" s="454"/>
      <c r="D195" s="454"/>
      <c r="E195" s="484"/>
      <c r="F195" s="484"/>
      <c r="G195" s="484"/>
      <c r="H195" s="484"/>
      <c r="I195" s="519"/>
      <c r="J195" s="519"/>
      <c r="K195" s="484"/>
      <c r="L195" s="484"/>
      <c r="M195" s="484"/>
      <c r="N195" s="484"/>
      <c r="O195" s="519"/>
      <c r="P195" s="520"/>
      <c r="Q195" s="520"/>
      <c r="R195" s="484"/>
      <c r="S195" s="484"/>
      <c r="T195" s="515"/>
      <c r="U195" s="515"/>
      <c r="V195" s="484"/>
      <c r="W195" s="484"/>
      <c r="X195" s="519"/>
    </row>
    <row r="196" spans="1:26" x14ac:dyDescent="0.3">
      <c r="A196" s="454"/>
      <c r="B196" s="454"/>
      <c r="C196" s="454"/>
      <c r="D196" s="757" t="s">
        <v>614</v>
      </c>
      <c r="E196" s="757"/>
      <c r="F196" s="757"/>
      <c r="G196" s="757"/>
      <c r="I196" s="454"/>
      <c r="J196" s="454"/>
      <c r="K196" s="454"/>
      <c r="L196" s="454"/>
      <c r="M196" s="454"/>
      <c r="N196" s="454"/>
      <c r="O196" s="454"/>
      <c r="P196" s="454"/>
      <c r="Q196" s="454"/>
      <c r="R196" s="454"/>
      <c r="S196" s="454"/>
      <c r="T196" s="454"/>
      <c r="U196" s="454"/>
      <c r="V196" s="454"/>
    </row>
    <row r="197" spans="1:26" ht="15" customHeight="1" x14ac:dyDescent="0.3">
      <c r="A197" s="454"/>
      <c r="B197" s="454"/>
      <c r="C197" s="454"/>
      <c r="D197" s="494" t="s">
        <v>562</v>
      </c>
      <c r="E197" s="777" t="s">
        <v>617</v>
      </c>
      <c r="F197" s="777"/>
      <c r="G197" s="777"/>
      <c r="H197" s="777"/>
      <c r="I197" s="777"/>
      <c r="J197" s="777"/>
      <c r="K197" s="777"/>
      <c r="L197" s="777"/>
      <c r="M197" s="777"/>
      <c r="N197" s="777"/>
      <c r="O197" s="777"/>
      <c r="P197" s="777"/>
      <c r="Q197" s="777"/>
      <c r="R197" s="777"/>
      <c r="S197" s="777"/>
      <c r="T197" s="777"/>
      <c r="U197" s="777"/>
      <c r="V197" s="777"/>
    </row>
    <row r="198" spans="1:26" ht="15" customHeight="1" x14ac:dyDescent="0.3">
      <c r="A198" s="454"/>
      <c r="B198" s="454"/>
      <c r="C198" s="454"/>
      <c r="D198" s="523" t="s">
        <v>562</v>
      </c>
      <c r="E198" s="706" t="str">
        <f>CONCATENATE("Alat ini dikalibrasi dengan ",Data!B19)</f>
        <v>Alat ini dikalibrasi dengan Multiproduct Calibrator Fluke 5500A No. Seri 6790012 yang tertelusur ke SI melalui Laboratorium SNSU BSN.</v>
      </c>
      <c r="F198" s="706"/>
      <c r="G198" s="706"/>
      <c r="H198" s="706"/>
      <c r="I198" s="706"/>
      <c r="J198" s="706"/>
      <c r="K198" s="706"/>
      <c r="L198" s="706"/>
      <c r="M198" s="706"/>
      <c r="N198" s="706"/>
      <c r="O198" s="706"/>
      <c r="P198" s="706"/>
      <c r="Q198" s="706"/>
      <c r="R198" s="706"/>
      <c r="S198" s="706"/>
      <c r="T198" s="706"/>
      <c r="U198" s="706"/>
      <c r="V198" s="706"/>
      <c r="W198" s="706"/>
      <c r="X198" s="706"/>
      <c r="Y198" s="706"/>
      <c r="Z198" s="467"/>
    </row>
    <row r="199" spans="1:26" x14ac:dyDescent="0.3">
      <c r="A199" s="454"/>
      <c r="B199" s="454"/>
      <c r="C199" s="454"/>
      <c r="D199" s="467"/>
      <c r="E199" s="706"/>
      <c r="F199" s="706"/>
      <c r="G199" s="706"/>
      <c r="H199" s="706"/>
      <c r="I199" s="706"/>
      <c r="J199" s="706"/>
      <c r="K199" s="706"/>
      <c r="L199" s="706"/>
      <c r="M199" s="706"/>
      <c r="N199" s="706"/>
      <c r="O199" s="706"/>
      <c r="P199" s="706"/>
      <c r="Q199" s="706"/>
      <c r="R199" s="706"/>
      <c r="S199" s="706"/>
      <c r="T199" s="706"/>
      <c r="U199" s="706"/>
      <c r="V199" s="706"/>
      <c r="W199" s="706"/>
      <c r="X199" s="706"/>
      <c r="Y199" s="706"/>
      <c r="Z199" s="467"/>
    </row>
    <row r="200" spans="1:26" x14ac:dyDescent="0.3">
      <c r="A200" s="454"/>
      <c r="B200" s="454"/>
      <c r="C200" s="454"/>
      <c r="D200" s="454"/>
      <c r="E200" s="454"/>
    </row>
    <row r="201" spans="1:26" x14ac:dyDescent="0.3">
      <c r="A201" s="454"/>
      <c r="B201" s="454"/>
      <c r="C201" s="454"/>
      <c r="D201" s="454"/>
      <c r="E201" s="454"/>
    </row>
  </sheetData>
  <mergeCells count="306">
    <mergeCell ref="E198:Y199"/>
    <mergeCell ref="E197:V197"/>
    <mergeCell ref="F179:H179"/>
    <mergeCell ref="F182:H182"/>
    <mergeCell ref="F185:H185"/>
    <mergeCell ref="F188:H188"/>
    <mergeCell ref="F191:H191"/>
    <mergeCell ref="F193:H194"/>
    <mergeCell ref="J194:L194"/>
    <mergeCell ref="O194:Q194"/>
    <mergeCell ref="T194:V194"/>
    <mergeCell ref="T193:V193"/>
    <mergeCell ref="T188:V188"/>
    <mergeCell ref="T189:V189"/>
    <mergeCell ref="T190:V190"/>
    <mergeCell ref="T191:V191"/>
    <mergeCell ref="T192:V192"/>
    <mergeCell ref="J193:L193"/>
    <mergeCell ref="O188:Q188"/>
    <mergeCell ref="O189:Q189"/>
    <mergeCell ref="O190:Q190"/>
    <mergeCell ref="O191:Q191"/>
    <mergeCell ref="J192:L192"/>
    <mergeCell ref="J183:L183"/>
    <mergeCell ref="J185:L185"/>
    <mergeCell ref="J188:L188"/>
    <mergeCell ref="J189:L189"/>
    <mergeCell ref="J190:L190"/>
    <mergeCell ref="O193:Q193"/>
    <mergeCell ref="E176:I177"/>
    <mergeCell ref="O180:Q180"/>
    <mergeCell ref="O181:Q181"/>
    <mergeCell ref="O182:Q182"/>
    <mergeCell ref="O183:Q183"/>
    <mergeCell ref="O184:Q184"/>
    <mergeCell ref="O185:Q185"/>
    <mergeCell ref="O186:Q186"/>
    <mergeCell ref="O187:Q187"/>
    <mergeCell ref="T184:V184"/>
    <mergeCell ref="J170:L170"/>
    <mergeCell ref="O170:Q170"/>
    <mergeCell ref="T170:V170"/>
    <mergeCell ref="F171:H171"/>
    <mergeCell ref="J171:L171"/>
    <mergeCell ref="O171:Q171"/>
    <mergeCell ref="T171:V171"/>
    <mergeCell ref="J172:L172"/>
    <mergeCell ref="O172:Q172"/>
    <mergeCell ref="T172:V172"/>
    <mergeCell ref="T176:X177"/>
    <mergeCell ref="J184:L184"/>
    <mergeCell ref="O166:Q166"/>
    <mergeCell ref="J167:L167"/>
    <mergeCell ref="O167:Q167"/>
    <mergeCell ref="F168:H168"/>
    <mergeCell ref="J168:L168"/>
    <mergeCell ref="O168:Q168"/>
    <mergeCell ref="T168:V168"/>
    <mergeCell ref="J169:L169"/>
    <mergeCell ref="O169:Q169"/>
    <mergeCell ref="T169:V169"/>
    <mergeCell ref="T166:V166"/>
    <mergeCell ref="T167:V167"/>
    <mergeCell ref="J166:L166"/>
    <mergeCell ref="O124:Q124"/>
    <mergeCell ref="O125:Q125"/>
    <mergeCell ref="J159:N160"/>
    <mergeCell ref="O159:S160"/>
    <mergeCell ref="J163:L163"/>
    <mergeCell ref="J164:L164"/>
    <mergeCell ref="J165:L165"/>
    <mergeCell ref="J125:L125"/>
    <mergeCell ref="J132:L132"/>
    <mergeCell ref="J133:L133"/>
    <mergeCell ref="J134:L134"/>
    <mergeCell ref="M154:P154"/>
    <mergeCell ref="M155:P155"/>
    <mergeCell ref="O135:Q135"/>
    <mergeCell ref="O136:Q136"/>
    <mergeCell ref="O137:Q137"/>
    <mergeCell ref="O162:Q162"/>
    <mergeCell ref="O163:Q163"/>
    <mergeCell ref="J138:L138"/>
    <mergeCell ref="O138:Q138"/>
    <mergeCell ref="O164:Q164"/>
    <mergeCell ref="O165:Q165"/>
    <mergeCell ref="J140:L140"/>
    <mergeCell ref="O140:Q140"/>
    <mergeCell ref="T134:V134"/>
    <mergeCell ref="T135:V135"/>
    <mergeCell ref="T125:V125"/>
    <mergeCell ref="T162:V162"/>
    <mergeCell ref="T159:X160"/>
    <mergeCell ref="T163:V163"/>
    <mergeCell ref="T164:V164"/>
    <mergeCell ref="T165:V165"/>
    <mergeCell ref="T132:V132"/>
    <mergeCell ref="T133:V133"/>
    <mergeCell ref="T138:V138"/>
    <mergeCell ref="T139:V139"/>
    <mergeCell ref="T140:V140"/>
    <mergeCell ref="F165:H165"/>
    <mergeCell ref="J162:L162"/>
    <mergeCell ref="J161:L161"/>
    <mergeCell ref="O161:Q161"/>
    <mergeCell ref="T161:V161"/>
    <mergeCell ref="E107:X108"/>
    <mergeCell ref="J109:N110"/>
    <mergeCell ref="O109:S110"/>
    <mergeCell ref="E128:X129"/>
    <mergeCell ref="J130:N131"/>
    <mergeCell ref="O130:S131"/>
    <mergeCell ref="O114:Q114"/>
    <mergeCell ref="O115:Q115"/>
    <mergeCell ref="O116:Q116"/>
    <mergeCell ref="O117:Q117"/>
    <mergeCell ref="O118:Q118"/>
    <mergeCell ref="O119:Q119"/>
    <mergeCell ref="O120:Q120"/>
    <mergeCell ref="O121:Q121"/>
    <mergeCell ref="O122:Q122"/>
    <mergeCell ref="O123:Q123"/>
    <mergeCell ref="F115:H115"/>
    <mergeCell ref="F118:H118"/>
    <mergeCell ref="E109:I110"/>
    <mergeCell ref="J123:L123"/>
    <mergeCell ref="J124:L124"/>
    <mergeCell ref="F112:H112"/>
    <mergeCell ref="J111:L111"/>
    <mergeCell ref="J89:L89"/>
    <mergeCell ref="O89:Q89"/>
    <mergeCell ref="T89:V89"/>
    <mergeCell ref="F121:H121"/>
    <mergeCell ref="F124:H124"/>
    <mergeCell ref="T123:V123"/>
    <mergeCell ref="T124:V124"/>
    <mergeCell ref="T114:V114"/>
    <mergeCell ref="T115:V115"/>
    <mergeCell ref="J114:L114"/>
    <mergeCell ref="J115:L115"/>
    <mergeCell ref="J116:L116"/>
    <mergeCell ref="J117:L117"/>
    <mergeCell ref="J118:L118"/>
    <mergeCell ref="J119:L119"/>
    <mergeCell ref="J120:L120"/>
    <mergeCell ref="J121:L121"/>
    <mergeCell ref="J122:L122"/>
    <mergeCell ref="T116:V116"/>
    <mergeCell ref="T122:V122"/>
    <mergeCell ref="T119:V119"/>
    <mergeCell ref="T120:V120"/>
    <mergeCell ref="T121:V121"/>
    <mergeCell ref="O85:Q85"/>
    <mergeCell ref="O86:Q86"/>
    <mergeCell ref="J85:L85"/>
    <mergeCell ref="J86:L86"/>
    <mergeCell ref="J87:L87"/>
    <mergeCell ref="O87:Q87"/>
    <mergeCell ref="T87:V87"/>
    <mergeCell ref="J112:L112"/>
    <mergeCell ref="J113:L113"/>
    <mergeCell ref="O111:Q111"/>
    <mergeCell ref="O112:Q112"/>
    <mergeCell ref="O113:Q113"/>
    <mergeCell ref="T111:V111"/>
    <mergeCell ref="T112:V112"/>
    <mergeCell ref="T113:V113"/>
    <mergeCell ref="T109:X110"/>
    <mergeCell ref="O82:Q82"/>
    <mergeCell ref="J84:L84"/>
    <mergeCell ref="O81:Q81"/>
    <mergeCell ref="T80:V80"/>
    <mergeCell ref="O80:Q80"/>
    <mergeCell ref="T117:V117"/>
    <mergeCell ref="T118:V118"/>
    <mergeCell ref="M104:P104"/>
    <mergeCell ref="M103:P103"/>
    <mergeCell ref="D196:G196"/>
    <mergeCell ref="E174:X175"/>
    <mergeCell ref="J176:N177"/>
    <mergeCell ref="O176:S177"/>
    <mergeCell ref="T178:V178"/>
    <mergeCell ref="T179:V179"/>
    <mergeCell ref="T180:V180"/>
    <mergeCell ref="J181:L181"/>
    <mergeCell ref="J182:L182"/>
    <mergeCell ref="T181:V181"/>
    <mergeCell ref="T182:V182"/>
    <mergeCell ref="J178:L178"/>
    <mergeCell ref="J179:L179"/>
    <mergeCell ref="J180:L180"/>
    <mergeCell ref="O178:Q178"/>
    <mergeCell ref="J191:L191"/>
    <mergeCell ref="O192:Q192"/>
    <mergeCell ref="J186:L186"/>
    <mergeCell ref="J187:L187"/>
    <mergeCell ref="T185:V185"/>
    <mergeCell ref="T186:V186"/>
    <mergeCell ref="T187:V187"/>
    <mergeCell ref="O179:Q179"/>
    <mergeCell ref="T183:V183"/>
    <mergeCell ref="F133:H133"/>
    <mergeCell ref="E130:I131"/>
    <mergeCell ref="F136:H136"/>
    <mergeCell ref="F162:H162"/>
    <mergeCell ref="T136:V136"/>
    <mergeCell ref="T137:V137"/>
    <mergeCell ref="J143:L143"/>
    <mergeCell ref="O143:Q143"/>
    <mergeCell ref="T143:V143"/>
    <mergeCell ref="E159:I160"/>
    <mergeCell ref="E157:X158"/>
    <mergeCell ref="T130:X131"/>
    <mergeCell ref="M153:P153"/>
    <mergeCell ref="J135:L135"/>
    <mergeCell ref="J136:L136"/>
    <mergeCell ref="J137:L137"/>
    <mergeCell ref="O132:Q132"/>
    <mergeCell ref="F142:H142"/>
    <mergeCell ref="J142:L142"/>
    <mergeCell ref="O142:Q142"/>
    <mergeCell ref="T142:V142"/>
    <mergeCell ref="F139:H139"/>
    <mergeCell ref="J139:L139"/>
    <mergeCell ref="O139:Q139"/>
    <mergeCell ref="E73:I74"/>
    <mergeCell ref="T73:X74"/>
    <mergeCell ref="F76:H76"/>
    <mergeCell ref="F79:H79"/>
    <mergeCell ref="F82:H82"/>
    <mergeCell ref="F85:H85"/>
    <mergeCell ref="T85:V85"/>
    <mergeCell ref="T86:V86"/>
    <mergeCell ref="T75:V75"/>
    <mergeCell ref="J73:N74"/>
    <mergeCell ref="O73:S74"/>
    <mergeCell ref="O78:Q78"/>
    <mergeCell ref="O77:Q77"/>
    <mergeCell ref="O76:Q76"/>
    <mergeCell ref="O75:Q75"/>
    <mergeCell ref="J75:L75"/>
    <mergeCell ref="J78:L78"/>
    <mergeCell ref="J81:L81"/>
    <mergeCell ref="J76:L76"/>
    <mergeCell ref="J77:L77"/>
    <mergeCell ref="J79:L79"/>
    <mergeCell ref="J80:L80"/>
    <mergeCell ref="T83:V83"/>
    <mergeCell ref="T84:V84"/>
    <mergeCell ref="F88:H88"/>
    <mergeCell ref="B64:I64"/>
    <mergeCell ref="B57:I57"/>
    <mergeCell ref="Q64:U64"/>
    <mergeCell ref="Q65:U65"/>
    <mergeCell ref="J63:O63"/>
    <mergeCell ref="J64:O65"/>
    <mergeCell ref="B68:Z68"/>
    <mergeCell ref="M102:P102"/>
    <mergeCell ref="E71:X72"/>
    <mergeCell ref="J88:L88"/>
    <mergeCell ref="O88:Q88"/>
    <mergeCell ref="T88:V88"/>
    <mergeCell ref="J82:L82"/>
    <mergeCell ref="J83:L83"/>
    <mergeCell ref="T76:V76"/>
    <mergeCell ref="T77:V77"/>
    <mergeCell ref="T78:V78"/>
    <mergeCell ref="T79:V79"/>
    <mergeCell ref="O79:Q79"/>
    <mergeCell ref="O83:Q83"/>
    <mergeCell ref="O84:Q84"/>
    <mergeCell ref="T81:V81"/>
    <mergeCell ref="T82:V82"/>
    <mergeCell ref="M52:P52"/>
    <mergeCell ref="M53:P53"/>
    <mergeCell ref="B56:G56"/>
    <mergeCell ref="B58:I58"/>
    <mergeCell ref="B59:I59"/>
    <mergeCell ref="B60:I60"/>
    <mergeCell ref="B61:I61"/>
    <mergeCell ref="B62:I62"/>
    <mergeCell ref="B63:I63"/>
    <mergeCell ref="J141:L141"/>
    <mergeCell ref="O141:Q141"/>
    <mergeCell ref="T141:V141"/>
    <mergeCell ref="O133:Q133"/>
    <mergeCell ref="O134:Q134"/>
    <mergeCell ref="B2:Y2"/>
    <mergeCell ref="B3:Y3"/>
    <mergeCell ref="H20:L20"/>
    <mergeCell ref="H21:L21"/>
    <mergeCell ref="B10:G10"/>
    <mergeCell ref="B12:G12"/>
    <mergeCell ref="B14:G14"/>
    <mergeCell ref="B16:G16"/>
    <mergeCell ref="B18:G18"/>
    <mergeCell ref="B20:G20"/>
    <mergeCell ref="H14:L14"/>
    <mergeCell ref="H16:L16"/>
    <mergeCell ref="H29:Z31"/>
    <mergeCell ref="B27:G27"/>
    <mergeCell ref="B29:G29"/>
    <mergeCell ref="R33:S33"/>
    <mergeCell ref="R34:S34"/>
    <mergeCell ref="T36:Y36"/>
    <mergeCell ref="M51:P51"/>
  </mergeCells>
  <pageMargins left="0" right="0" top="0" bottom="0" header="0" footer="0"/>
  <pageSetup paperSize="9" orientation="portrait" r:id="rId1"/>
  <headerFooter scaleWithDoc="0" alignWithMargins="0">
    <oddHeader>&amp;C&amp;G</oddHeader>
  </headerFooter>
  <legacy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B1092"/>
  <sheetViews>
    <sheetView topLeftCell="A64" zoomScaleNormal="100" workbookViewId="0">
      <selection activeCell="A127" sqref="A127"/>
    </sheetView>
  </sheetViews>
  <sheetFormatPr defaultColWidth="14.44140625" defaultRowHeight="15" customHeight="1" x14ac:dyDescent="0.3"/>
  <cols>
    <col min="1" max="1" width="9.5546875" customWidth="1"/>
    <col min="2" max="2" width="9.21875" customWidth="1"/>
    <col min="3" max="3" width="10.109375" customWidth="1"/>
    <col min="4" max="4" width="5.88671875" customWidth="1"/>
    <col min="5" max="9" width="7.6640625" customWidth="1"/>
    <col min="10" max="10" width="11.44140625" customWidth="1"/>
    <col min="11" max="14" width="7.6640625" customWidth="1"/>
    <col min="15" max="15" width="9.109375" customWidth="1"/>
    <col min="16" max="16" width="12.77734375" customWidth="1"/>
    <col min="17" max="28" width="9.109375" customWidth="1"/>
  </cols>
  <sheetData>
    <row r="1" spans="1:28" ht="3.75" customHeight="1" x14ac:dyDescent="0.3">
      <c r="A1" s="7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9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</row>
    <row r="2" spans="1:28" ht="14.25" customHeight="1" x14ac:dyDescent="0.3">
      <c r="A2" s="11"/>
      <c r="B2" s="12"/>
      <c r="C2" s="13"/>
      <c r="D2" s="13"/>
      <c r="E2" s="13"/>
      <c r="F2" s="811" t="s">
        <v>5</v>
      </c>
      <c r="G2" s="809"/>
      <c r="H2" s="809"/>
      <c r="I2" s="809"/>
      <c r="J2" s="809"/>
      <c r="K2" s="809"/>
      <c r="L2" s="809"/>
      <c r="M2" s="809"/>
      <c r="N2" s="812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</row>
    <row r="3" spans="1:28" ht="14.25" customHeight="1" x14ac:dyDescent="0.3">
      <c r="A3" s="11"/>
      <c r="B3" s="12"/>
      <c r="C3" s="13"/>
      <c r="D3" s="13"/>
      <c r="E3" s="13"/>
      <c r="F3" s="811" t="s">
        <v>6</v>
      </c>
      <c r="G3" s="809"/>
      <c r="H3" s="809"/>
      <c r="I3" s="809"/>
      <c r="J3" s="809"/>
      <c r="K3" s="809"/>
      <c r="L3" s="809"/>
      <c r="M3" s="809"/>
      <c r="N3" s="812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</row>
    <row r="4" spans="1:28" ht="14.25" customHeight="1" x14ac:dyDescent="0.3">
      <c r="A4" s="11"/>
      <c r="B4" s="12"/>
      <c r="C4" s="13"/>
      <c r="D4" s="13"/>
      <c r="E4" s="13"/>
      <c r="F4" s="811" t="s">
        <v>7</v>
      </c>
      <c r="G4" s="809"/>
      <c r="H4" s="809"/>
      <c r="I4" s="809"/>
      <c r="J4" s="809"/>
      <c r="K4" s="809"/>
      <c r="L4" s="809"/>
      <c r="M4" s="809"/>
      <c r="N4" s="812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</row>
    <row r="5" spans="1:28" ht="14.25" customHeight="1" x14ac:dyDescent="0.3">
      <c r="A5" s="11"/>
      <c r="B5" s="14"/>
      <c r="C5" s="13"/>
      <c r="D5" s="13"/>
      <c r="E5" s="13"/>
      <c r="F5" s="811" t="s">
        <v>8</v>
      </c>
      <c r="G5" s="809"/>
      <c r="H5" s="809"/>
      <c r="I5" s="809"/>
      <c r="J5" s="809"/>
      <c r="K5" s="809"/>
      <c r="L5" s="809"/>
      <c r="M5" s="809"/>
      <c r="N5" s="812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</row>
    <row r="6" spans="1:28" ht="3.75" customHeight="1" x14ac:dyDescent="0.3">
      <c r="A6" s="15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7"/>
      <c r="N6" s="18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</row>
    <row r="7" spans="1:28" ht="14.25" customHeight="1" x14ac:dyDescent="0.3">
      <c r="A7" s="817"/>
      <c r="B7" s="818"/>
      <c r="C7" s="818"/>
      <c r="D7" s="19"/>
      <c r="E7" s="19"/>
      <c r="F7" s="19"/>
      <c r="G7" s="19"/>
      <c r="H7" s="19"/>
      <c r="I7" s="19"/>
      <c r="J7" s="19"/>
      <c r="K7" s="19"/>
      <c r="L7" s="19"/>
      <c r="M7" s="19"/>
      <c r="N7" s="2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</row>
    <row r="8" spans="1:28" ht="14.25" customHeight="1" x14ac:dyDescent="0.3">
      <c r="A8" s="819" t="s">
        <v>9</v>
      </c>
      <c r="B8" s="794"/>
      <c r="C8" s="794"/>
      <c r="D8" s="21" t="s">
        <v>622</v>
      </c>
      <c r="E8" s="21"/>
      <c r="F8" s="21"/>
      <c r="G8" s="21"/>
      <c r="H8" s="14"/>
      <c r="I8" s="22" t="s">
        <v>10</v>
      </c>
      <c r="J8" s="14">
        <v>179</v>
      </c>
      <c r="K8" s="21" t="s">
        <v>623</v>
      </c>
      <c r="L8" s="21"/>
      <c r="M8" s="21"/>
      <c r="N8" s="23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</row>
    <row r="9" spans="1:28" ht="14.25" customHeight="1" x14ac:dyDescent="0.3">
      <c r="A9" s="819" t="s">
        <v>11</v>
      </c>
      <c r="B9" s="794"/>
      <c r="C9" s="794"/>
      <c r="D9" s="527" t="s">
        <v>562</v>
      </c>
      <c r="E9" s="24"/>
      <c r="F9" s="25"/>
      <c r="G9" s="21"/>
      <c r="H9" s="528" t="s">
        <v>619</v>
      </c>
      <c r="I9" s="527" t="s">
        <v>562</v>
      </c>
      <c r="J9" s="21"/>
      <c r="K9" s="21"/>
      <c r="L9" s="21"/>
      <c r="M9" s="21"/>
      <c r="N9" s="23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</row>
    <row r="10" spans="1:28" ht="14.25" customHeight="1" x14ac:dyDescent="0.3">
      <c r="A10" s="819" t="s">
        <v>12</v>
      </c>
      <c r="B10" s="794"/>
      <c r="C10" s="794"/>
      <c r="D10" s="527" t="s">
        <v>635</v>
      </c>
      <c r="E10" s="255"/>
      <c r="F10" s="255"/>
      <c r="G10" s="21"/>
      <c r="H10" s="21"/>
      <c r="I10" s="22" t="s">
        <v>13</v>
      </c>
      <c r="J10" s="527" t="s">
        <v>562</v>
      </c>
      <c r="K10" s="255"/>
      <c r="L10" s="21"/>
      <c r="M10" s="21"/>
      <c r="N10" s="23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</row>
    <row r="11" spans="1:28" ht="14.25" customHeight="1" x14ac:dyDescent="0.3">
      <c r="A11" s="819" t="s">
        <v>14</v>
      </c>
      <c r="B11" s="794"/>
      <c r="C11" s="794"/>
      <c r="D11" s="26" t="s">
        <v>629</v>
      </c>
      <c r="E11" s="26"/>
      <c r="F11" s="10"/>
      <c r="G11" s="26" t="s">
        <v>15</v>
      </c>
      <c r="H11" s="26"/>
      <c r="I11" s="26"/>
      <c r="J11" s="26"/>
      <c r="K11" s="26"/>
      <c r="L11" s="26"/>
      <c r="M11" s="26"/>
      <c r="N11" s="23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</row>
    <row r="12" spans="1:28" ht="14.25" customHeight="1" x14ac:dyDescent="0.3">
      <c r="A12" s="27" t="s">
        <v>16</v>
      </c>
      <c r="B12" s="21"/>
      <c r="C12" s="22"/>
      <c r="D12" s="820" t="s">
        <v>17</v>
      </c>
      <c r="E12" s="794"/>
      <c r="F12" s="28">
        <v>23.2</v>
      </c>
      <c r="G12" s="524">
        <f>FORECAST(F12,'24_THM A21011892'!B4:B5,'24_THM A21011892'!A4:A5)</f>
        <v>0.16363636363636402</v>
      </c>
      <c r="H12" s="21" t="s">
        <v>18</v>
      </c>
      <c r="I12" s="22"/>
      <c r="J12" s="22"/>
      <c r="K12" s="22" t="s">
        <v>17</v>
      </c>
      <c r="L12" s="28">
        <v>63.4</v>
      </c>
      <c r="M12" s="525">
        <f>FORECAST(L12,'24_THM A21011892'!F6:F7,'24_THM A21011892'!E6:E7)</f>
        <v>1.2938775510204081</v>
      </c>
      <c r="N12" s="29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</row>
    <row r="13" spans="1:28" ht="14.25" customHeight="1" x14ac:dyDescent="0.3">
      <c r="A13" s="27"/>
      <c r="B13" s="21"/>
      <c r="C13" s="22"/>
      <c r="D13" s="820" t="s">
        <v>19</v>
      </c>
      <c r="E13" s="794"/>
      <c r="F13" s="28">
        <v>22.5</v>
      </c>
      <c r="G13" s="524">
        <f>FORECAST(F13,'24_THM A21011892'!B4:B5,'24_THM A21011892'!A4:A5)</f>
        <v>0.22727272727272751</v>
      </c>
      <c r="H13" s="599"/>
      <c r="I13" s="21"/>
      <c r="J13" s="22"/>
      <c r="K13" s="22" t="s">
        <v>19</v>
      </c>
      <c r="L13" s="28">
        <v>63.2</v>
      </c>
      <c r="M13" s="525">
        <f>FORECAST(L13,'24_THM A21011892'!F6:F7,'24_THM A21011892'!E6:E7)</f>
        <v>1.2897959183673469</v>
      </c>
      <c r="N13" s="29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</row>
    <row r="14" spans="1:28" ht="14.25" customHeight="1" x14ac:dyDescent="0.3">
      <c r="A14" s="14"/>
      <c r="B14" s="14"/>
      <c r="C14" s="14"/>
      <c r="D14" s="14"/>
      <c r="E14" s="14"/>
      <c r="F14" s="39">
        <f>AVERAGE(F12:F13)</f>
        <v>22.85</v>
      </c>
      <c r="G14" s="46">
        <f>MAX(MAX(SUM(F12:G12),SUM(F13:G13))-F14,F14-MIN(SUM(F12:G12),SUM(F13:G13)))</f>
        <v>0.51363636363636189</v>
      </c>
      <c r="H14" s="14"/>
      <c r="I14" s="14"/>
      <c r="J14" s="14"/>
      <c r="K14" s="14"/>
      <c r="L14" s="39">
        <f>AVERAGE(L12:L13)</f>
        <v>63.3</v>
      </c>
      <c r="M14" s="46">
        <f>MAX(MAX(SUM(L12:M12),SUM(L13:M13))-L14,L14-MIN(SUM(L12:M12),SUM(L13:M13)))</f>
        <v>1.3938775510204096</v>
      </c>
      <c r="N14" s="14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</row>
    <row r="15" spans="1:28" ht="14.25" customHeight="1" x14ac:dyDescent="0.3">
      <c r="A15" s="813" t="s">
        <v>0</v>
      </c>
      <c r="B15" s="780"/>
      <c r="C15" s="27" t="s">
        <v>630</v>
      </c>
      <c r="D15" s="249"/>
      <c r="E15" s="30" t="s">
        <v>20</v>
      </c>
      <c r="F15" s="31"/>
      <c r="G15" s="27" t="s">
        <v>628</v>
      </c>
      <c r="H15" s="255"/>
      <c r="I15" s="249"/>
      <c r="J15" s="814" t="s">
        <v>21</v>
      </c>
      <c r="K15" s="790"/>
      <c r="L15" s="27"/>
      <c r="M15" s="21"/>
      <c r="N15" s="29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</row>
    <row r="16" spans="1:28" ht="14.25" customHeight="1" x14ac:dyDescent="0.3">
      <c r="A16" s="813" t="s">
        <v>22</v>
      </c>
      <c r="B16" s="780"/>
      <c r="C16" s="816">
        <v>45937</v>
      </c>
      <c r="D16" s="780"/>
      <c r="E16" s="30" t="s">
        <v>23</v>
      </c>
      <c r="F16" s="31"/>
      <c r="G16" s="27" t="s">
        <v>553</v>
      </c>
      <c r="H16" s="21"/>
      <c r="I16" s="21"/>
      <c r="J16" s="815"/>
      <c r="K16" s="812"/>
      <c r="L16" s="27"/>
      <c r="M16" s="21"/>
      <c r="N16" s="29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</row>
    <row r="17" spans="1:28" ht="14.25" customHeight="1" x14ac:dyDescent="0.3">
      <c r="A17" s="813" t="s">
        <v>24</v>
      </c>
      <c r="B17" s="780"/>
      <c r="C17" s="529">
        <v>45952</v>
      </c>
      <c r="D17" s="249"/>
      <c r="E17" s="30" t="s">
        <v>25</v>
      </c>
      <c r="F17" s="31"/>
      <c r="G17" s="27" t="s">
        <v>621</v>
      </c>
      <c r="H17" s="21"/>
      <c r="I17" s="26"/>
      <c r="J17" s="791"/>
      <c r="K17" s="792"/>
      <c r="L17" s="27"/>
      <c r="M17" s="21"/>
      <c r="N17" s="29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</row>
    <row r="18" spans="1:28" ht="14.25" customHeight="1" x14ac:dyDescent="0.3">
      <c r="A18" s="32" t="s">
        <v>26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33"/>
      <c r="N18" s="23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</row>
    <row r="19" spans="1:28" ht="14.25" customHeight="1" x14ac:dyDescent="0.3">
      <c r="A19" s="34"/>
      <c r="B19" s="14" t="s">
        <v>618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35"/>
      <c r="N19" s="2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</row>
    <row r="20" spans="1:28" ht="14.25" customHeight="1" x14ac:dyDescent="0.3">
      <c r="A20" s="3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35"/>
      <c r="N20" s="2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</row>
    <row r="21" spans="1:28" ht="14.25" customHeight="1" x14ac:dyDescent="0.3">
      <c r="A21" s="36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37"/>
      <c r="N21" s="38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</row>
    <row r="22" spans="1:28" ht="14.25" customHeight="1" x14ac:dyDescent="0.3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35"/>
      <c r="N22" s="14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</row>
    <row r="23" spans="1:28" ht="14.25" customHeight="1" x14ac:dyDescent="0.3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35"/>
      <c r="N23" s="14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</row>
    <row r="24" spans="1:28" ht="14.25" customHeight="1" x14ac:dyDescent="0.3">
      <c r="A24" s="629" t="s">
        <v>649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35"/>
      <c r="N24" s="14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</row>
    <row r="25" spans="1:28" ht="14.25" customHeight="1" x14ac:dyDescent="0.3">
      <c r="A25" s="789" t="s">
        <v>27</v>
      </c>
      <c r="B25" s="790"/>
      <c r="C25" s="789" t="s">
        <v>28</v>
      </c>
      <c r="D25" s="790"/>
      <c r="E25" s="793" t="s">
        <v>29</v>
      </c>
      <c r="F25" s="794"/>
      <c r="G25" s="794"/>
      <c r="H25" s="794"/>
      <c r="I25" s="794"/>
      <c r="J25" s="794"/>
      <c r="K25" s="794"/>
      <c r="L25" s="794"/>
      <c r="M25" s="794"/>
      <c r="N25" s="78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</row>
    <row r="26" spans="1:28" ht="14.25" customHeight="1" x14ac:dyDescent="0.3">
      <c r="A26" s="815"/>
      <c r="B26" s="792"/>
      <c r="C26" s="791"/>
      <c r="D26" s="792"/>
      <c r="E26" s="793" t="s">
        <v>30</v>
      </c>
      <c r="F26" s="821"/>
      <c r="G26" s="793" t="s">
        <v>31</v>
      </c>
      <c r="H26" s="780"/>
      <c r="I26" s="793" t="s">
        <v>32</v>
      </c>
      <c r="J26" s="780"/>
      <c r="K26" s="793" t="s">
        <v>33</v>
      </c>
      <c r="L26" s="780"/>
      <c r="M26" s="793" t="s">
        <v>34</v>
      </c>
      <c r="N26" s="780"/>
      <c r="P26" t="s">
        <v>648</v>
      </c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</row>
    <row r="27" spans="1:28" ht="14.25" customHeight="1" x14ac:dyDescent="0.3">
      <c r="A27" s="616">
        <v>600</v>
      </c>
      <c r="B27" s="623" t="s">
        <v>35</v>
      </c>
      <c r="C27" s="614"/>
      <c r="D27" s="613"/>
      <c r="E27" s="801"/>
      <c r="F27" s="822"/>
      <c r="G27" s="801"/>
      <c r="H27" s="822"/>
      <c r="I27" s="801"/>
      <c r="J27" s="822"/>
      <c r="K27" s="801"/>
      <c r="L27" s="822"/>
      <c r="M27" s="801"/>
      <c r="N27" s="822"/>
      <c r="P27" s="566" t="s">
        <v>638</v>
      </c>
      <c r="Q27" s="566" t="s">
        <v>639</v>
      </c>
      <c r="R27" s="10"/>
      <c r="S27" s="10"/>
      <c r="T27" s="10"/>
    </row>
    <row r="28" spans="1:28" ht="14.25" customHeight="1" x14ac:dyDescent="0.3">
      <c r="A28" s="615">
        <v>-60</v>
      </c>
      <c r="B28" s="526">
        <f>IF(P28&lt;=0.1,(ABS(SUM(AVERAGE(E28:N28),A28)/2)), "Non EMF")</f>
        <v>0</v>
      </c>
      <c r="C28" s="40">
        <f>IF(0.1*A27 &lt;329.9999, 0.1*A27,0.1*A27/1000)</f>
        <v>60</v>
      </c>
      <c r="D28" s="41" t="str">
        <f>IF(P28&lt;=0.329999,"mV",
IF(P28&lt;=3.29999, "V1",
IF(P28&lt;=32.9999,"V2",
IF(P28&lt;=329.9999,"V3",
IF(P28&lt;=1020,"V4",
"Number Out of Range"
)))))</f>
        <v>mV</v>
      </c>
      <c r="E28" s="779">
        <v>60</v>
      </c>
      <c r="F28" s="795"/>
      <c r="G28" s="779">
        <v>60</v>
      </c>
      <c r="H28" s="795"/>
      <c r="I28" s="779">
        <v>60</v>
      </c>
      <c r="J28" s="795"/>
      <c r="K28" s="779">
        <v>60</v>
      </c>
      <c r="L28" s="795"/>
      <c r="M28" s="779">
        <v>60</v>
      </c>
      <c r="N28" s="795"/>
      <c r="P28" s="566">
        <f>IF(B27="mV",A27*0.1/1000)</f>
        <v>0.06</v>
      </c>
      <c r="Q28" s="566" t="s">
        <v>36</v>
      </c>
      <c r="R28" s="10"/>
      <c r="S28" s="10"/>
      <c r="T28" s="10"/>
    </row>
    <row r="29" spans="1:28" ht="14.25" customHeight="1" x14ac:dyDescent="0.3">
      <c r="A29" s="27"/>
      <c r="B29" s="526" t="str">
        <f t="shared" ref="B29:B46" si="0">IF(P29&lt;=0.1,(ABS(SUM(AVERAGE(E29:N29),A29)/2)), "Non EMF")</f>
        <v>Non EMF</v>
      </c>
      <c r="C29" s="40">
        <f>IF(0.5*A27 &lt;329.9999, 0.5*A27,0.1*A27/1000)</f>
        <v>300</v>
      </c>
      <c r="D29" s="41" t="str">
        <f t="shared" ref="D29:D30" si="1">IF(P29&lt;=0.329999,"mV",
IF(P29&lt;=3.29999, "V1",
IF(P29&lt;=32.9999,"V2",
IF(P29&lt;=329.9999,"V3",
IF(P29&lt;=1020,"V4",
"Number Out of Range"
)))))</f>
        <v>mV</v>
      </c>
      <c r="E29" s="779">
        <v>299.89999999999998</v>
      </c>
      <c r="F29" s="795"/>
      <c r="G29" s="779">
        <v>299.89999999999998</v>
      </c>
      <c r="H29" s="795"/>
      <c r="I29" s="779">
        <v>299.89999999999998</v>
      </c>
      <c r="J29" s="795"/>
      <c r="K29" s="779">
        <v>299.89999999999998</v>
      </c>
      <c r="L29" s="795"/>
      <c r="M29" s="779">
        <v>299.89999999999998</v>
      </c>
      <c r="N29" s="795"/>
      <c r="P29" s="566">
        <f>IF(B27="mV",A27*0.5/1000)</f>
        <v>0.3</v>
      </c>
      <c r="Q29" s="566" t="s">
        <v>36</v>
      </c>
      <c r="R29" s="10"/>
      <c r="S29" s="10"/>
      <c r="T29" s="10"/>
    </row>
    <row r="30" spans="1:28" ht="14.25" customHeight="1" x14ac:dyDescent="0.3">
      <c r="A30" s="619"/>
      <c r="B30" s="526" t="str">
        <f t="shared" si="0"/>
        <v>Non EMF</v>
      </c>
      <c r="C30" s="40">
        <f>IF(0.9*A27&lt;329.9999,0.9*A27,(0.9*A27)/1000)</f>
        <v>0.54</v>
      </c>
      <c r="D30" s="41" t="str">
        <f t="shared" si="1"/>
        <v>V1</v>
      </c>
      <c r="E30" s="779">
        <v>539.9</v>
      </c>
      <c r="F30" s="795"/>
      <c r="G30" s="779">
        <v>539.9</v>
      </c>
      <c r="H30" s="795"/>
      <c r="I30" s="779">
        <v>539.9</v>
      </c>
      <c r="J30" s="795"/>
      <c r="K30" s="779">
        <v>539.9</v>
      </c>
      <c r="L30" s="795"/>
      <c r="M30" s="779">
        <v>539.9</v>
      </c>
      <c r="N30" s="795"/>
      <c r="P30" s="566">
        <f>IF(B27="mV",A27*0.9/1000)</f>
        <v>0.54</v>
      </c>
      <c r="Q30" s="566" t="s">
        <v>36</v>
      </c>
      <c r="R30" s="10"/>
      <c r="S30" s="10"/>
      <c r="T30" s="10"/>
    </row>
    <row r="31" spans="1:28" ht="14.25" customHeight="1" x14ac:dyDescent="0.3">
      <c r="A31" s="621">
        <v>6</v>
      </c>
      <c r="B31" s="623" t="s">
        <v>36</v>
      </c>
      <c r="C31" s="612"/>
      <c r="D31" s="613"/>
      <c r="E31" s="788"/>
      <c r="F31" s="805"/>
      <c r="G31" s="788"/>
      <c r="H31" s="786"/>
      <c r="I31" s="788"/>
      <c r="J31" s="786"/>
      <c r="K31" s="788"/>
      <c r="L31" s="786"/>
      <c r="M31" s="788"/>
      <c r="N31" s="786"/>
      <c r="P31" s="566"/>
      <c r="Q31" s="566"/>
      <c r="R31" s="10"/>
      <c r="S31" s="10"/>
      <c r="T31" s="10"/>
    </row>
    <row r="32" spans="1:28" ht="14.25" customHeight="1" x14ac:dyDescent="0.3">
      <c r="A32" s="620"/>
      <c r="B32" s="526" t="str">
        <f t="shared" si="0"/>
        <v>Non EMF</v>
      </c>
      <c r="C32" s="42">
        <f>0.1*A31</f>
        <v>0.60000000000000009</v>
      </c>
      <c r="D32" s="41" t="str">
        <f>IF(P32&lt;=0.329999,"mV",
IF(P32&lt;=3.29999, "V1",
IF(P32&lt;=32.9999,"V2",
IF(P32&lt;=329.9999,"V3",
IF(P32&lt;=1020,"V4",
"Number Out of Range"
)))))</f>
        <v>V1</v>
      </c>
      <c r="E32" s="823">
        <v>0.6</v>
      </c>
      <c r="F32" s="824"/>
      <c r="G32" s="823">
        <v>0.6</v>
      </c>
      <c r="H32" s="825"/>
      <c r="I32" s="823">
        <v>0.6</v>
      </c>
      <c r="J32" s="825"/>
      <c r="K32" s="823">
        <v>0.6</v>
      </c>
      <c r="L32" s="825"/>
      <c r="M32" s="823">
        <v>0.6</v>
      </c>
      <c r="N32" s="825"/>
      <c r="P32" s="566">
        <f>A31*0.1</f>
        <v>0.60000000000000009</v>
      </c>
      <c r="Q32" s="566" t="s">
        <v>36</v>
      </c>
      <c r="R32" s="10"/>
      <c r="S32" s="10"/>
      <c r="T32" s="10"/>
    </row>
    <row r="33" spans="1:20" ht="14.25" customHeight="1" x14ac:dyDescent="0.3">
      <c r="A33" s="44"/>
      <c r="B33" s="526" t="str">
        <f t="shared" si="0"/>
        <v>Non EMF</v>
      </c>
      <c r="C33" s="42">
        <f>0.5*A31</f>
        <v>3</v>
      </c>
      <c r="D33" s="41" t="str">
        <f t="shared" ref="D33:D34" si="2">IF(P33&lt;=0.329999,"mV",
IF(P33&lt;=3.29999, "V1",
IF(P33&lt;=32.9999,"V2",
IF(P33&lt;=329.9999,"V3",
IF(P33&lt;=1020,"V4",
"Number Out of Range"
)))))</f>
        <v>V1</v>
      </c>
      <c r="E33" s="823">
        <v>2.9990000000000001</v>
      </c>
      <c r="F33" s="824"/>
      <c r="G33" s="823">
        <v>2.9990000000000001</v>
      </c>
      <c r="H33" s="826"/>
      <c r="I33" s="823">
        <v>2.9990000000000001</v>
      </c>
      <c r="J33" s="826"/>
      <c r="K33" s="823">
        <v>2.9990000000000001</v>
      </c>
      <c r="L33" s="826"/>
      <c r="M33" s="823">
        <v>2.9990000000000001</v>
      </c>
      <c r="N33" s="826"/>
      <c r="P33" s="566">
        <f>0.5*A31</f>
        <v>3</v>
      </c>
      <c r="Q33" s="566" t="s">
        <v>36</v>
      </c>
      <c r="R33" s="10"/>
      <c r="S33" s="10"/>
      <c r="T33" s="10"/>
    </row>
    <row r="34" spans="1:20" ht="14.25" customHeight="1" x14ac:dyDescent="0.3">
      <c r="A34" s="44"/>
      <c r="B34" s="526" t="str">
        <f t="shared" si="0"/>
        <v>Non EMF</v>
      </c>
      <c r="C34" s="43">
        <f>0.9*A31</f>
        <v>5.4</v>
      </c>
      <c r="D34" s="41" t="str">
        <f t="shared" si="2"/>
        <v>V2</v>
      </c>
      <c r="E34" s="823">
        <v>5.399</v>
      </c>
      <c r="F34" s="824"/>
      <c r="G34" s="823">
        <v>5.399</v>
      </c>
      <c r="H34" s="825"/>
      <c r="I34" s="823">
        <v>5.399</v>
      </c>
      <c r="J34" s="825"/>
      <c r="K34" s="823">
        <v>5.399</v>
      </c>
      <c r="L34" s="825"/>
      <c r="M34" s="823">
        <v>5.399</v>
      </c>
      <c r="N34" s="825"/>
      <c r="P34" s="566">
        <f>0.9*A31</f>
        <v>5.4</v>
      </c>
      <c r="Q34" s="566" t="s">
        <v>36</v>
      </c>
      <c r="R34" s="10"/>
      <c r="S34" s="10"/>
      <c r="T34" s="10"/>
    </row>
    <row r="35" spans="1:20" ht="14.25" customHeight="1" x14ac:dyDescent="0.3">
      <c r="A35" s="617">
        <v>60</v>
      </c>
      <c r="B35" s="623" t="s">
        <v>36</v>
      </c>
      <c r="C35" s="612"/>
      <c r="D35" s="613"/>
      <c r="E35" s="788"/>
      <c r="F35" s="805"/>
      <c r="G35" s="788"/>
      <c r="H35" s="786"/>
      <c r="I35" s="788"/>
      <c r="J35" s="786"/>
      <c r="K35" s="788"/>
      <c r="L35" s="786"/>
      <c r="M35" s="788"/>
      <c r="N35" s="786"/>
      <c r="P35" s="566"/>
      <c r="Q35" s="566"/>
      <c r="R35" s="10"/>
      <c r="S35" s="10"/>
      <c r="T35" s="10"/>
    </row>
    <row r="36" spans="1:20" ht="14.25" customHeight="1" x14ac:dyDescent="0.3">
      <c r="A36" s="51"/>
      <c r="B36" s="526" t="str">
        <f t="shared" si="0"/>
        <v>Non EMF</v>
      </c>
      <c r="C36" s="43">
        <f>0.1*A35</f>
        <v>6</v>
      </c>
      <c r="D36" s="41" t="str">
        <f>IF(P36&lt;=0.329999,"mV",
IF(P36&lt;=3.29999, "V1",
IF(P36&lt;=32.9999,"V2",
IF(P36&lt;=329.9999,"V3",
IF(P36&lt;=1020,"V4",
"Number Out of Range"
)))))</f>
        <v>V2</v>
      </c>
      <c r="E36" s="827">
        <v>6</v>
      </c>
      <c r="F36" s="828"/>
      <c r="G36" s="827">
        <v>6</v>
      </c>
      <c r="H36" s="826"/>
      <c r="I36" s="827">
        <v>6</v>
      </c>
      <c r="J36" s="826"/>
      <c r="K36" s="827">
        <v>6</v>
      </c>
      <c r="L36" s="826"/>
      <c r="M36" s="827">
        <v>6</v>
      </c>
      <c r="N36" s="826"/>
      <c r="P36" s="566">
        <f>0.1*A35</f>
        <v>6</v>
      </c>
      <c r="Q36" s="566" t="s">
        <v>36</v>
      </c>
      <c r="R36" s="10"/>
      <c r="S36" s="10"/>
      <c r="T36" s="10"/>
    </row>
    <row r="37" spans="1:20" ht="14.25" customHeight="1" x14ac:dyDescent="0.3">
      <c r="A37" s="27"/>
      <c r="B37" s="526" t="str">
        <f t="shared" si="0"/>
        <v>Non EMF</v>
      </c>
      <c r="C37" s="43">
        <f>0.5*A35</f>
        <v>30</v>
      </c>
      <c r="D37" s="41" t="str">
        <f t="shared" ref="D37:D38" si="3">IF(P37&lt;=0.329999,"mV",
IF(P37&lt;=3.29999, "V1",
IF(P37&lt;=32.9999,"V2",
IF(P37&lt;=329.9999,"V3",
IF(P37&lt;=1020,"V4",
"Number Out of Range"
)))))</f>
        <v>V2</v>
      </c>
      <c r="E37" s="827">
        <v>30</v>
      </c>
      <c r="F37" s="828"/>
      <c r="G37" s="827">
        <v>30</v>
      </c>
      <c r="H37" s="826"/>
      <c r="I37" s="827">
        <v>30</v>
      </c>
      <c r="J37" s="826"/>
      <c r="K37" s="827">
        <v>30</v>
      </c>
      <c r="L37" s="826"/>
      <c r="M37" s="827">
        <v>30</v>
      </c>
      <c r="N37" s="826"/>
      <c r="P37" s="566">
        <f>0.5*A35</f>
        <v>30</v>
      </c>
      <c r="Q37" s="566" t="s">
        <v>36</v>
      </c>
      <c r="R37" s="10"/>
      <c r="S37" s="10"/>
      <c r="T37" s="10"/>
    </row>
    <row r="38" spans="1:20" ht="14.25" customHeight="1" x14ac:dyDescent="0.3">
      <c r="A38" s="27"/>
      <c r="B38" s="526" t="str">
        <f t="shared" si="0"/>
        <v>Non EMF</v>
      </c>
      <c r="C38" s="40">
        <f>0.9*A35</f>
        <v>54</v>
      </c>
      <c r="D38" s="41" t="str">
        <f t="shared" si="3"/>
        <v>V3</v>
      </c>
      <c r="E38" s="827">
        <v>53.99</v>
      </c>
      <c r="F38" s="828"/>
      <c r="G38" s="827">
        <v>53.99</v>
      </c>
      <c r="H38" s="829"/>
      <c r="I38" s="827">
        <v>53.99</v>
      </c>
      <c r="J38" s="829"/>
      <c r="K38" s="827">
        <v>53.99</v>
      </c>
      <c r="L38" s="829"/>
      <c r="M38" s="827">
        <v>53.99</v>
      </c>
      <c r="N38" s="829"/>
      <c r="P38" s="566">
        <f>0.9*A35</f>
        <v>54</v>
      </c>
      <c r="Q38" s="566" t="s">
        <v>36</v>
      </c>
      <c r="R38" s="10"/>
      <c r="S38" s="10"/>
      <c r="T38" s="10"/>
    </row>
    <row r="39" spans="1:20" ht="14.25" customHeight="1" x14ac:dyDescent="0.3">
      <c r="A39" s="618">
        <v>600</v>
      </c>
      <c r="B39" s="623" t="s">
        <v>36</v>
      </c>
      <c r="C39" s="612"/>
      <c r="D39" s="613"/>
      <c r="E39" s="788"/>
      <c r="F39" s="805"/>
      <c r="G39" s="788"/>
      <c r="H39" s="786"/>
      <c r="I39" s="788"/>
      <c r="J39" s="786"/>
      <c r="K39" s="788"/>
      <c r="L39" s="786"/>
      <c r="M39" s="788"/>
      <c r="N39" s="786"/>
      <c r="P39" s="566"/>
      <c r="Q39" s="566"/>
      <c r="R39" s="10"/>
      <c r="S39" s="10"/>
      <c r="T39" s="10"/>
    </row>
    <row r="40" spans="1:20" ht="14.25" customHeight="1" x14ac:dyDescent="0.3">
      <c r="A40" s="27"/>
      <c r="B40" s="526" t="str">
        <f t="shared" si="0"/>
        <v>Non EMF</v>
      </c>
      <c r="C40" s="40">
        <f>0.1*A39</f>
        <v>60</v>
      </c>
      <c r="D40" s="41" t="str">
        <f>IF(P40&lt;=0.329999,"mV",
IF(P40&lt;=3.29999, "V1",
IF(P40&lt;=32.9999,"V2",
IF(P40&lt;=329.9999,"V3",
IF(P40&lt;=1020,"V4",
"Number Out of Range"
)))))</f>
        <v>V3</v>
      </c>
      <c r="E40" s="779">
        <v>60</v>
      </c>
      <c r="F40" s="795"/>
      <c r="G40" s="779">
        <v>60</v>
      </c>
      <c r="H40" s="780"/>
      <c r="I40" s="779">
        <v>60</v>
      </c>
      <c r="J40" s="780"/>
      <c r="K40" s="779">
        <v>60</v>
      </c>
      <c r="L40" s="780"/>
      <c r="M40" s="779">
        <v>60</v>
      </c>
      <c r="N40" s="780"/>
      <c r="P40" s="566">
        <f>0.1*A39</f>
        <v>60</v>
      </c>
      <c r="Q40" s="566" t="s">
        <v>36</v>
      </c>
      <c r="R40" s="10"/>
      <c r="S40" s="10"/>
      <c r="T40" s="10"/>
    </row>
    <row r="41" spans="1:20" ht="14.25" customHeight="1" x14ac:dyDescent="0.3">
      <c r="A41" s="27"/>
      <c r="B41" s="526" t="str">
        <f t="shared" si="0"/>
        <v>Non EMF</v>
      </c>
      <c r="C41" s="40">
        <f>0.5*A39</f>
        <v>300</v>
      </c>
      <c r="D41" s="41" t="str">
        <f t="shared" ref="D41:D42" si="4">IF(P41&lt;=0.329999,"mV",
IF(P41&lt;=3.29999, "V1",
IF(P41&lt;=32.9999,"V2",
IF(P41&lt;=329.9999,"V3",
IF(P41&lt;=1020,"V4",
"Number Out of Range"
)))))</f>
        <v>V3</v>
      </c>
      <c r="E41" s="779">
        <v>299.89999999999998</v>
      </c>
      <c r="F41" s="795"/>
      <c r="G41" s="779">
        <v>299.89999999999998</v>
      </c>
      <c r="H41" s="780"/>
      <c r="I41" s="779">
        <v>299.89999999999998</v>
      </c>
      <c r="J41" s="780"/>
      <c r="K41" s="779">
        <v>299.89999999999998</v>
      </c>
      <c r="L41" s="780"/>
      <c r="M41" s="779">
        <v>299.89999999999998</v>
      </c>
      <c r="N41" s="780"/>
      <c r="P41" s="566">
        <f>0.5*A39</f>
        <v>300</v>
      </c>
      <c r="Q41" s="566" t="s">
        <v>36</v>
      </c>
      <c r="R41" s="10"/>
      <c r="S41" s="10"/>
      <c r="T41" s="10"/>
    </row>
    <row r="42" spans="1:20" ht="14.25" customHeight="1" x14ac:dyDescent="0.3">
      <c r="A42" s="32"/>
      <c r="B42" s="526" t="str">
        <f t="shared" si="0"/>
        <v>Non EMF</v>
      </c>
      <c r="C42" s="44">
        <f>0.9*A39</f>
        <v>540</v>
      </c>
      <c r="D42" s="41" t="str">
        <f t="shared" si="4"/>
        <v>V4</v>
      </c>
      <c r="E42" s="779">
        <v>539.9</v>
      </c>
      <c r="F42" s="795"/>
      <c r="G42" s="779">
        <v>539.9</v>
      </c>
      <c r="H42" s="802"/>
      <c r="I42" s="779">
        <v>539.9</v>
      </c>
      <c r="J42" s="802"/>
      <c r="K42" s="779">
        <v>539.9</v>
      </c>
      <c r="L42" s="802"/>
      <c r="M42" s="779">
        <v>539.9</v>
      </c>
      <c r="N42" s="802"/>
      <c r="P42" s="566">
        <f>0.9*A39</f>
        <v>540</v>
      </c>
      <c r="Q42" s="566" t="s">
        <v>36</v>
      </c>
      <c r="R42" s="10"/>
      <c r="S42" s="10"/>
      <c r="T42" s="10"/>
    </row>
    <row r="43" spans="1:20" ht="14.25" customHeight="1" x14ac:dyDescent="0.3">
      <c r="A43" s="622">
        <v>1000</v>
      </c>
      <c r="B43" s="623" t="s">
        <v>36</v>
      </c>
      <c r="C43" s="612"/>
      <c r="D43" s="613"/>
      <c r="E43" s="788"/>
      <c r="F43" s="805"/>
      <c r="G43" s="788"/>
      <c r="H43" s="786"/>
      <c r="I43" s="788"/>
      <c r="J43" s="786"/>
      <c r="K43" s="788"/>
      <c r="L43" s="786"/>
      <c r="M43" s="788"/>
      <c r="N43" s="786"/>
      <c r="P43" s="566"/>
      <c r="Q43" s="566"/>
      <c r="R43" s="10"/>
      <c r="S43" s="10"/>
      <c r="T43" s="10"/>
    </row>
    <row r="44" spans="1:20" ht="14.25" customHeight="1" x14ac:dyDescent="0.3">
      <c r="A44" s="36"/>
      <c r="B44" s="526" t="str">
        <f t="shared" si="0"/>
        <v>Non EMF</v>
      </c>
      <c r="C44" s="40">
        <f>0.1*A43</f>
        <v>100</v>
      </c>
      <c r="D44" s="41" t="str">
        <f>IF(P44&lt;=0.329999,"mV",
IF(P44&lt;=3.29999, "V1",
IF(P44&lt;=32.9999,"V2",
IF(P44&lt;=329.9999,"V3",
IF(P44&lt;=1020,"V4",
"Number Out of Range"
)))))</f>
        <v>V3</v>
      </c>
      <c r="E44" s="803">
        <v>100</v>
      </c>
      <c r="F44" s="832"/>
      <c r="G44" s="803">
        <v>100</v>
      </c>
      <c r="H44" s="804"/>
      <c r="I44" s="803">
        <v>100</v>
      </c>
      <c r="J44" s="804"/>
      <c r="K44" s="803">
        <v>100</v>
      </c>
      <c r="L44" s="804"/>
      <c r="M44" s="803">
        <v>100</v>
      </c>
      <c r="N44" s="804"/>
      <c r="P44" s="566">
        <f>0.1*A43</f>
        <v>100</v>
      </c>
      <c r="Q44" s="566" t="s">
        <v>36</v>
      </c>
      <c r="R44" s="10"/>
      <c r="S44" s="10"/>
      <c r="T44" s="10"/>
    </row>
    <row r="45" spans="1:20" ht="14.25" customHeight="1" x14ac:dyDescent="0.3">
      <c r="A45" s="27"/>
      <c r="B45" s="526" t="str">
        <f t="shared" si="0"/>
        <v>Non EMF</v>
      </c>
      <c r="C45" s="44">
        <f>0.5*A43</f>
        <v>500</v>
      </c>
      <c r="D45" s="41" t="str">
        <f t="shared" ref="D45:D46" si="5">IF(P45&lt;=0.329999,"mV",
IF(P45&lt;=3.29999, "V1",
IF(P45&lt;=32.9999,"V2",
IF(P45&lt;=329.9999,"V3",
IF(P45&lt;=1020,"V4",
"Number Out of Range"
)))))</f>
        <v>V4</v>
      </c>
      <c r="E45" s="803">
        <v>500</v>
      </c>
      <c r="F45" s="832"/>
      <c r="G45" s="803">
        <v>500</v>
      </c>
      <c r="H45" s="804"/>
      <c r="I45" s="803">
        <v>500</v>
      </c>
      <c r="J45" s="804"/>
      <c r="K45" s="803">
        <v>500</v>
      </c>
      <c r="L45" s="804"/>
      <c r="M45" s="803">
        <v>500</v>
      </c>
      <c r="N45" s="804"/>
      <c r="P45" s="566">
        <f>0.5*A43</f>
        <v>500</v>
      </c>
      <c r="Q45" s="566" t="s">
        <v>36</v>
      </c>
      <c r="R45" s="10"/>
      <c r="S45" s="10"/>
      <c r="T45" s="10"/>
    </row>
    <row r="46" spans="1:20" ht="14.25" customHeight="1" x14ac:dyDescent="0.3">
      <c r="A46" s="27"/>
      <c r="B46" s="526" t="str">
        <f t="shared" si="0"/>
        <v>Non EMF</v>
      </c>
      <c r="C46" s="44">
        <f>0.9*A43</f>
        <v>900</v>
      </c>
      <c r="D46" s="41" t="str">
        <f t="shared" si="5"/>
        <v>V4</v>
      </c>
      <c r="E46" s="830">
        <v>900</v>
      </c>
      <c r="F46" s="831"/>
      <c r="G46" s="830">
        <v>900</v>
      </c>
      <c r="H46" s="804"/>
      <c r="I46" s="830">
        <v>900</v>
      </c>
      <c r="J46" s="804"/>
      <c r="K46" s="830">
        <v>900</v>
      </c>
      <c r="L46" s="804"/>
      <c r="M46" s="830">
        <v>900</v>
      </c>
      <c r="N46" s="804"/>
      <c r="P46" s="566">
        <f>0.9*A43</f>
        <v>900</v>
      </c>
      <c r="Q46" s="566" t="s">
        <v>36</v>
      </c>
      <c r="R46" s="10"/>
      <c r="S46" s="10"/>
      <c r="T46" s="10"/>
    </row>
    <row r="47" spans="1:20" ht="14.25" customHeight="1" x14ac:dyDescent="0.3">
      <c r="O47" s="10"/>
      <c r="P47" s="10"/>
      <c r="Q47" s="10"/>
      <c r="R47" s="10"/>
      <c r="S47" s="10"/>
      <c r="T47" s="10"/>
    </row>
    <row r="48" spans="1:20" ht="14.25" customHeight="1" x14ac:dyDescent="0.3">
      <c r="O48" s="10"/>
      <c r="P48" s="10"/>
      <c r="Q48" s="10"/>
      <c r="R48" s="10"/>
      <c r="S48" s="10"/>
      <c r="T48" s="10"/>
    </row>
    <row r="49" spans="1:20" ht="14.25" customHeight="1" x14ac:dyDescent="0.3">
      <c r="A49" s="629" t="s">
        <v>654</v>
      </c>
      <c r="O49" s="10"/>
      <c r="P49" s="10"/>
      <c r="Q49" s="10"/>
      <c r="R49" s="10"/>
      <c r="S49" s="10"/>
      <c r="T49" s="10"/>
    </row>
    <row r="50" spans="1:20" ht="14.25" customHeight="1" x14ac:dyDescent="0.3">
      <c r="A50" s="789" t="s">
        <v>27</v>
      </c>
      <c r="B50" s="790"/>
      <c r="C50" s="789" t="s">
        <v>28</v>
      </c>
      <c r="D50" s="790"/>
      <c r="E50" s="793" t="s">
        <v>29</v>
      </c>
      <c r="F50" s="794"/>
      <c r="G50" s="794"/>
      <c r="H50" s="794"/>
      <c r="I50" s="794"/>
      <c r="J50" s="794"/>
      <c r="K50" s="794"/>
      <c r="L50" s="794"/>
      <c r="M50" s="794"/>
      <c r="N50" s="780"/>
      <c r="R50" s="10"/>
      <c r="S50" s="10"/>
      <c r="T50" s="10"/>
    </row>
    <row r="51" spans="1:20" ht="14.25" customHeight="1" x14ac:dyDescent="0.3">
      <c r="A51" s="815"/>
      <c r="B51" s="792"/>
      <c r="C51" s="791"/>
      <c r="D51" s="792"/>
      <c r="E51" s="793" t="s">
        <v>30</v>
      </c>
      <c r="F51" s="780"/>
      <c r="G51" s="793" t="s">
        <v>31</v>
      </c>
      <c r="H51" s="780"/>
      <c r="I51" s="793" t="s">
        <v>32</v>
      </c>
      <c r="J51" s="780"/>
      <c r="K51" s="793" t="s">
        <v>33</v>
      </c>
      <c r="L51" s="780"/>
      <c r="M51" s="793" t="s">
        <v>34</v>
      </c>
      <c r="N51" s="780"/>
    </row>
    <row r="52" spans="1:20" ht="14.25" customHeight="1" x14ac:dyDescent="0.3">
      <c r="A52" s="617">
        <v>600</v>
      </c>
      <c r="B52" s="623" t="s">
        <v>35</v>
      </c>
      <c r="C52" s="631"/>
      <c r="D52" s="632"/>
      <c r="E52" s="627"/>
      <c r="F52" s="628"/>
      <c r="G52" s="627"/>
      <c r="H52" s="628"/>
      <c r="I52" s="627"/>
      <c r="J52" s="628"/>
      <c r="K52" s="627"/>
      <c r="L52" s="628"/>
      <c r="M52" s="627"/>
      <c r="N52" s="628"/>
      <c r="P52" s="566" t="s">
        <v>638</v>
      </c>
      <c r="Q52" s="566" t="s">
        <v>639</v>
      </c>
    </row>
    <row r="53" spans="1:20" ht="14.25" customHeight="1" x14ac:dyDescent="0.3">
      <c r="A53" s="617">
        <v>50</v>
      </c>
      <c r="B53" s="623" t="s">
        <v>39</v>
      </c>
      <c r="C53" s="40">
        <f>IF(0.1*A52 &lt;329.9999, 0.1*A52,0.1*A52/1000)</f>
        <v>60</v>
      </c>
      <c r="D53" s="41" t="str">
        <f>IF(P53&lt;=0.329999,"mV",
IF(P53&lt;=3.29999, "V1",
IF(P53&lt;=32.9999,"V2",
IF(P53&lt;=329.9999,"V3",
IF(P53&lt;=1020,"V4",
"Number Out of Range"
)))))</f>
        <v>mV</v>
      </c>
      <c r="E53" s="779">
        <v>60.3</v>
      </c>
      <c r="F53" s="802"/>
      <c r="G53" s="779">
        <v>60.3</v>
      </c>
      <c r="H53" s="802"/>
      <c r="I53" s="779">
        <v>60.3</v>
      </c>
      <c r="J53" s="802"/>
      <c r="K53" s="779">
        <v>60.3</v>
      </c>
      <c r="L53" s="802"/>
      <c r="M53" s="779">
        <v>60.3</v>
      </c>
      <c r="N53" s="802"/>
      <c r="P53" s="566">
        <f>IF(B52="mV",A52*0.1/1000)</f>
        <v>0.06</v>
      </c>
      <c r="Q53" s="566" t="s">
        <v>36</v>
      </c>
    </row>
    <row r="54" spans="1:20" ht="14.25" customHeight="1" x14ac:dyDescent="0.3">
      <c r="C54" s="40">
        <f>IF(0.5*A52 &lt;329.9999, 0.5*A52,0.1*A52/1000)</f>
        <v>300</v>
      </c>
      <c r="D54" s="41" t="str">
        <f t="shared" ref="D54:D55" si="6">IF(P54&lt;=0.329999,"mV",
IF(P54&lt;=3.29999, "V1",
IF(P54&lt;=32.9999,"V2",
IF(P54&lt;=329.9999,"V3",
IF(P54&lt;=1020,"V4",
"Number Out of Range"
)))))</f>
        <v>mV</v>
      </c>
      <c r="E54" s="779">
        <v>300.10000000000002</v>
      </c>
      <c r="F54" s="802"/>
      <c r="G54" s="779">
        <v>300.10000000000002</v>
      </c>
      <c r="H54" s="802"/>
      <c r="I54" s="779">
        <v>300.10000000000002</v>
      </c>
      <c r="J54" s="802"/>
      <c r="K54" s="779">
        <v>300.10000000000002</v>
      </c>
      <c r="L54" s="802"/>
      <c r="M54" s="779">
        <v>300.10000000000002</v>
      </c>
      <c r="N54" s="802"/>
      <c r="P54" s="566">
        <f>IF(B52="mV",A52*0.5/1000)</f>
        <v>0.3</v>
      </c>
      <c r="Q54" s="566" t="s">
        <v>36</v>
      </c>
    </row>
    <row r="55" spans="1:20" ht="14.25" customHeight="1" x14ac:dyDescent="0.3">
      <c r="A55" s="27"/>
      <c r="B55" s="29"/>
      <c r="C55" s="40">
        <f>IF(0.9*A52&lt;329.9999,0.9*A52,(0.9*A52)/1000)</f>
        <v>0.54</v>
      </c>
      <c r="D55" s="41" t="str">
        <f t="shared" si="6"/>
        <v>V1</v>
      </c>
      <c r="E55" s="779">
        <v>539.70000000000005</v>
      </c>
      <c r="F55" s="802"/>
      <c r="G55" s="779">
        <v>539.79999999999995</v>
      </c>
      <c r="H55" s="802"/>
      <c r="I55" s="779">
        <v>539.9</v>
      </c>
      <c r="J55" s="795"/>
      <c r="K55" s="779">
        <v>540</v>
      </c>
      <c r="L55" s="795"/>
      <c r="M55" s="779">
        <v>540.1</v>
      </c>
      <c r="N55" s="795"/>
      <c r="P55" s="566">
        <f>IF(B52="mV",A52*0.9/1000)</f>
        <v>0.54</v>
      </c>
      <c r="Q55" s="566" t="s">
        <v>36</v>
      </c>
    </row>
    <row r="56" spans="1:20" ht="14.25" customHeight="1" x14ac:dyDescent="0.3">
      <c r="A56" s="617">
        <v>6</v>
      </c>
      <c r="B56" s="623" t="s">
        <v>36</v>
      </c>
      <c r="C56" s="612"/>
      <c r="D56" s="613"/>
      <c r="E56" s="788"/>
      <c r="F56" s="786"/>
      <c r="G56" s="788"/>
      <c r="H56" s="786"/>
      <c r="I56" s="788"/>
      <c r="J56" s="786"/>
      <c r="K56" s="788"/>
      <c r="L56" s="786"/>
      <c r="M56" s="788"/>
      <c r="N56" s="786"/>
      <c r="P56" s="566"/>
      <c r="Q56" s="566"/>
    </row>
    <row r="57" spans="1:20" ht="14.25" customHeight="1" x14ac:dyDescent="0.3">
      <c r="A57" s="617">
        <v>50</v>
      </c>
      <c r="B57" s="623" t="s">
        <v>39</v>
      </c>
      <c r="C57" s="43">
        <f>0.1*A56</f>
        <v>0.60000000000000009</v>
      </c>
      <c r="D57" s="41" t="str">
        <f>IF(P57&lt;=0.329999,"mV",
IF(P57&lt;=3.29999, "V1",
IF(P57&lt;=32.9999,"V2",
IF(P57&lt;=329.9999,"V3",
IF(P57&lt;=1020,"V4",
"Number Out of Range"
)))))</f>
        <v>V1</v>
      </c>
      <c r="E57" s="781">
        <v>0.60299999999999998</v>
      </c>
      <c r="F57" s="787"/>
      <c r="G57" s="781">
        <v>0.60299999999999998</v>
      </c>
      <c r="H57" s="787"/>
      <c r="I57" s="781">
        <v>0.60299999999999998</v>
      </c>
      <c r="J57" s="787"/>
      <c r="K57" s="781">
        <v>0.60299999999999998</v>
      </c>
      <c r="L57" s="787"/>
      <c r="M57" s="781">
        <v>0.60299999999999998</v>
      </c>
      <c r="N57" s="787"/>
      <c r="P57" s="566">
        <f>A56*0.1</f>
        <v>0.60000000000000009</v>
      </c>
      <c r="Q57" s="566" t="s">
        <v>36</v>
      </c>
    </row>
    <row r="58" spans="1:20" ht="14.25" customHeight="1" x14ac:dyDescent="0.3">
      <c r="C58" s="43">
        <f>0.5*A56</f>
        <v>3</v>
      </c>
      <c r="D58" s="41" t="str">
        <f t="shared" ref="D58:D59" si="7">IF(P58&lt;=0.329999,"mV",
IF(P58&lt;=3.29999, "V1",
IF(P58&lt;=32.9999,"V2",
IF(P58&lt;=329.9999,"V3",
IF(P58&lt;=1020,"V4",
"Number Out of Range"
)))))</f>
        <v>V1</v>
      </c>
      <c r="E58" s="781">
        <v>3.0030000000000001</v>
      </c>
      <c r="F58" s="787"/>
      <c r="G58" s="781">
        <v>3.0030000000000001</v>
      </c>
      <c r="H58" s="787"/>
      <c r="I58" s="781">
        <v>3.0030000000000001</v>
      </c>
      <c r="J58" s="787"/>
      <c r="K58" s="781">
        <v>3.0030000000000001</v>
      </c>
      <c r="L58" s="787"/>
      <c r="M58" s="781">
        <v>3.0030000000000001</v>
      </c>
      <c r="N58" s="787"/>
      <c r="P58" s="566">
        <f>0.5*A56</f>
        <v>3</v>
      </c>
      <c r="Q58" s="566" t="s">
        <v>36</v>
      </c>
    </row>
    <row r="59" spans="1:20" ht="14.25" customHeight="1" x14ac:dyDescent="0.3">
      <c r="A59" s="27"/>
      <c r="B59" s="29"/>
      <c r="C59" s="40">
        <f>0.9*A56</f>
        <v>5.4</v>
      </c>
      <c r="D59" s="41" t="str">
        <f t="shared" si="7"/>
        <v>V2</v>
      </c>
      <c r="E59" s="781">
        <v>5.3979999999999997</v>
      </c>
      <c r="F59" s="787"/>
      <c r="G59" s="781">
        <v>5.3979999999999997</v>
      </c>
      <c r="H59" s="787"/>
      <c r="I59" s="781">
        <v>5.3979999999999997</v>
      </c>
      <c r="J59" s="787"/>
      <c r="K59" s="781">
        <v>5.3979999999999997</v>
      </c>
      <c r="L59" s="787"/>
      <c r="M59" s="781">
        <v>5.3979999999999997</v>
      </c>
      <c r="N59" s="787"/>
      <c r="P59" s="566">
        <f>0.9*A56</f>
        <v>5.4</v>
      </c>
      <c r="Q59" s="566" t="s">
        <v>36</v>
      </c>
    </row>
    <row r="60" spans="1:20" ht="14.25" customHeight="1" x14ac:dyDescent="0.3">
      <c r="A60" s="617">
        <v>60</v>
      </c>
      <c r="B60" s="623" t="s">
        <v>36</v>
      </c>
      <c r="C60" s="612"/>
      <c r="D60" s="613"/>
      <c r="E60" s="788"/>
      <c r="F60" s="786"/>
      <c r="G60" s="788"/>
      <c r="H60" s="786"/>
      <c r="I60" s="788"/>
      <c r="J60" s="786"/>
      <c r="K60" s="788"/>
      <c r="L60" s="786"/>
      <c r="M60" s="788"/>
      <c r="N60" s="786"/>
      <c r="P60" s="566"/>
      <c r="Q60" s="566"/>
    </row>
    <row r="61" spans="1:20" ht="14.25" customHeight="1" x14ac:dyDescent="0.3">
      <c r="A61" s="617">
        <v>50</v>
      </c>
      <c r="B61" s="623" t="s">
        <v>39</v>
      </c>
      <c r="C61" s="40">
        <f>0.1*A60</f>
        <v>6</v>
      </c>
      <c r="D61" s="41" t="str">
        <f>IF(P61&lt;=0.329999,"mV",
IF(P61&lt;=3.29999, "V1",
IF(P61&lt;=32.9999,"V2",
IF(P61&lt;=329.9999,"V3",
IF(P61&lt;=1020,"V4",
"Number Out of Range"
)))))</f>
        <v>V2</v>
      </c>
      <c r="E61" s="793">
        <v>6.02</v>
      </c>
      <c r="F61" s="780"/>
      <c r="G61" s="793">
        <v>6.02</v>
      </c>
      <c r="H61" s="780"/>
      <c r="I61" s="793">
        <v>6.02</v>
      </c>
      <c r="J61" s="780"/>
      <c r="K61" s="793">
        <v>6.02</v>
      </c>
      <c r="L61" s="780"/>
      <c r="M61" s="793">
        <v>6.02</v>
      </c>
      <c r="N61" s="780"/>
      <c r="P61" s="566">
        <f>0.1*A60</f>
        <v>6</v>
      </c>
      <c r="Q61" s="566" t="s">
        <v>36</v>
      </c>
    </row>
    <row r="62" spans="1:20" ht="14.25" customHeight="1" x14ac:dyDescent="0.3">
      <c r="C62" s="40">
        <f>0.5*A60</f>
        <v>30</v>
      </c>
      <c r="D62" s="41" t="str">
        <f t="shared" ref="D62:D63" si="8">IF(P62&lt;=0.329999,"mV",
IF(P62&lt;=3.29999, "V1",
IF(P62&lt;=32.9999,"V2",
IF(P62&lt;=329.9999,"V3",
IF(P62&lt;=1020,"V4",
"Number Out of Range"
)))))</f>
        <v>V2</v>
      </c>
      <c r="E62" s="784">
        <v>30.03</v>
      </c>
      <c r="F62" s="783"/>
      <c r="G62" s="784">
        <v>30.03</v>
      </c>
      <c r="H62" s="783"/>
      <c r="I62" s="784">
        <v>30.03</v>
      </c>
      <c r="J62" s="783"/>
      <c r="K62" s="784">
        <v>30.03</v>
      </c>
      <c r="L62" s="783"/>
      <c r="M62" s="784">
        <v>30.03</v>
      </c>
      <c r="N62" s="783"/>
      <c r="P62" s="566">
        <f>0.5*A60</f>
        <v>30</v>
      </c>
      <c r="Q62" s="566" t="s">
        <v>36</v>
      </c>
    </row>
    <row r="63" spans="1:20" ht="14.25" customHeight="1" x14ac:dyDescent="0.3">
      <c r="A63" s="27"/>
      <c r="B63" s="29"/>
      <c r="C63" s="44">
        <f>0.9*A60</f>
        <v>54</v>
      </c>
      <c r="D63" s="41" t="str">
        <f t="shared" si="8"/>
        <v>V3</v>
      </c>
      <c r="E63" s="784">
        <v>53.98</v>
      </c>
      <c r="F63" s="783"/>
      <c r="G63" s="784">
        <v>53.98</v>
      </c>
      <c r="H63" s="783"/>
      <c r="I63" s="784">
        <v>53.98</v>
      </c>
      <c r="J63" s="783"/>
      <c r="K63" s="784">
        <v>53.98</v>
      </c>
      <c r="L63" s="783"/>
      <c r="M63" s="784">
        <v>53.98</v>
      </c>
      <c r="N63" s="783"/>
      <c r="P63" s="566">
        <f>0.9*A60</f>
        <v>54</v>
      </c>
      <c r="Q63" s="566" t="s">
        <v>36</v>
      </c>
    </row>
    <row r="64" spans="1:20" ht="14.25" customHeight="1" x14ac:dyDescent="0.3">
      <c r="A64" s="617">
        <v>600</v>
      </c>
      <c r="B64" s="623" t="s">
        <v>36</v>
      </c>
      <c r="C64" s="612"/>
      <c r="D64" s="613"/>
      <c r="E64" s="801"/>
      <c r="F64" s="786"/>
      <c r="G64" s="801"/>
      <c r="H64" s="786"/>
      <c r="I64" s="801"/>
      <c r="J64" s="786"/>
      <c r="K64" s="801"/>
      <c r="L64" s="786"/>
      <c r="M64" s="801"/>
      <c r="N64" s="786"/>
      <c r="P64" s="566"/>
      <c r="Q64" s="566"/>
    </row>
    <row r="65" spans="1:17" ht="14.25" customHeight="1" x14ac:dyDescent="0.3">
      <c r="A65" s="617">
        <v>50</v>
      </c>
      <c r="B65" s="623" t="s">
        <v>39</v>
      </c>
      <c r="C65" s="44">
        <f>0.1*A64</f>
        <v>60</v>
      </c>
      <c r="D65" s="41" t="str">
        <f>IF(P65&lt;=0.329999,"mV",
IF(P65&lt;=3.29999, "V1",
IF(P65&lt;=32.9999,"V2",
IF(P65&lt;=329.9999,"V3",
IF(P65&lt;=1020,"V4",
"Number Out of Range"
)))))</f>
        <v>V3</v>
      </c>
      <c r="E65" s="779">
        <v>60.2</v>
      </c>
      <c r="F65" s="802"/>
      <c r="G65" s="779">
        <v>60.2</v>
      </c>
      <c r="H65" s="802"/>
      <c r="I65" s="779">
        <v>60.2</v>
      </c>
      <c r="J65" s="802"/>
      <c r="K65" s="779">
        <v>60.2</v>
      </c>
      <c r="L65" s="802"/>
      <c r="M65" s="779">
        <v>60.2</v>
      </c>
      <c r="N65" s="802"/>
      <c r="P65" s="566">
        <f>0.1*A64</f>
        <v>60</v>
      </c>
      <c r="Q65" s="566" t="s">
        <v>36</v>
      </c>
    </row>
    <row r="66" spans="1:17" ht="14.25" customHeight="1" x14ac:dyDescent="0.3">
      <c r="C66" s="44">
        <f>0.5*A64</f>
        <v>300</v>
      </c>
      <c r="D66" s="41" t="str">
        <f t="shared" ref="D66:D67" si="9">IF(P66&lt;=0.329999,"mV",
IF(P66&lt;=3.29999, "V1",
IF(P66&lt;=32.9999,"V2",
IF(P66&lt;=329.9999,"V3",
IF(P66&lt;=1020,"V4",
"Number Out of Range"
)))))</f>
        <v>V3</v>
      </c>
      <c r="E66" s="779">
        <v>300.10000000000002</v>
      </c>
      <c r="F66" s="802"/>
      <c r="G66" s="779">
        <v>300.10000000000002</v>
      </c>
      <c r="H66" s="802"/>
      <c r="I66" s="779">
        <v>300.10000000000002</v>
      </c>
      <c r="J66" s="802"/>
      <c r="K66" s="779">
        <v>300.10000000000002</v>
      </c>
      <c r="L66" s="802"/>
      <c r="M66" s="779">
        <v>300.10000000000002</v>
      </c>
      <c r="N66" s="802"/>
      <c r="P66" s="566">
        <f>0.5*A64</f>
        <v>300</v>
      </c>
      <c r="Q66" s="566" t="s">
        <v>36</v>
      </c>
    </row>
    <row r="67" spans="1:17" ht="14.25" customHeight="1" x14ac:dyDescent="0.3">
      <c r="A67" s="27"/>
      <c r="B67" s="29"/>
      <c r="C67" s="51">
        <f>0.9*A64</f>
        <v>540</v>
      </c>
      <c r="D67" s="41" t="str">
        <f t="shared" si="9"/>
        <v>V4</v>
      </c>
      <c r="E67" s="779">
        <v>539.9</v>
      </c>
      <c r="F67" s="802"/>
      <c r="G67" s="779">
        <v>539.9</v>
      </c>
      <c r="H67" s="802"/>
      <c r="I67" s="779">
        <v>539.9</v>
      </c>
      <c r="J67" s="802"/>
      <c r="K67" s="779">
        <v>539.9</v>
      </c>
      <c r="L67" s="802"/>
      <c r="M67" s="779">
        <v>539.9</v>
      </c>
      <c r="N67" s="802"/>
      <c r="P67" s="566">
        <f>0.9*A64</f>
        <v>540</v>
      </c>
      <c r="Q67" s="566" t="s">
        <v>36</v>
      </c>
    </row>
    <row r="68" spans="1:17" ht="14.25" customHeight="1" x14ac:dyDescent="0.3">
      <c r="A68" s="617">
        <v>1000</v>
      </c>
      <c r="B68" s="623" t="s">
        <v>36</v>
      </c>
      <c r="C68" s="612"/>
      <c r="D68" s="633"/>
      <c r="E68" s="785"/>
      <c r="F68" s="786"/>
      <c r="G68" s="785"/>
      <c r="H68" s="786"/>
      <c r="I68" s="785"/>
      <c r="J68" s="786"/>
      <c r="K68" s="785"/>
      <c r="L68" s="786"/>
      <c r="M68" s="785"/>
      <c r="N68" s="786"/>
      <c r="P68" s="566"/>
      <c r="Q68" s="566"/>
    </row>
    <row r="69" spans="1:17" ht="14.25" customHeight="1" x14ac:dyDescent="0.3">
      <c r="A69" s="617">
        <v>50</v>
      </c>
      <c r="B69" s="623" t="s">
        <v>39</v>
      </c>
      <c r="C69" s="44">
        <f>0.1*A68</f>
        <v>100</v>
      </c>
      <c r="D69" s="41" t="str">
        <f>IF(P69&lt;=0.329999,"mV",
IF(P69&lt;=3.29999, "V1",
IF(P69&lt;=32.9999,"V2",
IF(P69&lt;=329.9999,"V3",
IF(P69&lt;=1020,"V4",
"Number Out of Range"
)))))</f>
        <v>V3</v>
      </c>
      <c r="E69" s="803">
        <v>101</v>
      </c>
      <c r="F69" s="804"/>
      <c r="G69" s="803">
        <v>101</v>
      </c>
      <c r="H69" s="804"/>
      <c r="I69" s="803">
        <v>101</v>
      </c>
      <c r="J69" s="804"/>
      <c r="K69" s="803">
        <v>101</v>
      </c>
      <c r="L69" s="804"/>
      <c r="M69" s="803">
        <v>101</v>
      </c>
      <c r="N69" s="804"/>
      <c r="P69" s="566">
        <f>0.1*A68</f>
        <v>100</v>
      </c>
      <c r="Q69" s="566" t="s">
        <v>36</v>
      </c>
    </row>
    <row r="70" spans="1:17" ht="14.25" customHeight="1" x14ac:dyDescent="0.3">
      <c r="C70" s="51">
        <f>0.5*A68</f>
        <v>500</v>
      </c>
      <c r="D70" s="41" t="str">
        <f t="shared" ref="D70:D71" si="10">IF(P70&lt;=0.329999,"mV",
IF(P70&lt;=3.29999, "V1",
IF(P70&lt;=32.9999,"V2",
IF(P70&lt;=329.9999,"V3",
IF(P70&lt;=1020,"V4",
"Number Out of Range"
)))))</f>
        <v>V4</v>
      </c>
      <c r="E70" s="803">
        <v>500</v>
      </c>
      <c r="F70" s="804"/>
      <c r="G70" s="803">
        <v>500</v>
      </c>
      <c r="H70" s="804"/>
      <c r="I70" s="803">
        <v>500</v>
      </c>
      <c r="J70" s="804"/>
      <c r="K70" s="803">
        <v>500</v>
      </c>
      <c r="L70" s="804"/>
      <c r="M70" s="803">
        <v>500</v>
      </c>
      <c r="N70" s="804"/>
      <c r="P70" s="566">
        <f>0.5*A68</f>
        <v>500</v>
      </c>
      <c r="Q70" s="566" t="s">
        <v>36</v>
      </c>
    </row>
    <row r="71" spans="1:17" ht="14.25" customHeight="1" x14ac:dyDescent="0.3">
      <c r="A71" s="27"/>
      <c r="B71" s="29"/>
      <c r="C71" s="51">
        <f>0.9*A68</f>
        <v>900</v>
      </c>
      <c r="D71" s="41" t="str">
        <f t="shared" si="10"/>
        <v>V4</v>
      </c>
      <c r="E71" s="803">
        <v>899</v>
      </c>
      <c r="F71" s="804"/>
      <c r="G71" s="803">
        <v>899</v>
      </c>
      <c r="H71" s="804"/>
      <c r="I71" s="803">
        <v>899</v>
      </c>
      <c r="J71" s="804"/>
      <c r="K71" s="803">
        <v>899</v>
      </c>
      <c r="L71" s="804"/>
      <c r="M71" s="803">
        <v>899</v>
      </c>
      <c r="N71" s="804"/>
      <c r="P71" s="566">
        <f>0.9*A68</f>
        <v>900</v>
      </c>
      <c r="Q71" s="566" t="s">
        <v>36</v>
      </c>
    </row>
    <row r="72" spans="1:17" ht="14.25" customHeight="1" x14ac:dyDescent="0.3">
      <c r="A72" s="14"/>
      <c r="B72" s="14"/>
      <c r="C72" s="46"/>
      <c r="D72" s="670"/>
      <c r="E72" s="671"/>
      <c r="F72" s="672"/>
      <c r="G72" s="671"/>
      <c r="H72" s="672"/>
      <c r="I72" s="671"/>
      <c r="J72" s="672"/>
      <c r="K72" s="671"/>
      <c r="L72" s="672"/>
      <c r="M72" s="671"/>
      <c r="N72" s="672"/>
    </row>
    <row r="73" spans="1:17" ht="14.25" customHeight="1" x14ac:dyDescent="0.3">
      <c r="A73" s="14"/>
      <c r="B73" s="14"/>
      <c r="C73" s="46"/>
      <c r="D73" s="670"/>
      <c r="E73" s="671"/>
      <c r="F73" s="672"/>
      <c r="G73" s="671"/>
      <c r="H73" s="672"/>
      <c r="I73" s="671"/>
      <c r="J73" s="672"/>
      <c r="K73" s="671"/>
      <c r="L73" s="672"/>
      <c r="M73" s="671"/>
      <c r="N73" s="672"/>
    </row>
    <row r="74" spans="1:17" ht="14.25" customHeight="1" x14ac:dyDescent="0.3">
      <c r="A74" s="629" t="s">
        <v>667</v>
      </c>
      <c r="B74" s="14"/>
      <c r="C74" s="46"/>
      <c r="D74" s="670"/>
      <c r="E74" s="671"/>
      <c r="F74" s="672"/>
      <c r="G74" s="671"/>
      <c r="H74" s="672"/>
      <c r="I74" s="671"/>
      <c r="J74" s="672"/>
      <c r="K74" s="671"/>
      <c r="L74" s="672"/>
      <c r="M74" s="671"/>
      <c r="N74" s="672"/>
    </row>
    <row r="75" spans="1:17" ht="14.25" customHeight="1" x14ac:dyDescent="0.3">
      <c r="A75" s="789" t="s">
        <v>27</v>
      </c>
      <c r="B75" s="790"/>
      <c r="C75" s="789" t="s">
        <v>38</v>
      </c>
      <c r="D75" s="790"/>
      <c r="E75" s="793" t="s">
        <v>29</v>
      </c>
      <c r="F75" s="794"/>
      <c r="G75" s="794"/>
      <c r="H75" s="794"/>
      <c r="I75" s="794"/>
      <c r="J75" s="794"/>
      <c r="K75" s="794"/>
      <c r="L75" s="794"/>
      <c r="M75" s="794"/>
      <c r="N75" s="780"/>
    </row>
    <row r="76" spans="1:17" ht="14.25" customHeight="1" x14ac:dyDescent="0.3">
      <c r="A76" s="791"/>
      <c r="B76" s="792"/>
      <c r="C76" s="791"/>
      <c r="D76" s="792"/>
      <c r="E76" s="793" t="s">
        <v>30</v>
      </c>
      <c r="F76" s="780"/>
      <c r="G76" s="793" t="s">
        <v>31</v>
      </c>
      <c r="H76" s="780"/>
      <c r="I76" s="793" t="s">
        <v>32</v>
      </c>
      <c r="J76" s="780"/>
      <c r="K76" s="793" t="s">
        <v>33</v>
      </c>
      <c r="L76" s="780"/>
      <c r="M76" s="793" t="s">
        <v>34</v>
      </c>
      <c r="N76" s="780"/>
    </row>
    <row r="77" spans="1:17" ht="14.25" customHeight="1" x14ac:dyDescent="0.3">
      <c r="A77" s="617">
        <v>60</v>
      </c>
      <c r="B77" s="623" t="s">
        <v>41</v>
      </c>
      <c r="C77" s="631"/>
      <c r="D77" s="632"/>
      <c r="E77" s="627"/>
      <c r="F77" s="628"/>
      <c r="G77" s="627"/>
      <c r="H77" s="628"/>
      <c r="I77" s="627"/>
      <c r="J77" s="628"/>
      <c r="K77" s="627"/>
      <c r="L77" s="628"/>
      <c r="M77" s="627"/>
      <c r="N77" s="628"/>
      <c r="P77" s="566" t="s">
        <v>638</v>
      </c>
      <c r="Q77" s="566" t="s">
        <v>639</v>
      </c>
    </row>
    <row r="78" spans="1:17" ht="14.25" customHeight="1" x14ac:dyDescent="0.3">
      <c r="A78" s="617">
        <v>50</v>
      </c>
      <c r="B78" s="664" t="s">
        <v>39</v>
      </c>
      <c r="C78" s="40">
        <f>IF(0.1*A77 &lt;329.9999, 0.1*A77,0.1*A77/1000)</f>
        <v>6</v>
      </c>
      <c r="D78" s="41" t="str">
        <f>IF(P78&lt;=0.0032999,"mA1",
IF(P78&lt;=0.032999, "mA2",
IF(P78&lt;=0.32999,"mA3",
IF(P78&lt;=2.1999,"A1",
IF(P78&lt;=11,"A2",
"Number Out of Range"
)))))</f>
        <v>mA2</v>
      </c>
      <c r="E78" s="784">
        <v>6.02</v>
      </c>
      <c r="F78" s="780"/>
      <c r="G78" s="784">
        <v>6.02</v>
      </c>
      <c r="H78" s="780"/>
      <c r="I78" s="784">
        <v>6.02</v>
      </c>
      <c r="J78" s="780"/>
      <c r="K78" s="784">
        <v>6.02</v>
      </c>
      <c r="L78" s="780"/>
      <c r="M78" s="784">
        <v>6.02</v>
      </c>
      <c r="N78" s="780"/>
      <c r="P78" s="566">
        <f>IF(B77="mA",A77*0.1/1000,A77*0.1)</f>
        <v>6.0000000000000001E-3</v>
      </c>
      <c r="Q78" s="566" t="s">
        <v>42</v>
      </c>
    </row>
    <row r="79" spans="1:17" ht="14.25" customHeight="1" x14ac:dyDescent="0.3">
      <c r="C79" s="40">
        <f>IF(0.5*A77 &lt;329.9999, 0.5*A77,0.1*A77/1000)</f>
        <v>30</v>
      </c>
      <c r="D79" s="41" t="str">
        <f t="shared" ref="D79:D80" si="11">IF(P79&lt;=0.0032999,"mA1",
IF(P79&lt;=0.032999, "mA2",
IF(P79&lt;=0.32999,"mA3",
IF(P79&lt;=2.1999,"A1",
IF(P79&lt;=11,"A2",
"Number Out of Range"
)))))</f>
        <v>mA2</v>
      </c>
      <c r="E79" s="833">
        <v>30.06</v>
      </c>
      <c r="F79" s="780"/>
      <c r="G79" s="833">
        <v>30.06</v>
      </c>
      <c r="H79" s="780"/>
      <c r="I79" s="833">
        <v>30.06</v>
      </c>
      <c r="J79" s="780"/>
      <c r="K79" s="833">
        <v>30.06</v>
      </c>
      <c r="L79" s="780"/>
      <c r="M79" s="833">
        <v>30.06</v>
      </c>
      <c r="N79" s="780"/>
      <c r="P79" s="566">
        <f>IF(B77="mA",A77*0.5/1000,A77*0.5)</f>
        <v>0.03</v>
      </c>
      <c r="Q79" s="566" t="s">
        <v>42</v>
      </c>
    </row>
    <row r="80" spans="1:17" ht="14.25" customHeight="1" x14ac:dyDescent="0.3">
      <c r="A80" s="27"/>
      <c r="B80" s="29"/>
      <c r="C80" s="40">
        <f>IF(0.9*A77&lt;329.9999,0.9*A77,(0.9*A77)/1000)</f>
        <v>54</v>
      </c>
      <c r="D80" s="41" t="str">
        <f t="shared" si="11"/>
        <v>mA3</v>
      </c>
      <c r="E80" s="784">
        <v>54.05</v>
      </c>
      <c r="F80" s="780"/>
      <c r="G80" s="784">
        <v>54.05</v>
      </c>
      <c r="H80" s="780"/>
      <c r="I80" s="784">
        <v>54.05</v>
      </c>
      <c r="J80" s="780"/>
      <c r="K80" s="784">
        <v>54.05</v>
      </c>
      <c r="L80" s="780"/>
      <c r="M80" s="784">
        <v>54.05</v>
      </c>
      <c r="N80" s="780"/>
      <c r="P80" s="566">
        <f>IF(B77="mA", A77*0.9/1000,A77*0.9)</f>
        <v>5.3999999999999999E-2</v>
      </c>
      <c r="Q80" s="566" t="s">
        <v>42</v>
      </c>
    </row>
    <row r="81" spans="1:17" ht="14.25" customHeight="1" x14ac:dyDescent="0.3">
      <c r="A81" s="617">
        <v>600</v>
      </c>
      <c r="B81" s="623" t="s">
        <v>41</v>
      </c>
      <c r="C81" s="612"/>
      <c r="D81" s="633"/>
      <c r="E81" s="785"/>
      <c r="F81" s="786"/>
      <c r="G81" s="785"/>
      <c r="H81" s="786"/>
      <c r="I81" s="785"/>
      <c r="J81" s="786"/>
      <c r="K81" s="785"/>
      <c r="L81" s="786"/>
      <c r="M81" s="785"/>
      <c r="N81" s="786"/>
      <c r="P81" s="566"/>
      <c r="Q81" s="566"/>
    </row>
    <row r="82" spans="1:17" ht="14.25" customHeight="1" x14ac:dyDescent="0.3">
      <c r="A82" s="617">
        <v>50</v>
      </c>
      <c r="B82" s="623" t="s">
        <v>39</v>
      </c>
      <c r="C82" s="40">
        <f>IF(0.1*A81 &lt;329.9999, 0.1*A81,0.1*A81/1000)</f>
        <v>60</v>
      </c>
      <c r="D82" s="41" t="str">
        <f>IF(P82&lt;=0.0032999,"mA1",
IF(P82&lt;=0.032999, "mA2",
IF(P82&lt;=0.32999,"mA3",
IF(P82&lt;=2.1999,"A1",
IF(P82&lt;=11,"A2",
"Number Out of Range"
)))))</f>
        <v>mA3</v>
      </c>
      <c r="E82" s="779">
        <v>60.2</v>
      </c>
      <c r="F82" s="802"/>
      <c r="G82" s="779">
        <v>60.2</v>
      </c>
      <c r="H82" s="802"/>
      <c r="I82" s="779">
        <v>60.2</v>
      </c>
      <c r="J82" s="802"/>
      <c r="K82" s="779">
        <v>60.2</v>
      </c>
      <c r="L82" s="802"/>
      <c r="M82" s="779">
        <v>60.2</v>
      </c>
      <c r="N82" s="802"/>
      <c r="P82" s="566">
        <f>IF(B81="mA",A81*0.1/1000,A81*0.1)</f>
        <v>0.06</v>
      </c>
      <c r="Q82" s="566" t="s">
        <v>42</v>
      </c>
    </row>
    <row r="83" spans="1:17" ht="13.8" customHeight="1" x14ac:dyDescent="0.3">
      <c r="C83" s="40">
        <f>IF(0.5*A81 &lt;329.9999, 0.5*A81,0.1*A81/1000)</f>
        <v>300</v>
      </c>
      <c r="D83" s="41" t="str">
        <f t="shared" ref="D83:D84" si="12">IF(P83&lt;=0.0032999,"mA1",
IF(P83&lt;=0.032999, "mA2",
IF(P83&lt;=0.32999,"mA3",
IF(P83&lt;=2.1999,"A1",
IF(P83&lt;=11,"A2",
"Number Out of Range"
)))))</f>
        <v>mA3</v>
      </c>
      <c r="E83" s="779">
        <v>300.39999999999998</v>
      </c>
      <c r="F83" s="780"/>
      <c r="G83" s="779">
        <v>300.39999999999998</v>
      </c>
      <c r="H83" s="780"/>
      <c r="I83" s="779">
        <v>300.39999999999998</v>
      </c>
      <c r="J83" s="780"/>
      <c r="K83" s="779">
        <v>300.39999999999998</v>
      </c>
      <c r="L83" s="780"/>
      <c r="M83" s="779">
        <v>300.39999999999998</v>
      </c>
      <c r="N83" s="780"/>
      <c r="P83" s="566">
        <f>IF(B81="mA",A81*0.5/1000,A81*0.5)</f>
        <v>0.3</v>
      </c>
      <c r="Q83" s="566" t="s">
        <v>42</v>
      </c>
    </row>
    <row r="84" spans="1:17" ht="14.25" customHeight="1" x14ac:dyDescent="0.3">
      <c r="A84" s="27"/>
      <c r="B84" s="29"/>
      <c r="C84" s="40">
        <f>IF(0.9*A81&lt;329.9999,0.9*A81,(0.9*A81)/1000)</f>
        <v>0.54</v>
      </c>
      <c r="D84" s="41" t="str">
        <f t="shared" si="12"/>
        <v>A1</v>
      </c>
      <c r="E84" s="779">
        <v>540.1</v>
      </c>
      <c r="F84" s="780"/>
      <c r="G84" s="779">
        <v>540.1</v>
      </c>
      <c r="H84" s="780"/>
      <c r="I84" s="779">
        <v>540.1</v>
      </c>
      <c r="J84" s="780"/>
      <c r="K84" s="779">
        <v>540.1</v>
      </c>
      <c r="L84" s="780"/>
      <c r="M84" s="779">
        <v>540.1</v>
      </c>
      <c r="N84" s="780"/>
      <c r="P84" s="566">
        <f>IF(B81="mA", A81*0.9/1000,A81*0.9)</f>
        <v>0.54</v>
      </c>
      <c r="Q84" s="566" t="s">
        <v>42</v>
      </c>
    </row>
    <row r="85" spans="1:17" ht="14.25" customHeight="1" x14ac:dyDescent="0.3">
      <c r="A85" s="617">
        <v>6</v>
      </c>
      <c r="B85" s="623" t="s">
        <v>42</v>
      </c>
      <c r="C85" s="665"/>
      <c r="D85" s="633"/>
      <c r="E85" s="797"/>
      <c r="F85" s="798"/>
      <c r="G85" s="785"/>
      <c r="H85" s="786"/>
      <c r="I85" s="785"/>
      <c r="J85" s="786"/>
      <c r="K85" s="785"/>
      <c r="L85" s="786"/>
      <c r="M85" s="785"/>
      <c r="N85" s="786"/>
      <c r="P85" s="566"/>
      <c r="Q85" s="566"/>
    </row>
    <row r="86" spans="1:17" ht="14.25" customHeight="1" x14ac:dyDescent="0.3">
      <c r="A86" s="617">
        <v>50</v>
      </c>
      <c r="B86" s="623" t="s">
        <v>39</v>
      </c>
      <c r="C86" s="43">
        <f>0.1*A85</f>
        <v>0.60000000000000009</v>
      </c>
      <c r="D86" s="41" t="str">
        <f>IF(P86&lt;=0.0032999,"mA1",
IF(P86&lt;=0.032999, "mA2",
IF(P86&lt;=0.32999,"mA3",
IF(P86&lt;=2.1999,"A1",
IF(P86&lt;=11,"A2",
"Number Out of Range"
)))))</f>
        <v>A1</v>
      </c>
      <c r="E86" s="781">
        <v>0.60199999999999998</v>
      </c>
      <c r="F86" s="787"/>
      <c r="G86" s="781">
        <v>0.60199999999999998</v>
      </c>
      <c r="H86" s="787"/>
      <c r="I86" s="781">
        <v>0.60199999999999998</v>
      </c>
      <c r="J86" s="787"/>
      <c r="K86" s="781">
        <v>0.60199999999999998</v>
      </c>
      <c r="L86" s="787"/>
      <c r="M86" s="781">
        <v>0.60199999999999998</v>
      </c>
      <c r="N86" s="787"/>
      <c r="P86" s="566">
        <f>IF(B85="mA",A85*0.1/1000,A85*0.1)</f>
        <v>0.60000000000000009</v>
      </c>
      <c r="Q86" s="566" t="s">
        <v>42</v>
      </c>
    </row>
    <row r="87" spans="1:17" ht="14.25" customHeight="1" x14ac:dyDescent="0.3">
      <c r="C87" s="40">
        <f>0.5*A85</f>
        <v>3</v>
      </c>
      <c r="D87" s="41" t="str">
        <f t="shared" ref="D87:D88" si="13">IF(P87&lt;=0.0032999,"mA1",
IF(P87&lt;=0.032999, "mA2",
IF(P87&lt;=0.32999,"mA3",
IF(P87&lt;=2.1999,"A1",
IF(P87&lt;=11,"A2",
"Number Out of Range"
)))))</f>
        <v>A2</v>
      </c>
      <c r="E87" s="781">
        <v>3.004</v>
      </c>
      <c r="F87" s="787"/>
      <c r="G87" s="781">
        <v>3.004</v>
      </c>
      <c r="H87" s="787"/>
      <c r="I87" s="781">
        <v>3.004</v>
      </c>
      <c r="J87" s="787"/>
      <c r="K87" s="781">
        <v>3.004</v>
      </c>
      <c r="L87" s="787"/>
      <c r="M87" s="781">
        <v>3.004</v>
      </c>
      <c r="N87" s="787"/>
      <c r="P87" s="566">
        <f>IF(B85="mA",A85*0.5/1000,A85*0.5)</f>
        <v>3</v>
      </c>
      <c r="Q87" s="566" t="s">
        <v>42</v>
      </c>
    </row>
    <row r="88" spans="1:17" ht="14.25" customHeight="1" x14ac:dyDescent="0.3">
      <c r="A88" s="27"/>
      <c r="B88" s="29"/>
      <c r="C88" s="40">
        <f>0.9*A85</f>
        <v>5.4</v>
      </c>
      <c r="D88" s="41" t="str">
        <f t="shared" si="13"/>
        <v>A2</v>
      </c>
      <c r="E88" s="781">
        <v>5.4029999999999996</v>
      </c>
      <c r="F88" s="787"/>
      <c r="G88" s="781">
        <v>5.4029999999999996</v>
      </c>
      <c r="H88" s="787"/>
      <c r="I88" s="781">
        <v>5.4029999999999996</v>
      </c>
      <c r="J88" s="787"/>
      <c r="K88" s="781">
        <v>5.4029999999999996</v>
      </c>
      <c r="L88" s="787"/>
      <c r="M88" s="781">
        <v>5.4029999999999996</v>
      </c>
      <c r="N88" s="787"/>
      <c r="P88" s="566">
        <f>IF(B85="mA", A85*0.9/1000,A85*0.9)</f>
        <v>5.4</v>
      </c>
      <c r="Q88" s="566" t="s">
        <v>42</v>
      </c>
    </row>
    <row r="89" spans="1:17" ht="14.25" customHeight="1" x14ac:dyDescent="0.3">
      <c r="A89" s="617">
        <v>10</v>
      </c>
      <c r="B89" s="623" t="s">
        <v>42</v>
      </c>
      <c r="C89" s="665"/>
      <c r="D89" s="633"/>
      <c r="E89" s="797"/>
      <c r="F89" s="798"/>
      <c r="G89" s="785"/>
      <c r="H89" s="786"/>
      <c r="I89" s="785"/>
      <c r="J89" s="786"/>
      <c r="K89" s="785"/>
      <c r="L89" s="786"/>
      <c r="M89" s="785"/>
      <c r="N89" s="786"/>
      <c r="P89" s="566"/>
      <c r="Q89" s="566"/>
    </row>
    <row r="90" spans="1:17" ht="14.25" customHeight="1" x14ac:dyDescent="0.3">
      <c r="A90" s="617">
        <v>50</v>
      </c>
      <c r="B90" s="623" t="s">
        <v>39</v>
      </c>
      <c r="C90" s="43">
        <f>0.1*A$89</f>
        <v>1</v>
      </c>
      <c r="D90" s="49" t="str">
        <f>IF(P86&lt;=0.0032999,"mA1",
IF(P86&lt;=0.032999, "mA2",
IF(P86&lt;=0.32999,"mA3",
IF(P86&lt;=2.1999,"A1",
IF(P86&lt;=11,"A2",
"Number Out of Range"
)))))</f>
        <v>A1</v>
      </c>
      <c r="E90" s="784">
        <v>1.01</v>
      </c>
      <c r="F90" s="783"/>
      <c r="G90" s="784">
        <v>1.01</v>
      </c>
      <c r="H90" s="783"/>
      <c r="I90" s="784">
        <v>1.01</v>
      </c>
      <c r="J90" s="783"/>
      <c r="K90" s="784">
        <v>1.01</v>
      </c>
      <c r="L90" s="783"/>
      <c r="M90" s="784">
        <v>1.01</v>
      </c>
      <c r="N90" s="783"/>
      <c r="P90" s="566">
        <f>IF(B89="mA",A89*0.1/1000,A89*0.1)</f>
        <v>1</v>
      </c>
      <c r="Q90" s="566" t="s">
        <v>42</v>
      </c>
    </row>
    <row r="91" spans="1:17" ht="14.25" customHeight="1" x14ac:dyDescent="0.3">
      <c r="C91" s="40">
        <f>0.5*A$89</f>
        <v>5</v>
      </c>
      <c r="D91" s="49" t="str">
        <f t="shared" ref="D91:D92" si="14">IF(P87&lt;=0.0032999,"mA1",
IF(P87&lt;=0.032999, "mA2",
IF(P87&lt;=0.32999,"mA3",
IF(P87&lt;=2.1999,"A1",
IF(P87&lt;=11,"A2",
"Number Out of Range"
)))))</f>
        <v>A2</v>
      </c>
      <c r="E91" s="784">
        <v>5.01</v>
      </c>
      <c r="F91" s="783"/>
      <c r="G91" s="784">
        <v>5.01</v>
      </c>
      <c r="H91" s="783"/>
      <c r="I91" s="784">
        <v>5.01</v>
      </c>
      <c r="J91" s="783"/>
      <c r="K91" s="784">
        <v>5.01</v>
      </c>
      <c r="L91" s="783"/>
      <c r="M91" s="784">
        <v>5.01</v>
      </c>
      <c r="N91" s="783"/>
      <c r="P91" s="566">
        <f>IF(B89="mA",A89*0.5/1000,A89*0.5)</f>
        <v>5</v>
      </c>
      <c r="Q91" s="566" t="s">
        <v>42</v>
      </c>
    </row>
    <row r="92" spans="1:17" ht="14.25" customHeight="1" x14ac:dyDescent="0.3">
      <c r="A92" s="27"/>
      <c r="B92" s="29"/>
      <c r="C92" s="40">
        <f>0.9*A$89</f>
        <v>9</v>
      </c>
      <c r="D92" s="49" t="str">
        <f t="shared" si="14"/>
        <v>A2</v>
      </c>
      <c r="E92" s="784">
        <v>8.99</v>
      </c>
      <c r="F92" s="783"/>
      <c r="G92" s="784">
        <v>8.99</v>
      </c>
      <c r="H92" s="783"/>
      <c r="I92" s="784">
        <v>8.99</v>
      </c>
      <c r="J92" s="783"/>
      <c r="K92" s="784">
        <v>8.99</v>
      </c>
      <c r="L92" s="783"/>
      <c r="M92" s="784">
        <v>8.99</v>
      </c>
      <c r="N92" s="783"/>
      <c r="P92" s="566">
        <f>IF(B89="mA", A89*0.9/1000,A89*0.9)</f>
        <v>9</v>
      </c>
      <c r="Q92" s="566" t="s">
        <v>42</v>
      </c>
    </row>
    <row r="93" spans="1:17" ht="14.25" customHeight="1" x14ac:dyDescent="0.3">
      <c r="A93" s="617">
        <v>0</v>
      </c>
      <c r="B93" s="623" t="s">
        <v>42</v>
      </c>
      <c r="C93" s="665"/>
      <c r="D93" s="633"/>
      <c r="E93" s="797"/>
      <c r="F93" s="798"/>
      <c r="G93" s="785"/>
      <c r="H93" s="786"/>
      <c r="I93" s="785"/>
      <c r="J93" s="786"/>
      <c r="K93" s="785"/>
      <c r="L93" s="786"/>
      <c r="M93" s="785"/>
      <c r="N93" s="786"/>
      <c r="P93" s="566"/>
      <c r="Q93" s="566"/>
    </row>
    <row r="94" spans="1:17" ht="14.25" customHeight="1" x14ac:dyDescent="0.3">
      <c r="A94" s="617">
        <v>0</v>
      </c>
      <c r="B94" s="623" t="s">
        <v>39</v>
      </c>
      <c r="C94" s="43">
        <f>0.1*A$95</f>
        <v>0</v>
      </c>
      <c r="D94" s="49" t="str">
        <f>IF(P90&lt;=0.0032999,"mA1",
IF(P90&lt;=0.032999, "mA2",
IF(P90&lt;=0.32999,"mA3",
IF(P90&lt;=2.1999,"A1",
IF(P90&lt;=11,"A2",
"Number Out of Range"
)))))</f>
        <v>A1</v>
      </c>
      <c r="E94" s="784"/>
      <c r="F94" s="783"/>
      <c r="G94" s="784"/>
      <c r="H94" s="783"/>
      <c r="I94" s="784"/>
      <c r="J94" s="783"/>
      <c r="K94" s="784"/>
      <c r="L94" s="783"/>
      <c r="M94" s="784"/>
      <c r="N94" s="783"/>
      <c r="P94" s="566">
        <f>IF($B$72="mA",$A$72*0.1/1000,A93*0.1)</f>
        <v>0</v>
      </c>
      <c r="Q94" s="566" t="s">
        <v>42</v>
      </c>
    </row>
    <row r="95" spans="1:17" ht="14.25" customHeight="1" x14ac:dyDescent="0.3">
      <c r="C95" s="40">
        <f>0.5*A$95</f>
        <v>0</v>
      </c>
      <c r="D95" s="49" t="str">
        <f t="shared" ref="D95:D96" si="15">IF(P91&lt;=0.0032999,"mA1",
IF(P91&lt;=0.032999, "mA2",
IF(P91&lt;=0.32999,"mA3",
IF(P91&lt;=2.1999,"A1",
IF(P91&lt;=11,"A2",
"Number Out of Range"
)))))</f>
        <v>A2</v>
      </c>
      <c r="E95" s="784"/>
      <c r="F95" s="783"/>
      <c r="G95" s="784"/>
      <c r="H95" s="783"/>
      <c r="I95" s="784"/>
      <c r="J95" s="783"/>
      <c r="K95" s="784"/>
      <c r="L95" s="783"/>
      <c r="M95" s="784"/>
      <c r="N95" s="783"/>
      <c r="P95" s="566">
        <f>IF(B93="mA",A93*0.5/1000,A93*0.5)</f>
        <v>0</v>
      </c>
      <c r="Q95" s="566" t="s">
        <v>42</v>
      </c>
    </row>
    <row r="96" spans="1:17" ht="14.25" customHeight="1" x14ac:dyDescent="0.3">
      <c r="A96" s="27"/>
      <c r="B96" s="29"/>
      <c r="C96" s="40">
        <f>0.9*A$95</f>
        <v>0</v>
      </c>
      <c r="D96" s="49" t="str">
        <f t="shared" si="15"/>
        <v>A2</v>
      </c>
      <c r="E96" s="784"/>
      <c r="F96" s="783"/>
      <c r="G96" s="784"/>
      <c r="H96" s="783"/>
      <c r="I96" s="784"/>
      <c r="J96" s="783"/>
      <c r="K96" s="784"/>
      <c r="L96" s="783"/>
      <c r="M96" s="784"/>
      <c r="N96" s="783"/>
      <c r="P96" s="566">
        <f>IF($B$68="mA", $A$72*0.9/1000,$A$72*0.9)</f>
        <v>0</v>
      </c>
      <c r="Q96" s="566" t="s">
        <v>42</v>
      </c>
    </row>
    <row r="97" spans="1:17" ht="14.25" customHeight="1" x14ac:dyDescent="0.3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</row>
    <row r="98" spans="1:17" ht="14.25" customHeight="1" x14ac:dyDescent="0.3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</row>
    <row r="99" spans="1:17" ht="14.25" customHeight="1" x14ac:dyDescent="0.3">
      <c r="A99" s="629" t="s">
        <v>669</v>
      </c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</row>
    <row r="100" spans="1:17" ht="14.25" customHeight="1" x14ac:dyDescent="0.3">
      <c r="A100" s="789" t="s">
        <v>27</v>
      </c>
      <c r="B100" s="790"/>
      <c r="C100" s="789" t="s">
        <v>38</v>
      </c>
      <c r="D100" s="790"/>
      <c r="E100" s="793" t="s">
        <v>29</v>
      </c>
      <c r="F100" s="794"/>
      <c r="G100" s="794"/>
      <c r="H100" s="794"/>
      <c r="I100" s="794"/>
      <c r="J100" s="794"/>
      <c r="K100" s="794"/>
      <c r="L100" s="794"/>
      <c r="M100" s="794"/>
      <c r="N100" s="780"/>
    </row>
    <row r="101" spans="1:17" ht="14.25" customHeight="1" x14ac:dyDescent="0.3">
      <c r="A101" s="791"/>
      <c r="B101" s="792"/>
      <c r="C101" s="791"/>
      <c r="D101" s="792"/>
      <c r="E101" s="793" t="s">
        <v>30</v>
      </c>
      <c r="F101" s="780"/>
      <c r="G101" s="793" t="s">
        <v>31</v>
      </c>
      <c r="H101" s="780"/>
      <c r="I101" s="793" t="s">
        <v>32</v>
      </c>
      <c r="J101" s="780"/>
      <c r="K101" s="793" t="s">
        <v>33</v>
      </c>
      <c r="L101" s="780"/>
      <c r="M101" s="793" t="s">
        <v>34</v>
      </c>
      <c r="N101" s="780"/>
    </row>
    <row r="102" spans="1:17" ht="14.25" customHeight="1" x14ac:dyDescent="0.3">
      <c r="A102" s="617">
        <v>60</v>
      </c>
      <c r="B102" s="623" t="s">
        <v>41</v>
      </c>
      <c r="C102" s="631"/>
      <c r="D102" s="632"/>
      <c r="E102" s="627"/>
      <c r="F102" s="628"/>
      <c r="G102" s="627"/>
      <c r="H102" s="628"/>
      <c r="I102" s="627"/>
      <c r="J102" s="628"/>
      <c r="K102" s="627"/>
      <c r="L102" s="628"/>
      <c r="M102" s="627"/>
      <c r="N102" s="628"/>
      <c r="P102" s="566" t="s">
        <v>638</v>
      </c>
      <c r="Q102" s="566" t="s">
        <v>639</v>
      </c>
    </row>
    <row r="103" spans="1:17" ht="14.25" customHeight="1" x14ac:dyDescent="0.3">
      <c r="C103" s="40">
        <f>IF(0.1*A102 &lt;329.9999, 0.1*A102,0.1*A102/1000)</f>
        <v>6</v>
      </c>
      <c r="D103" s="41" t="str">
        <f>IF(P103&lt;=0.0032999,"mA1",
IF(P103&lt;=0.032999, "mA2",
IF(P103&lt;=0.32999,"mA3",
IF(P103&lt;=2.1999,"A1",
IF(P103&lt;=11,"A2",
"Number Out of Range"
)))))</f>
        <v>mA2</v>
      </c>
      <c r="E103" s="784">
        <v>6</v>
      </c>
      <c r="F103" s="780"/>
      <c r="G103" s="784">
        <v>6</v>
      </c>
      <c r="H103" s="780"/>
      <c r="I103" s="784">
        <v>6</v>
      </c>
      <c r="J103" s="780"/>
      <c r="K103" s="784">
        <v>6</v>
      </c>
      <c r="L103" s="780"/>
      <c r="M103" s="784">
        <v>6</v>
      </c>
      <c r="N103" s="780"/>
      <c r="P103" s="566">
        <f>IF(B102="mA",A102*0.1/1000,A102*0.1)</f>
        <v>6.0000000000000001E-3</v>
      </c>
      <c r="Q103" s="566" t="s">
        <v>42</v>
      </c>
    </row>
    <row r="104" spans="1:17" ht="14.25" customHeight="1" x14ac:dyDescent="0.3">
      <c r="A104" s="27"/>
      <c r="B104" s="29"/>
      <c r="C104" s="40">
        <f>IF(0.5*A102 &lt;329.9999, 0.5*A102,0.1*A102/1000)</f>
        <v>30</v>
      </c>
      <c r="D104" s="41" t="str">
        <f t="shared" ref="D104:D105" si="16">IF(P104&lt;=0.0032999,"mA1",
IF(P104&lt;=0.032999, "mA2",
IF(P104&lt;=0.32999,"mA3",
IF(P104&lt;=2.1999,"A1",
IF(P104&lt;=11,"A2",
"Number Out of Range"
)))))</f>
        <v>mA2</v>
      </c>
      <c r="E104" s="784">
        <v>29.99</v>
      </c>
      <c r="F104" s="780"/>
      <c r="G104" s="784">
        <v>29.99</v>
      </c>
      <c r="H104" s="780"/>
      <c r="I104" s="784">
        <v>29.99</v>
      </c>
      <c r="J104" s="780"/>
      <c r="K104" s="784">
        <v>29.99</v>
      </c>
      <c r="L104" s="780"/>
      <c r="M104" s="784">
        <v>29.99</v>
      </c>
      <c r="N104" s="780"/>
      <c r="P104" s="566">
        <f>IF(B102="mA",A102*0.5/1000,A102*0.5)</f>
        <v>0.03</v>
      </c>
      <c r="Q104" s="566" t="s">
        <v>42</v>
      </c>
    </row>
    <row r="105" spans="1:17" ht="14.25" customHeight="1" x14ac:dyDescent="0.3">
      <c r="A105" s="27"/>
      <c r="B105" s="29"/>
      <c r="C105" s="40">
        <f>IF(0.9*A102&lt;329.9999,0.9*A102,(0.9*A102)/1000)</f>
        <v>54</v>
      </c>
      <c r="D105" s="41" t="str">
        <f t="shared" si="16"/>
        <v>mA3</v>
      </c>
      <c r="E105" s="784">
        <v>53.99</v>
      </c>
      <c r="F105" s="780"/>
      <c r="G105" s="784">
        <v>53.99</v>
      </c>
      <c r="H105" s="780"/>
      <c r="I105" s="784">
        <v>53.99</v>
      </c>
      <c r="J105" s="780"/>
      <c r="K105" s="784">
        <v>53.99</v>
      </c>
      <c r="L105" s="780"/>
      <c r="M105" s="784">
        <v>53.99</v>
      </c>
      <c r="N105" s="780"/>
      <c r="P105" s="566">
        <f>IF(B102="mA", A102*0.9/1000,A102*0.9)</f>
        <v>5.3999999999999999E-2</v>
      </c>
      <c r="Q105" s="566" t="s">
        <v>42</v>
      </c>
    </row>
    <row r="106" spans="1:17" ht="14.25" customHeight="1" x14ac:dyDescent="0.3">
      <c r="A106" s="617">
        <v>600</v>
      </c>
      <c r="B106" s="664" t="s">
        <v>41</v>
      </c>
      <c r="C106" s="612"/>
      <c r="D106" s="633"/>
      <c r="E106" s="788"/>
      <c r="F106" s="805"/>
      <c r="G106" s="788"/>
      <c r="H106" s="805"/>
      <c r="I106" s="788"/>
      <c r="J106" s="805"/>
      <c r="K106" s="788"/>
      <c r="L106" s="805"/>
      <c r="M106" s="788"/>
      <c r="N106" s="805"/>
      <c r="P106" s="566"/>
      <c r="Q106" s="566"/>
    </row>
    <row r="107" spans="1:17" ht="14.25" customHeight="1" x14ac:dyDescent="0.3">
      <c r="C107" s="40">
        <f>IF(0.1*A106 &lt;329.9999, 0.1*A106,0.1*A106/1000)</f>
        <v>60</v>
      </c>
      <c r="D107" s="41" t="str">
        <f>IF(P107&lt;=0.0032999,"mA1",
IF(P107&lt;=0.032999, "mA2",
IF(P107&lt;=0.32999,"mA3",
IF(P107&lt;=2.1999,"A1",
IF(P107&lt;=11,"A2",
"Number Out of Range"
)))))</f>
        <v>mA3</v>
      </c>
      <c r="E107" s="779">
        <v>60</v>
      </c>
      <c r="F107" s="802"/>
      <c r="G107" s="779">
        <v>60</v>
      </c>
      <c r="H107" s="802"/>
      <c r="I107" s="779">
        <v>60</v>
      </c>
      <c r="J107" s="802"/>
      <c r="K107" s="779">
        <v>60</v>
      </c>
      <c r="L107" s="802"/>
      <c r="M107" s="779">
        <v>60</v>
      </c>
      <c r="N107" s="802"/>
      <c r="P107" s="566">
        <f>IF(B106="mA",A106*0.1/1000,A106*0.1)</f>
        <v>0.06</v>
      </c>
      <c r="Q107" s="566" t="s">
        <v>42</v>
      </c>
    </row>
    <row r="108" spans="1:17" ht="14.25" customHeight="1" x14ac:dyDescent="0.3">
      <c r="A108" s="27"/>
      <c r="B108" s="29"/>
      <c r="C108" s="40">
        <f>IF(0.5*A106 &lt;329.9999, 0.5*A106,0.1*A106/1000)</f>
        <v>300</v>
      </c>
      <c r="D108" s="41" t="str">
        <f t="shared" ref="D108:D109" si="17">IF(P108&lt;=0.0032999,"mA1",
IF(P108&lt;=0.032999, "mA2",
IF(P108&lt;=0.32999,"mA3",
IF(P108&lt;=2.1999,"A1",
IF(P108&lt;=11,"A2",
"Number Out of Range"
)))))</f>
        <v>mA3</v>
      </c>
      <c r="E108" s="779">
        <v>300.10000000000002</v>
      </c>
      <c r="F108" s="802"/>
      <c r="G108" s="779">
        <v>300.10000000000002</v>
      </c>
      <c r="H108" s="802"/>
      <c r="I108" s="779">
        <v>300.10000000000002</v>
      </c>
      <c r="J108" s="802"/>
      <c r="K108" s="779">
        <v>300.10000000000002</v>
      </c>
      <c r="L108" s="802"/>
      <c r="M108" s="779">
        <v>300.10000000000002</v>
      </c>
      <c r="N108" s="802"/>
      <c r="P108" s="566">
        <f>IF(B106="mA",A106*0.5/1000,A106*0.5)</f>
        <v>0.3</v>
      </c>
      <c r="Q108" s="566" t="s">
        <v>42</v>
      </c>
    </row>
    <row r="109" spans="1:17" ht="14.25" customHeight="1" x14ac:dyDescent="0.3">
      <c r="A109" s="27"/>
      <c r="B109" s="29"/>
      <c r="C109" s="40">
        <f>IF(0.9*A106&lt;329.9999,0.9*A106,(0.9*A106)/1000)</f>
        <v>0.54</v>
      </c>
      <c r="D109" s="41" t="str">
        <f t="shared" si="17"/>
        <v>A1</v>
      </c>
      <c r="E109" s="779">
        <v>540.1</v>
      </c>
      <c r="F109" s="780"/>
      <c r="G109" s="779">
        <v>540.1</v>
      </c>
      <c r="H109" s="780"/>
      <c r="I109" s="779">
        <v>540.1</v>
      </c>
      <c r="J109" s="780"/>
      <c r="K109" s="779">
        <v>540.1</v>
      </c>
      <c r="L109" s="780"/>
      <c r="M109" s="779">
        <v>540.1</v>
      </c>
      <c r="N109" s="780"/>
      <c r="P109" s="566">
        <f>IF(B106="mA", A106*0.9/1000,A106*0.9)</f>
        <v>0.54</v>
      </c>
      <c r="Q109" s="566" t="s">
        <v>42</v>
      </c>
    </row>
    <row r="110" spans="1:17" ht="14.25" customHeight="1" x14ac:dyDescent="0.3">
      <c r="A110" s="617">
        <v>6</v>
      </c>
      <c r="B110" s="623" t="s">
        <v>42</v>
      </c>
      <c r="C110" s="665"/>
      <c r="D110" s="633"/>
      <c r="E110" s="785"/>
      <c r="F110" s="800"/>
      <c r="G110" s="785"/>
      <c r="H110" s="800"/>
      <c r="I110" s="785"/>
      <c r="J110" s="800"/>
      <c r="K110" s="785"/>
      <c r="L110" s="800"/>
      <c r="M110" s="785"/>
      <c r="N110" s="800"/>
      <c r="P110" s="566"/>
      <c r="Q110" s="566"/>
    </row>
    <row r="111" spans="1:17" ht="14.25" customHeight="1" x14ac:dyDescent="0.3">
      <c r="C111" s="40">
        <f>IF(0.1*A110 &lt;329.9999, 0.1*A110,0.1*A110/1000)</f>
        <v>0.60000000000000009</v>
      </c>
      <c r="D111" s="41" t="str">
        <f>IF(P111&lt;=0.0032999,"mA1",
IF(P111&lt;=0.032999, "mA2",
IF(P111&lt;=0.32999,"mA3",
IF(P111&lt;=2.1999,"A1",
IF(P111&lt;=11,"A2",
"Number Out of Range"
)))))</f>
        <v>A1</v>
      </c>
      <c r="E111" s="781">
        <v>0.6</v>
      </c>
      <c r="F111" s="799"/>
      <c r="G111" s="781">
        <v>0.6</v>
      </c>
      <c r="H111" s="799"/>
      <c r="I111" s="781">
        <v>0.6</v>
      </c>
      <c r="J111" s="799"/>
      <c r="K111" s="781">
        <v>0.6</v>
      </c>
      <c r="L111" s="799"/>
      <c r="M111" s="781">
        <v>0.6</v>
      </c>
      <c r="N111" s="799"/>
      <c r="P111" s="566">
        <f>IF(B110="mA",A110*0.1/1000,A110*0.1)</f>
        <v>0.60000000000000009</v>
      </c>
      <c r="Q111" s="566" t="s">
        <v>42</v>
      </c>
    </row>
    <row r="112" spans="1:17" ht="14.25" customHeight="1" x14ac:dyDescent="0.3">
      <c r="A112" s="27"/>
      <c r="B112" s="29"/>
      <c r="C112" s="40">
        <f>IF(0.5*A110 &lt;329.9999, 0.5*A110,0.1*A110/1000)</f>
        <v>3</v>
      </c>
      <c r="D112" s="41" t="str">
        <f t="shared" ref="D112:D113" si="18">IF(P112&lt;=0.0032999,"mA1",
IF(P112&lt;=0.032999, "mA2",
IF(P112&lt;=0.32999,"mA3",
IF(P112&lt;=2.1999,"A1",
IF(P112&lt;=11,"A2",
"Number Out of Range"
)))))</f>
        <v>A2</v>
      </c>
      <c r="E112" s="781">
        <v>2.9990000000000001</v>
      </c>
      <c r="F112" s="799"/>
      <c r="G112" s="781">
        <v>2.9990000000000001</v>
      </c>
      <c r="H112" s="799"/>
      <c r="I112" s="781">
        <v>2.9990000000000001</v>
      </c>
      <c r="J112" s="799"/>
      <c r="K112" s="781">
        <v>2.9990000000000001</v>
      </c>
      <c r="L112" s="799"/>
      <c r="M112" s="781">
        <v>2.9990000000000001</v>
      </c>
      <c r="N112" s="799"/>
      <c r="P112" s="566">
        <f>IF(B110="mA",A110*0.5/1000,A110*0.5)</f>
        <v>3</v>
      </c>
      <c r="Q112" s="566" t="s">
        <v>42</v>
      </c>
    </row>
    <row r="113" spans="1:28" ht="14.25" customHeight="1" x14ac:dyDescent="0.3">
      <c r="A113" s="27"/>
      <c r="B113" s="29"/>
      <c r="C113" s="40">
        <f>IF(0.9*A110&lt;329.9999,0.9*A110,(0.9*A110)/1000)</f>
        <v>5.4</v>
      </c>
      <c r="D113" s="41" t="str">
        <f t="shared" si="18"/>
        <v>A2</v>
      </c>
      <c r="E113" s="781">
        <v>5.399</v>
      </c>
      <c r="F113" s="799"/>
      <c r="G113" s="781">
        <v>5.399</v>
      </c>
      <c r="H113" s="799"/>
      <c r="I113" s="781">
        <v>5.399</v>
      </c>
      <c r="J113" s="799"/>
      <c r="K113" s="781">
        <v>5.399</v>
      </c>
      <c r="L113" s="799"/>
      <c r="M113" s="781">
        <v>5.399</v>
      </c>
      <c r="N113" s="799"/>
      <c r="P113" s="566">
        <f>IF(B110="mA", A110*0.9/1000,A110*0.9)</f>
        <v>5.4</v>
      </c>
      <c r="Q113" s="566" t="s">
        <v>42</v>
      </c>
    </row>
    <row r="114" spans="1:28" ht="14.25" customHeight="1" x14ac:dyDescent="0.3">
      <c r="A114" s="617">
        <v>10</v>
      </c>
      <c r="B114" s="623" t="s">
        <v>42</v>
      </c>
      <c r="C114" s="665"/>
      <c r="D114" s="633"/>
      <c r="E114" s="785"/>
      <c r="F114" s="800"/>
      <c r="G114" s="785"/>
      <c r="H114" s="800"/>
      <c r="I114" s="785"/>
      <c r="J114" s="800"/>
      <c r="K114" s="785"/>
      <c r="L114" s="800"/>
      <c r="M114" s="785"/>
      <c r="N114" s="800"/>
      <c r="P114" s="566"/>
      <c r="Q114" s="566"/>
    </row>
    <row r="115" spans="1:28" ht="14.25" customHeight="1" x14ac:dyDescent="0.3">
      <c r="C115" s="40">
        <f>IF(0.1*A114 &lt;329.9999, 0.1*A114,0.1*A114/1000)</f>
        <v>1</v>
      </c>
      <c r="D115" s="41" t="str">
        <f>IF(P115&lt;=0.0032999,"mA1",
IF(P115&lt;=0.032999, "mA2",
IF(P115&lt;=0.32999,"mA3",
IF(P115&lt;=2.1999,"A1",
IF(P115&lt;=11,"A2",
"Number Out of Range"
)))))</f>
        <v>A1</v>
      </c>
      <c r="E115" s="784">
        <v>1</v>
      </c>
      <c r="F115" s="796"/>
      <c r="G115" s="784">
        <v>1</v>
      </c>
      <c r="H115" s="796"/>
      <c r="I115" s="784">
        <v>1</v>
      </c>
      <c r="J115" s="796"/>
      <c r="K115" s="784">
        <v>1</v>
      </c>
      <c r="L115" s="796"/>
      <c r="M115" s="784">
        <v>1</v>
      </c>
      <c r="N115" s="796"/>
      <c r="P115" s="566">
        <f>IF(B114="mA",A114*0.1/1000,A114*0.1)</f>
        <v>1</v>
      </c>
      <c r="Q115" s="566" t="s">
        <v>42</v>
      </c>
    </row>
    <row r="116" spans="1:28" ht="14.25" customHeight="1" x14ac:dyDescent="0.3">
      <c r="A116" s="27"/>
      <c r="B116" s="29"/>
      <c r="C116" s="40">
        <f>IF(0.5*A114 &lt;329.9999, 0.5*A114,0.1*A114/1000)</f>
        <v>5</v>
      </c>
      <c r="D116" s="41" t="str">
        <f t="shared" ref="D116:D117" si="19">IF(P116&lt;=0.0032999,"mA1",
IF(P116&lt;=0.032999, "mA2",
IF(P116&lt;=0.32999,"mA3",
IF(P116&lt;=2.1999,"A1",
IF(P116&lt;=11,"A2",
"Number Out of Range"
)))))</f>
        <v>A2</v>
      </c>
      <c r="E116" s="784">
        <v>5</v>
      </c>
      <c r="F116" s="796"/>
      <c r="G116" s="784">
        <v>5</v>
      </c>
      <c r="H116" s="796"/>
      <c r="I116" s="784">
        <v>5</v>
      </c>
      <c r="J116" s="796"/>
      <c r="K116" s="784">
        <v>5</v>
      </c>
      <c r="L116" s="796"/>
      <c r="M116" s="784">
        <v>5</v>
      </c>
      <c r="N116" s="796"/>
      <c r="P116" s="566">
        <f>IF(B114="mA",A114*0.5/1000,A114*0.5)</f>
        <v>5</v>
      </c>
      <c r="Q116" s="566" t="s">
        <v>42</v>
      </c>
    </row>
    <row r="117" spans="1:28" ht="14.25" customHeight="1" x14ac:dyDescent="0.3">
      <c r="A117" s="27"/>
      <c r="B117" s="29"/>
      <c r="C117" s="40">
        <f>IF(0.9*A114&lt;329.9999,0.9*A114,(0.9*A114)/1000)</f>
        <v>9</v>
      </c>
      <c r="D117" s="41" t="str">
        <f t="shared" si="19"/>
        <v>A2</v>
      </c>
      <c r="E117" s="784">
        <v>9</v>
      </c>
      <c r="F117" s="796"/>
      <c r="G117" s="784">
        <v>9</v>
      </c>
      <c r="H117" s="796"/>
      <c r="I117" s="784">
        <v>9</v>
      </c>
      <c r="J117" s="796"/>
      <c r="K117" s="784">
        <v>9</v>
      </c>
      <c r="L117" s="796"/>
      <c r="M117" s="784">
        <v>9</v>
      </c>
      <c r="N117" s="796"/>
      <c r="P117" s="566">
        <f>IF(B114="mA", A114*0.9/1000,A114*0.9)</f>
        <v>9</v>
      </c>
      <c r="Q117" s="566" t="s">
        <v>42</v>
      </c>
    </row>
    <row r="118" spans="1:28" ht="14.25" customHeight="1" x14ac:dyDescent="0.3">
      <c r="A118" s="617">
        <v>0</v>
      </c>
      <c r="B118" s="623" t="s">
        <v>42</v>
      </c>
      <c r="C118" s="665"/>
      <c r="D118" s="633"/>
      <c r="E118" s="797"/>
      <c r="F118" s="798"/>
      <c r="G118" s="785"/>
      <c r="H118" s="786"/>
      <c r="I118" s="785"/>
      <c r="J118" s="786"/>
      <c r="K118" s="785"/>
      <c r="L118" s="786"/>
      <c r="M118" s="785"/>
      <c r="N118" s="786"/>
      <c r="P118" s="566"/>
      <c r="Q118" s="566"/>
    </row>
    <row r="119" spans="1:28" ht="14.25" customHeight="1" x14ac:dyDescent="0.3">
      <c r="A119" s="27"/>
      <c r="B119" s="29"/>
      <c r="C119" s="43">
        <f>0.1*A$96</f>
        <v>0</v>
      </c>
      <c r="D119" s="41" t="str">
        <f>IF(P119&lt;=0.0032999,"mA1",
IF(P119&lt;=0.032999, "mA2",
IF(P119&lt;=0.32999,"mA3",
IF(P119&lt;=2.1999,"A1",
IF(P119&lt;=11,"A2",
"Number Out of Range"
)))))</f>
        <v>mA1</v>
      </c>
      <c r="E119" s="784"/>
      <c r="F119" s="783"/>
      <c r="G119" s="784"/>
      <c r="H119" s="783"/>
      <c r="I119" s="784"/>
      <c r="J119" s="783"/>
      <c r="K119" s="784"/>
      <c r="L119" s="783"/>
      <c r="M119" s="784"/>
      <c r="N119" s="783"/>
      <c r="P119" s="566">
        <f>IF($B$72="mA",$A$72*0.1/1000,A118*0.1)</f>
        <v>0</v>
      </c>
      <c r="Q119" s="566" t="s">
        <v>42</v>
      </c>
    </row>
    <row r="120" spans="1:28" ht="14.25" customHeight="1" x14ac:dyDescent="0.3">
      <c r="C120" s="40">
        <f>0.5*A$96</f>
        <v>0</v>
      </c>
      <c r="D120" s="41" t="str">
        <f t="shared" ref="D120:D121" si="20">IF(P120&lt;=0.0032999,"mA1",
IF(P120&lt;=0.032999, "mA2",
IF(P120&lt;=0.32999,"mA3",
IF(P120&lt;=2.1999,"A1",
IF(P120&lt;=11,"A2",
"Number Out of Range"
)))))</f>
        <v>mA1</v>
      </c>
      <c r="E120" s="784"/>
      <c r="F120" s="783"/>
      <c r="G120" s="784"/>
      <c r="H120" s="783"/>
      <c r="I120" s="784"/>
      <c r="J120" s="783"/>
      <c r="K120" s="784"/>
      <c r="L120" s="783"/>
      <c r="M120" s="784"/>
      <c r="N120" s="783"/>
      <c r="P120" s="566">
        <f>IF(B118="mA",A118*0.5/1000,A118*0.5)</f>
        <v>0</v>
      </c>
      <c r="Q120" s="566" t="s">
        <v>42</v>
      </c>
    </row>
    <row r="121" spans="1:28" ht="14.25" customHeight="1" x14ac:dyDescent="0.3">
      <c r="A121" s="27"/>
      <c r="B121" s="29"/>
      <c r="C121" s="40">
        <f>0.9*A$96</f>
        <v>0</v>
      </c>
      <c r="D121" s="41" t="str">
        <f t="shared" si="20"/>
        <v>mA1</v>
      </c>
      <c r="E121" s="784"/>
      <c r="F121" s="783"/>
      <c r="G121" s="784"/>
      <c r="H121" s="783"/>
      <c r="I121" s="784"/>
      <c r="J121" s="783"/>
      <c r="K121" s="784"/>
      <c r="L121" s="783"/>
      <c r="M121" s="784"/>
      <c r="N121" s="783"/>
      <c r="P121" s="566">
        <f>IF($B$68="mA", $A$72*0.9/1000,$A$72*0.9)</f>
        <v>0</v>
      </c>
      <c r="Q121" s="566" t="s">
        <v>42</v>
      </c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</row>
    <row r="122" spans="1:28" ht="15" customHeight="1" x14ac:dyDescent="0.3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</row>
    <row r="123" spans="1:28" ht="15" customHeight="1" x14ac:dyDescent="0.3">
      <c r="A123" s="47"/>
      <c r="B123" s="47"/>
      <c r="C123" s="14"/>
      <c r="D123" s="14"/>
      <c r="E123" s="14"/>
      <c r="F123" s="14"/>
      <c r="G123" s="14"/>
      <c r="H123" s="14"/>
      <c r="I123" s="14"/>
      <c r="J123" s="47"/>
      <c r="K123" s="47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</row>
    <row r="124" spans="1:28" ht="15" customHeight="1" x14ac:dyDescent="0.3">
      <c r="A124" s="629" t="s">
        <v>670</v>
      </c>
      <c r="B124" s="47"/>
      <c r="C124" s="14"/>
      <c r="D124" s="14"/>
      <c r="E124" s="14"/>
      <c r="F124" s="14"/>
      <c r="G124" s="14"/>
      <c r="H124" s="14"/>
      <c r="I124" s="14"/>
      <c r="J124" s="47"/>
      <c r="K124" s="47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</row>
    <row r="125" spans="1:28" ht="15" customHeight="1" x14ac:dyDescent="0.3">
      <c r="A125" s="789" t="s">
        <v>27</v>
      </c>
      <c r="B125" s="790"/>
      <c r="C125" s="789" t="s">
        <v>38</v>
      </c>
      <c r="D125" s="790"/>
      <c r="E125" s="793" t="s">
        <v>29</v>
      </c>
      <c r="F125" s="794"/>
      <c r="G125" s="794"/>
      <c r="H125" s="794"/>
      <c r="I125" s="794"/>
      <c r="J125" s="794"/>
      <c r="K125" s="794"/>
      <c r="L125" s="794"/>
      <c r="M125" s="794"/>
      <c r="N125" s="780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</row>
    <row r="126" spans="1:28" ht="15" customHeight="1" x14ac:dyDescent="0.3">
      <c r="A126" s="791"/>
      <c r="B126" s="792"/>
      <c r="C126" s="791"/>
      <c r="D126" s="792"/>
      <c r="E126" s="793" t="s">
        <v>30</v>
      </c>
      <c r="F126" s="780"/>
      <c r="G126" s="793" t="s">
        <v>31</v>
      </c>
      <c r="H126" s="780"/>
      <c r="I126" s="793" t="s">
        <v>32</v>
      </c>
      <c r="J126" s="780"/>
      <c r="K126" s="793" t="s">
        <v>33</v>
      </c>
      <c r="L126" s="780"/>
      <c r="M126" s="793" t="s">
        <v>34</v>
      </c>
      <c r="N126" s="780"/>
    </row>
    <row r="127" spans="1:28" ht="15" customHeight="1" x14ac:dyDescent="0.3">
      <c r="A127" s="617">
        <v>600</v>
      </c>
      <c r="B127" s="664" t="s">
        <v>44</v>
      </c>
      <c r="C127" s="612"/>
      <c r="D127" s="633"/>
      <c r="E127" s="785"/>
      <c r="F127" s="786"/>
      <c r="G127" s="785"/>
      <c r="H127" s="786"/>
      <c r="I127" s="785"/>
      <c r="J127" s="786"/>
      <c r="K127" s="785"/>
      <c r="L127" s="786"/>
      <c r="M127" s="785"/>
      <c r="N127" s="786"/>
    </row>
    <row r="128" spans="1:28" ht="14.25" customHeight="1" x14ac:dyDescent="0.3">
      <c r="C128" s="44">
        <f>0.1*A127</f>
        <v>60</v>
      </c>
      <c r="D128" s="29" t="s">
        <v>44</v>
      </c>
      <c r="E128" s="779">
        <v>60.1</v>
      </c>
      <c r="F128" s="795"/>
      <c r="G128" s="779">
        <v>60.1</v>
      </c>
      <c r="H128" s="795"/>
      <c r="I128" s="779">
        <v>60.1</v>
      </c>
      <c r="J128" s="795"/>
      <c r="K128" s="779">
        <v>60.1</v>
      </c>
      <c r="L128" s="795"/>
      <c r="M128" s="779">
        <v>60.1</v>
      </c>
      <c r="N128" s="795"/>
    </row>
    <row r="129" spans="1:14" ht="14.25" customHeight="1" x14ac:dyDescent="0.3">
      <c r="A129" s="27"/>
      <c r="B129" s="29"/>
      <c r="C129" s="44">
        <f>0.5*A127</f>
        <v>300</v>
      </c>
      <c r="D129" s="29" t="s">
        <v>44</v>
      </c>
      <c r="E129" s="779">
        <v>301.10000000000002</v>
      </c>
      <c r="F129" s="780"/>
      <c r="G129" s="779">
        <v>301.10000000000002</v>
      </c>
      <c r="H129" s="780"/>
      <c r="I129" s="779">
        <v>301.10000000000002</v>
      </c>
      <c r="J129" s="780"/>
      <c r="K129" s="779">
        <v>301.10000000000002</v>
      </c>
      <c r="L129" s="780"/>
      <c r="M129" s="779">
        <v>301.10000000000002</v>
      </c>
      <c r="N129" s="780"/>
    </row>
    <row r="130" spans="1:14" ht="14.25" customHeight="1" x14ac:dyDescent="0.3">
      <c r="A130" s="27"/>
      <c r="B130" s="29"/>
      <c r="C130" s="43">
        <f>0.9*A127/1000</f>
        <v>0.54</v>
      </c>
      <c r="D130" s="29" t="s">
        <v>43</v>
      </c>
      <c r="E130" s="779">
        <v>541</v>
      </c>
      <c r="F130" s="802"/>
      <c r="G130" s="779">
        <v>541</v>
      </c>
      <c r="H130" s="802"/>
      <c r="I130" s="779">
        <v>541</v>
      </c>
      <c r="J130" s="802"/>
      <c r="K130" s="779">
        <v>541</v>
      </c>
      <c r="L130" s="802"/>
      <c r="M130" s="779">
        <v>541</v>
      </c>
      <c r="N130" s="802"/>
    </row>
    <row r="131" spans="1:14" ht="14.25" customHeight="1" x14ac:dyDescent="0.3">
      <c r="A131" s="617">
        <v>6</v>
      </c>
      <c r="B131" s="623" t="s">
        <v>43</v>
      </c>
      <c r="C131" s="612"/>
      <c r="D131" s="633"/>
      <c r="E131" s="785"/>
      <c r="F131" s="786"/>
      <c r="G131" s="785"/>
      <c r="H131" s="786"/>
      <c r="I131" s="785"/>
      <c r="J131" s="786"/>
      <c r="K131" s="785"/>
      <c r="L131" s="786"/>
      <c r="M131" s="785"/>
      <c r="N131" s="786"/>
    </row>
    <row r="132" spans="1:14" ht="14.25" customHeight="1" x14ac:dyDescent="0.3">
      <c r="C132" s="43">
        <f>0.1*A131</f>
        <v>0.60000000000000009</v>
      </c>
      <c r="D132" s="170" t="s">
        <v>43</v>
      </c>
      <c r="E132" s="781">
        <v>0.60099999999999998</v>
      </c>
      <c r="F132" s="780"/>
      <c r="G132" s="781">
        <v>0.60099999999999998</v>
      </c>
      <c r="H132" s="780"/>
      <c r="I132" s="781">
        <v>0.60099999999999998</v>
      </c>
      <c r="J132" s="780"/>
      <c r="K132" s="781">
        <v>0.60099999999999998</v>
      </c>
      <c r="L132" s="780"/>
      <c r="M132" s="781">
        <v>0.60099999999999998</v>
      </c>
      <c r="N132" s="780"/>
    </row>
    <row r="133" spans="1:14" ht="14.25" customHeight="1" x14ac:dyDescent="0.3">
      <c r="A133" s="27"/>
      <c r="B133" s="29"/>
      <c r="C133" s="43">
        <f>0.5*A131</f>
        <v>3</v>
      </c>
      <c r="D133" s="170" t="s">
        <v>43</v>
      </c>
      <c r="E133" s="781">
        <v>3.0009999999999999</v>
      </c>
      <c r="F133" s="780"/>
      <c r="G133" s="781">
        <v>3.0009999999999999</v>
      </c>
      <c r="H133" s="780"/>
      <c r="I133" s="781">
        <v>3.0009999999999999</v>
      </c>
      <c r="J133" s="780"/>
      <c r="K133" s="781">
        <v>3.0009999999999999</v>
      </c>
      <c r="L133" s="780"/>
      <c r="M133" s="781">
        <v>3.0009999999999999</v>
      </c>
      <c r="N133" s="780"/>
    </row>
    <row r="134" spans="1:14" ht="14.25" customHeight="1" x14ac:dyDescent="0.3">
      <c r="A134" s="27"/>
      <c r="B134" s="29"/>
      <c r="C134" s="40">
        <f>0.9*A131</f>
        <v>5.4</v>
      </c>
      <c r="D134" s="29" t="s">
        <v>43</v>
      </c>
      <c r="E134" s="781">
        <v>5.4</v>
      </c>
      <c r="F134" s="787"/>
      <c r="G134" s="781">
        <v>5.4</v>
      </c>
      <c r="H134" s="787"/>
      <c r="I134" s="781">
        <v>5.4</v>
      </c>
      <c r="J134" s="787"/>
      <c r="K134" s="781">
        <v>5.4</v>
      </c>
      <c r="L134" s="787"/>
      <c r="M134" s="781">
        <v>5.4</v>
      </c>
      <c r="N134" s="787"/>
    </row>
    <row r="135" spans="1:14" ht="14.25" customHeight="1" x14ac:dyDescent="0.3">
      <c r="A135" s="617">
        <v>60</v>
      </c>
      <c r="B135" s="623" t="s">
        <v>43</v>
      </c>
      <c r="C135" s="612"/>
      <c r="D135" s="633"/>
      <c r="E135" s="785"/>
      <c r="F135" s="786"/>
      <c r="G135" s="785"/>
      <c r="H135" s="786"/>
      <c r="I135" s="785"/>
      <c r="J135" s="786"/>
      <c r="K135" s="785"/>
      <c r="L135" s="786"/>
      <c r="M135" s="785"/>
      <c r="N135" s="786"/>
    </row>
    <row r="136" spans="1:14" ht="14.25" customHeight="1" x14ac:dyDescent="0.3">
      <c r="C136" s="40">
        <f>0.1*A135</f>
        <v>6</v>
      </c>
      <c r="D136" s="170" t="s">
        <v>43</v>
      </c>
      <c r="E136" s="784">
        <v>6</v>
      </c>
      <c r="F136" s="796"/>
      <c r="G136" s="784">
        <v>6</v>
      </c>
      <c r="H136" s="796"/>
      <c r="I136" s="784">
        <v>6</v>
      </c>
      <c r="J136" s="796"/>
      <c r="K136" s="784">
        <v>6</v>
      </c>
      <c r="L136" s="796"/>
      <c r="M136" s="784">
        <v>6</v>
      </c>
      <c r="N136" s="796"/>
    </row>
    <row r="137" spans="1:14" ht="14.25" customHeight="1" x14ac:dyDescent="0.3">
      <c r="A137" s="27"/>
      <c r="B137" s="29"/>
      <c r="C137" s="40">
        <f>0.5*A135</f>
        <v>30</v>
      </c>
      <c r="D137" s="29" t="s">
        <v>43</v>
      </c>
      <c r="E137" s="784">
        <v>30</v>
      </c>
      <c r="F137" s="780"/>
      <c r="G137" s="784">
        <v>30</v>
      </c>
      <c r="H137" s="780"/>
      <c r="I137" s="784">
        <v>30</v>
      </c>
      <c r="J137" s="780"/>
      <c r="K137" s="784">
        <v>30</v>
      </c>
      <c r="L137" s="780"/>
      <c r="M137" s="784">
        <v>30</v>
      </c>
      <c r="N137" s="780"/>
    </row>
    <row r="138" spans="1:14" ht="14.25" customHeight="1" x14ac:dyDescent="0.3">
      <c r="A138" s="27"/>
      <c r="B138" s="29"/>
      <c r="C138" s="44">
        <f>0.9*A135</f>
        <v>54</v>
      </c>
      <c r="D138" s="29" t="s">
        <v>43</v>
      </c>
      <c r="E138" s="784">
        <v>53.99</v>
      </c>
      <c r="F138" s="783"/>
      <c r="G138" s="784">
        <v>53.99</v>
      </c>
      <c r="H138" s="783"/>
      <c r="I138" s="784">
        <v>53.99</v>
      </c>
      <c r="J138" s="783"/>
      <c r="K138" s="784">
        <v>53.99</v>
      </c>
      <c r="L138" s="783"/>
      <c r="M138" s="784">
        <v>53.99</v>
      </c>
      <c r="N138" s="783"/>
    </row>
    <row r="139" spans="1:14" ht="14.25" customHeight="1" x14ac:dyDescent="0.3">
      <c r="A139" s="617">
        <v>600</v>
      </c>
      <c r="B139" s="664" t="s">
        <v>43</v>
      </c>
      <c r="C139" s="692"/>
      <c r="D139" s="633"/>
      <c r="E139" s="788"/>
      <c r="F139" s="786"/>
      <c r="G139" s="788"/>
      <c r="H139" s="786"/>
      <c r="I139" s="788"/>
      <c r="J139" s="786"/>
      <c r="K139" s="788"/>
      <c r="L139" s="786"/>
      <c r="M139" s="788"/>
      <c r="N139" s="786"/>
    </row>
    <row r="140" spans="1:14" ht="14.25" customHeight="1" x14ac:dyDescent="0.3">
      <c r="C140" s="44">
        <f>0.1*A139</f>
        <v>60</v>
      </c>
      <c r="D140" s="29" t="s">
        <v>43</v>
      </c>
      <c r="E140" s="779">
        <v>60</v>
      </c>
      <c r="F140" s="802"/>
      <c r="G140" s="779">
        <v>60</v>
      </c>
      <c r="H140" s="802"/>
      <c r="I140" s="779">
        <v>60</v>
      </c>
      <c r="J140" s="802"/>
      <c r="K140" s="779">
        <v>60</v>
      </c>
      <c r="L140" s="802"/>
      <c r="M140" s="779">
        <v>60</v>
      </c>
      <c r="N140" s="802"/>
    </row>
    <row r="141" spans="1:14" ht="14.25" customHeight="1" x14ac:dyDescent="0.3">
      <c r="A141" s="27"/>
      <c r="B141" s="29"/>
      <c r="C141" s="44">
        <f>0.5*A139</f>
        <v>300</v>
      </c>
      <c r="D141" s="29" t="s">
        <v>43</v>
      </c>
      <c r="E141" s="779">
        <v>299.89999999999998</v>
      </c>
      <c r="F141" s="780"/>
      <c r="G141" s="779">
        <v>299.89999999999998</v>
      </c>
      <c r="H141" s="780"/>
      <c r="I141" s="779">
        <v>299.89999999999998</v>
      </c>
      <c r="J141" s="780"/>
      <c r="K141" s="779">
        <v>299.89999999999998</v>
      </c>
      <c r="L141" s="780"/>
      <c r="M141" s="779">
        <v>299.89999999999998</v>
      </c>
      <c r="N141" s="780"/>
    </row>
    <row r="142" spans="1:14" ht="14.25" customHeight="1" x14ac:dyDescent="0.3">
      <c r="A142" s="27"/>
      <c r="B142" s="29"/>
      <c r="C142" s="43">
        <f>0.9*A139/1000</f>
        <v>0.54</v>
      </c>
      <c r="D142" s="29" t="s">
        <v>45</v>
      </c>
      <c r="E142" s="779">
        <v>539.79999999999995</v>
      </c>
      <c r="F142" s="780"/>
      <c r="G142" s="779">
        <v>539.79999999999995</v>
      </c>
      <c r="H142" s="780"/>
      <c r="I142" s="779">
        <v>539.79999999999995</v>
      </c>
      <c r="J142" s="780"/>
      <c r="K142" s="779">
        <v>539.79999999999995</v>
      </c>
      <c r="L142" s="780"/>
      <c r="M142" s="779">
        <v>539.79999999999995</v>
      </c>
      <c r="N142" s="780"/>
    </row>
    <row r="143" spans="1:14" ht="14.25" customHeight="1" x14ac:dyDescent="0.3">
      <c r="A143" s="617">
        <v>6</v>
      </c>
      <c r="B143" s="623" t="s">
        <v>45</v>
      </c>
      <c r="C143" s="692"/>
      <c r="D143" s="633"/>
      <c r="E143" s="788"/>
      <c r="F143" s="786"/>
      <c r="G143" s="788"/>
      <c r="H143" s="786"/>
      <c r="I143" s="788"/>
      <c r="J143" s="786"/>
      <c r="K143" s="788"/>
      <c r="L143" s="786"/>
      <c r="M143" s="788"/>
      <c r="N143" s="786"/>
    </row>
    <row r="144" spans="1:14" ht="14.25" customHeight="1" x14ac:dyDescent="0.3">
      <c r="C144" s="43">
        <f>0.1*A143</f>
        <v>0.60000000000000009</v>
      </c>
      <c r="D144" s="170" t="s">
        <v>45</v>
      </c>
      <c r="E144" s="781">
        <v>0.6</v>
      </c>
      <c r="F144" s="780"/>
      <c r="G144" s="781">
        <v>0.6</v>
      </c>
      <c r="H144" s="780"/>
      <c r="I144" s="781">
        <v>0.6</v>
      </c>
      <c r="J144" s="780"/>
      <c r="K144" s="781">
        <v>0.6</v>
      </c>
      <c r="L144" s="780"/>
      <c r="M144" s="781">
        <v>0.6</v>
      </c>
      <c r="N144" s="780"/>
    </row>
    <row r="145" spans="1:28" ht="14.25" customHeight="1" x14ac:dyDescent="0.3">
      <c r="A145" s="27"/>
      <c r="B145" s="29"/>
      <c r="C145" s="43">
        <f>0.5*A143</f>
        <v>3</v>
      </c>
      <c r="D145" s="29" t="s">
        <v>45</v>
      </c>
      <c r="E145" s="781">
        <v>2.9969999999999999</v>
      </c>
      <c r="F145" s="780"/>
      <c r="G145" s="781">
        <v>2.9969999999999999</v>
      </c>
      <c r="H145" s="780"/>
      <c r="I145" s="781">
        <v>2.9969999999999999</v>
      </c>
      <c r="J145" s="780"/>
      <c r="K145" s="781">
        <v>2.9969999999999999</v>
      </c>
      <c r="L145" s="780"/>
      <c r="M145" s="781">
        <v>2.9969999999999999</v>
      </c>
      <c r="N145" s="780"/>
    </row>
    <row r="146" spans="1:28" ht="14.25" customHeight="1" x14ac:dyDescent="0.3">
      <c r="A146" s="27"/>
      <c r="B146" s="29"/>
      <c r="C146" s="40">
        <f>0.9*A143</f>
        <v>5.4</v>
      </c>
      <c r="D146" s="29" t="s">
        <v>45</v>
      </c>
      <c r="E146" s="781">
        <v>5.3929999999999998</v>
      </c>
      <c r="F146" s="787"/>
      <c r="G146" s="781">
        <v>5.3929999999999998</v>
      </c>
      <c r="H146" s="787"/>
      <c r="I146" s="781">
        <v>5.3929999999999998</v>
      </c>
      <c r="J146" s="787"/>
      <c r="K146" s="781">
        <v>5.3929999999999998</v>
      </c>
      <c r="L146" s="787"/>
      <c r="M146" s="781">
        <v>5.3929999999999998</v>
      </c>
      <c r="N146" s="787"/>
    </row>
    <row r="147" spans="1:28" ht="14.25" customHeight="1" x14ac:dyDescent="0.3">
      <c r="A147" s="617">
        <v>60</v>
      </c>
      <c r="B147" s="623" t="s">
        <v>45</v>
      </c>
      <c r="C147" s="692"/>
      <c r="D147" s="633"/>
      <c r="E147" s="788"/>
      <c r="F147" s="786"/>
      <c r="G147" s="788"/>
      <c r="H147" s="786"/>
      <c r="I147" s="788"/>
      <c r="J147" s="786"/>
      <c r="K147" s="788"/>
      <c r="L147" s="786"/>
      <c r="M147" s="788"/>
      <c r="N147" s="786"/>
    </row>
    <row r="148" spans="1:28" ht="14.25" customHeight="1" x14ac:dyDescent="0.3">
      <c r="C148" s="40">
        <f>A147*0.1</f>
        <v>6</v>
      </c>
      <c r="D148" s="29" t="s">
        <v>45</v>
      </c>
      <c r="E148" s="784">
        <v>5.99</v>
      </c>
      <c r="F148" s="783"/>
      <c r="G148" s="784">
        <v>5.99</v>
      </c>
      <c r="H148" s="783"/>
      <c r="I148" s="784">
        <v>5.99</v>
      </c>
      <c r="J148" s="783"/>
      <c r="K148" s="784">
        <v>5.99</v>
      </c>
      <c r="L148" s="783"/>
      <c r="M148" s="784">
        <v>5.99</v>
      </c>
      <c r="N148" s="783"/>
    </row>
    <row r="149" spans="1:28" ht="14.25" customHeight="1" x14ac:dyDescent="0.3">
      <c r="A149" s="27"/>
      <c r="B149" s="29"/>
      <c r="C149" s="40">
        <v>11</v>
      </c>
      <c r="D149" s="29" t="s">
        <v>45</v>
      </c>
      <c r="E149" s="782">
        <v>10.97</v>
      </c>
      <c r="F149" s="783"/>
      <c r="G149" s="782">
        <v>10.97</v>
      </c>
      <c r="H149" s="783"/>
      <c r="I149" s="782">
        <v>10.97</v>
      </c>
      <c r="J149" s="783"/>
      <c r="K149" s="782">
        <v>10.97</v>
      </c>
      <c r="L149" s="783"/>
      <c r="M149" s="782">
        <v>10.97</v>
      </c>
      <c r="N149" s="783"/>
    </row>
    <row r="150" spans="1:28" ht="14.25" customHeight="1" x14ac:dyDescent="0.3">
      <c r="A150" s="27"/>
      <c r="B150" s="29"/>
      <c r="C150" s="44"/>
      <c r="D150" s="29"/>
      <c r="E150" s="784"/>
      <c r="F150" s="780"/>
      <c r="G150" s="784"/>
      <c r="H150" s="780"/>
      <c r="I150" s="784"/>
      <c r="J150" s="780"/>
      <c r="K150" s="784"/>
      <c r="L150" s="780"/>
      <c r="M150" s="784"/>
      <c r="N150" s="780"/>
    </row>
    <row r="151" spans="1:28" ht="14.25" customHeight="1" x14ac:dyDescent="0.3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</row>
    <row r="152" spans="1:28" ht="14.25" customHeight="1" x14ac:dyDescent="0.3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</row>
    <row r="153" spans="1:28" ht="14.25" customHeight="1" x14ac:dyDescent="0.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</row>
    <row r="154" spans="1:28" ht="14.25" customHeight="1" x14ac:dyDescent="0.3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</row>
    <row r="155" spans="1:28" ht="14.25" customHeight="1" x14ac:dyDescent="0.3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</row>
    <row r="156" spans="1:28" ht="14.25" customHeight="1" x14ac:dyDescent="0.3">
      <c r="A156" s="328"/>
      <c r="B156" s="329"/>
      <c r="C156" s="27"/>
      <c r="D156" s="49"/>
      <c r="E156" s="784"/>
      <c r="F156" s="780"/>
      <c r="G156" s="784"/>
      <c r="H156" s="780"/>
      <c r="I156" s="784"/>
      <c r="J156" s="780"/>
      <c r="K156" s="784"/>
      <c r="L156" s="780"/>
      <c r="M156" s="784"/>
      <c r="N156" s="78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</row>
    <row r="157" spans="1:28" ht="14.25" customHeight="1" x14ac:dyDescent="0.3">
      <c r="A157" s="27">
        <v>600</v>
      </c>
      <c r="B157" s="170" t="s">
        <v>44</v>
      </c>
      <c r="C157" s="44">
        <f>0.1*A157</f>
        <v>60</v>
      </c>
      <c r="D157" s="29" t="s">
        <v>44</v>
      </c>
      <c r="E157" s="779">
        <v>60.1</v>
      </c>
      <c r="F157" s="795"/>
      <c r="G157" s="779">
        <v>60.1</v>
      </c>
      <c r="H157" s="795"/>
      <c r="I157" s="779">
        <v>60.1</v>
      </c>
      <c r="J157" s="795"/>
      <c r="K157" s="779">
        <v>60.1</v>
      </c>
      <c r="L157" s="795"/>
      <c r="M157" s="779">
        <v>60.1</v>
      </c>
      <c r="N157" s="795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</row>
    <row r="158" spans="1:28" ht="14.25" customHeight="1" x14ac:dyDescent="0.3">
      <c r="A158" s="27"/>
      <c r="B158" s="29"/>
      <c r="C158" s="44">
        <f>0.5*A157</f>
        <v>300</v>
      </c>
      <c r="D158" s="29" t="s">
        <v>44</v>
      </c>
      <c r="E158" s="779">
        <v>301.10000000000002</v>
      </c>
      <c r="F158" s="780"/>
      <c r="G158" s="779">
        <v>301.10000000000002</v>
      </c>
      <c r="H158" s="780"/>
      <c r="I158" s="779">
        <v>301.10000000000002</v>
      </c>
      <c r="J158" s="780"/>
      <c r="K158" s="779">
        <v>301.10000000000002</v>
      </c>
      <c r="L158" s="780"/>
      <c r="M158" s="779">
        <v>301.10000000000002</v>
      </c>
      <c r="N158" s="78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</row>
    <row r="159" spans="1:28" ht="14.25" customHeight="1" x14ac:dyDescent="0.3">
      <c r="A159" s="27"/>
      <c r="B159" s="29"/>
      <c r="C159" s="43">
        <f>0.9*A157/1000</f>
        <v>0.54</v>
      </c>
      <c r="D159" s="29" t="s">
        <v>43</v>
      </c>
      <c r="E159" s="779">
        <v>541</v>
      </c>
      <c r="F159" s="802"/>
      <c r="G159" s="779">
        <v>541</v>
      </c>
      <c r="H159" s="802"/>
      <c r="I159" s="779">
        <v>541</v>
      </c>
      <c r="J159" s="802"/>
      <c r="K159" s="779">
        <v>541</v>
      </c>
      <c r="L159" s="802"/>
      <c r="M159" s="779">
        <v>541</v>
      </c>
      <c r="N159" s="802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</row>
    <row r="160" spans="1:28" ht="14.25" customHeight="1" x14ac:dyDescent="0.3">
      <c r="A160" s="27"/>
      <c r="B160" s="29"/>
      <c r="C160" s="27"/>
      <c r="D160" s="49"/>
      <c r="E160" s="784"/>
      <c r="F160" s="780"/>
      <c r="G160" s="784"/>
      <c r="H160" s="780"/>
      <c r="I160" s="784"/>
      <c r="J160" s="780"/>
      <c r="K160" s="784"/>
      <c r="L160" s="780"/>
      <c r="M160" s="784"/>
      <c r="N160" s="78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</row>
    <row r="161" spans="1:28" ht="14.25" customHeight="1" x14ac:dyDescent="0.3">
      <c r="A161" s="27">
        <v>6</v>
      </c>
      <c r="B161" s="29" t="s">
        <v>43</v>
      </c>
      <c r="C161" s="43">
        <f>0.1*A161</f>
        <v>0.60000000000000009</v>
      </c>
      <c r="D161" s="170" t="s">
        <v>43</v>
      </c>
      <c r="E161" s="781">
        <v>0.60099999999999998</v>
      </c>
      <c r="F161" s="780"/>
      <c r="G161" s="781">
        <v>0.60099999999999998</v>
      </c>
      <c r="H161" s="780"/>
      <c r="I161" s="781">
        <v>0.60099999999999998</v>
      </c>
      <c r="J161" s="780"/>
      <c r="K161" s="781">
        <v>0.60099999999999998</v>
      </c>
      <c r="L161" s="780"/>
      <c r="M161" s="781">
        <v>0.60099999999999998</v>
      </c>
      <c r="N161" s="78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</row>
    <row r="162" spans="1:28" ht="14.25" customHeight="1" x14ac:dyDescent="0.3">
      <c r="A162" s="27"/>
      <c r="B162" s="29"/>
      <c r="C162" s="43">
        <f>0.5*A161</f>
        <v>3</v>
      </c>
      <c r="D162" s="170" t="s">
        <v>43</v>
      </c>
      <c r="E162" s="781">
        <v>3.0009999999999999</v>
      </c>
      <c r="F162" s="780"/>
      <c r="G162" s="781">
        <v>3.0009999999999999</v>
      </c>
      <c r="H162" s="780"/>
      <c r="I162" s="781">
        <v>3.0009999999999999</v>
      </c>
      <c r="J162" s="780"/>
      <c r="K162" s="781">
        <v>3.0009999999999999</v>
      </c>
      <c r="L162" s="780"/>
      <c r="M162" s="781">
        <v>3.0009999999999999</v>
      </c>
      <c r="N162" s="78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</row>
    <row r="163" spans="1:28" ht="14.25" customHeight="1" x14ac:dyDescent="0.3">
      <c r="A163" s="27"/>
      <c r="B163" s="29"/>
      <c r="C163" s="40">
        <f>0.9*A161</f>
        <v>5.4</v>
      </c>
      <c r="D163" s="29" t="s">
        <v>43</v>
      </c>
      <c r="E163" s="781">
        <v>5.4</v>
      </c>
      <c r="F163" s="787"/>
      <c r="G163" s="781">
        <v>5.4</v>
      </c>
      <c r="H163" s="787"/>
      <c r="I163" s="781">
        <v>5.4</v>
      </c>
      <c r="J163" s="787"/>
      <c r="K163" s="781">
        <v>5.4</v>
      </c>
      <c r="L163" s="787"/>
      <c r="M163" s="781">
        <v>5.4</v>
      </c>
      <c r="N163" s="787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</row>
    <row r="164" spans="1:28" ht="14.25" customHeight="1" x14ac:dyDescent="0.3">
      <c r="A164" s="27"/>
      <c r="B164" s="29"/>
      <c r="C164" s="27"/>
      <c r="D164" s="49"/>
      <c r="E164" s="784"/>
      <c r="F164" s="780"/>
      <c r="G164" s="784"/>
      <c r="H164" s="780"/>
      <c r="I164" s="784"/>
      <c r="J164" s="780"/>
      <c r="K164" s="784"/>
      <c r="L164" s="780"/>
      <c r="M164" s="784"/>
      <c r="N164" s="78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</row>
    <row r="165" spans="1:28" ht="14.25" customHeight="1" x14ac:dyDescent="0.3">
      <c r="A165" s="27">
        <v>60</v>
      </c>
      <c r="B165" s="29" t="s">
        <v>43</v>
      </c>
      <c r="C165" s="40">
        <f>0.1*A165</f>
        <v>6</v>
      </c>
      <c r="D165" s="170" t="s">
        <v>43</v>
      </c>
      <c r="E165" s="784">
        <v>6</v>
      </c>
      <c r="F165" s="796"/>
      <c r="G165" s="784">
        <v>6</v>
      </c>
      <c r="H165" s="796"/>
      <c r="I165" s="784">
        <v>6</v>
      </c>
      <c r="J165" s="796"/>
      <c r="K165" s="784">
        <v>6</v>
      </c>
      <c r="L165" s="796"/>
      <c r="M165" s="784">
        <v>6</v>
      </c>
      <c r="N165" s="796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</row>
    <row r="166" spans="1:28" ht="14.25" customHeight="1" x14ac:dyDescent="0.3">
      <c r="A166" s="27"/>
      <c r="B166" s="29"/>
      <c r="C166" s="40">
        <f>0.5*A165</f>
        <v>30</v>
      </c>
      <c r="D166" s="29" t="s">
        <v>43</v>
      </c>
      <c r="E166" s="784">
        <v>30</v>
      </c>
      <c r="F166" s="780"/>
      <c r="G166" s="784">
        <v>30</v>
      </c>
      <c r="H166" s="780"/>
      <c r="I166" s="784">
        <v>30</v>
      </c>
      <c r="J166" s="780"/>
      <c r="K166" s="784">
        <v>30</v>
      </c>
      <c r="L166" s="780"/>
      <c r="M166" s="784">
        <v>30</v>
      </c>
      <c r="N166" s="78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</row>
    <row r="167" spans="1:28" ht="14.25" customHeight="1" x14ac:dyDescent="0.3">
      <c r="A167" s="27"/>
      <c r="B167" s="29"/>
      <c r="C167" s="44">
        <f>0.9*A165</f>
        <v>54</v>
      </c>
      <c r="D167" s="29" t="s">
        <v>43</v>
      </c>
      <c r="E167" s="784">
        <v>53.99</v>
      </c>
      <c r="F167" s="783"/>
      <c r="G167" s="784">
        <v>53.99</v>
      </c>
      <c r="H167" s="783"/>
      <c r="I167" s="784">
        <v>53.99</v>
      </c>
      <c r="J167" s="783"/>
      <c r="K167" s="784">
        <v>53.99</v>
      </c>
      <c r="L167" s="783"/>
      <c r="M167" s="784">
        <v>53.99</v>
      </c>
      <c r="N167" s="783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</row>
    <row r="168" spans="1:28" ht="14.25" customHeight="1" x14ac:dyDescent="0.3">
      <c r="A168" s="27"/>
      <c r="B168" s="29"/>
      <c r="C168" s="44"/>
      <c r="D168" s="49"/>
      <c r="E168" s="793"/>
      <c r="F168" s="780"/>
      <c r="G168" s="793"/>
      <c r="H168" s="780"/>
      <c r="I168" s="793"/>
      <c r="J168" s="780"/>
      <c r="K168" s="793"/>
      <c r="L168" s="780"/>
      <c r="M168" s="793"/>
      <c r="N168" s="78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</row>
    <row r="169" spans="1:28" ht="14.25" customHeight="1" x14ac:dyDescent="0.3">
      <c r="A169" s="27">
        <v>600</v>
      </c>
      <c r="B169" s="170" t="s">
        <v>43</v>
      </c>
      <c r="C169" s="44">
        <f>0.1*A169</f>
        <v>60</v>
      </c>
      <c r="D169" s="29" t="s">
        <v>43</v>
      </c>
      <c r="E169" s="779">
        <v>60</v>
      </c>
      <c r="F169" s="802"/>
      <c r="G169" s="779">
        <v>60</v>
      </c>
      <c r="H169" s="802"/>
      <c r="I169" s="779">
        <v>60</v>
      </c>
      <c r="J169" s="802"/>
      <c r="K169" s="779">
        <v>60</v>
      </c>
      <c r="L169" s="802"/>
      <c r="M169" s="779">
        <v>60</v>
      </c>
      <c r="N169" s="802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</row>
    <row r="170" spans="1:28" ht="14.25" customHeight="1" x14ac:dyDescent="0.3">
      <c r="A170" s="27"/>
      <c r="B170" s="29"/>
      <c r="C170" s="44">
        <f>0.5*A169</f>
        <v>300</v>
      </c>
      <c r="D170" s="29" t="s">
        <v>43</v>
      </c>
      <c r="E170" s="779">
        <v>299.89999999999998</v>
      </c>
      <c r="F170" s="780"/>
      <c r="G170" s="779">
        <v>299.89999999999998</v>
      </c>
      <c r="H170" s="780"/>
      <c r="I170" s="779">
        <v>299.89999999999998</v>
      </c>
      <c r="J170" s="780"/>
      <c r="K170" s="779">
        <v>299.89999999999998</v>
      </c>
      <c r="L170" s="780"/>
      <c r="M170" s="779">
        <v>299.89999999999998</v>
      </c>
      <c r="N170" s="78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</row>
    <row r="171" spans="1:28" ht="14.25" customHeight="1" x14ac:dyDescent="0.3">
      <c r="A171" s="27"/>
      <c r="B171" s="29"/>
      <c r="C171" s="43">
        <f>0.9*A169/1000</f>
        <v>0.54</v>
      </c>
      <c r="D171" s="29" t="s">
        <v>45</v>
      </c>
      <c r="E171" s="779">
        <v>539.79999999999995</v>
      </c>
      <c r="F171" s="780"/>
      <c r="G171" s="779">
        <v>539.79999999999995</v>
      </c>
      <c r="H171" s="780"/>
      <c r="I171" s="779">
        <v>539.79999999999995</v>
      </c>
      <c r="J171" s="780"/>
      <c r="K171" s="779">
        <v>539.79999999999995</v>
      </c>
      <c r="L171" s="780"/>
      <c r="M171" s="779">
        <v>539.79999999999995</v>
      </c>
      <c r="N171" s="78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</row>
    <row r="172" spans="1:28" ht="14.25" customHeight="1" x14ac:dyDescent="0.3">
      <c r="A172" s="444"/>
      <c r="B172" s="330"/>
      <c r="C172" s="44"/>
      <c r="D172" s="49"/>
      <c r="E172" s="793"/>
      <c r="F172" s="780"/>
      <c r="G172" s="793"/>
      <c r="H172" s="780"/>
      <c r="I172" s="793"/>
      <c r="J172" s="780"/>
      <c r="K172" s="793"/>
      <c r="L172" s="780"/>
      <c r="M172" s="793"/>
      <c r="N172" s="78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</row>
    <row r="173" spans="1:28" ht="14.25" customHeight="1" x14ac:dyDescent="0.3">
      <c r="A173" s="27">
        <v>6</v>
      </c>
      <c r="B173" s="29" t="s">
        <v>45</v>
      </c>
      <c r="C173" s="43">
        <f>0.1*A173</f>
        <v>0.60000000000000009</v>
      </c>
      <c r="D173" s="170" t="s">
        <v>45</v>
      </c>
      <c r="E173" s="781">
        <v>0.6</v>
      </c>
      <c r="F173" s="780"/>
      <c r="G173" s="781">
        <v>0.6</v>
      </c>
      <c r="H173" s="780"/>
      <c r="I173" s="781">
        <v>0.6</v>
      </c>
      <c r="J173" s="780"/>
      <c r="K173" s="781">
        <v>0.6</v>
      </c>
      <c r="L173" s="780"/>
      <c r="M173" s="781">
        <v>0.6</v>
      </c>
      <c r="N173" s="78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</row>
    <row r="174" spans="1:28" ht="14.25" customHeight="1" x14ac:dyDescent="0.3">
      <c r="A174" s="27"/>
      <c r="B174" s="29"/>
      <c r="C174" s="43">
        <f>0.5*A173</f>
        <v>3</v>
      </c>
      <c r="D174" s="29" t="s">
        <v>45</v>
      </c>
      <c r="E174" s="781">
        <v>2.9969999999999999</v>
      </c>
      <c r="F174" s="780"/>
      <c r="G174" s="781">
        <v>2.9969999999999999</v>
      </c>
      <c r="H174" s="780"/>
      <c r="I174" s="781">
        <v>2.9969999999999999</v>
      </c>
      <c r="J174" s="780"/>
      <c r="K174" s="781">
        <v>2.9969999999999999</v>
      </c>
      <c r="L174" s="780"/>
      <c r="M174" s="781">
        <v>2.9969999999999999</v>
      </c>
      <c r="N174" s="78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</row>
    <row r="175" spans="1:28" ht="14.25" customHeight="1" x14ac:dyDescent="0.3">
      <c r="A175" s="27"/>
      <c r="B175" s="29"/>
      <c r="C175" s="40">
        <f>0.9*A173</f>
        <v>5.4</v>
      </c>
      <c r="D175" s="29" t="s">
        <v>45</v>
      </c>
      <c r="E175" s="781">
        <v>5.3929999999999998</v>
      </c>
      <c r="F175" s="787"/>
      <c r="G175" s="781">
        <v>5.3929999999999998</v>
      </c>
      <c r="H175" s="787"/>
      <c r="I175" s="781">
        <v>5.3929999999999998</v>
      </c>
      <c r="J175" s="787"/>
      <c r="K175" s="781">
        <v>5.3929999999999998</v>
      </c>
      <c r="L175" s="787"/>
      <c r="M175" s="781">
        <v>5.3929999999999998</v>
      </c>
      <c r="N175" s="787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</row>
    <row r="176" spans="1:28" ht="14.25" customHeight="1" x14ac:dyDescent="0.3">
      <c r="A176" s="27"/>
      <c r="B176" s="29"/>
      <c r="C176" s="44"/>
      <c r="D176" s="49"/>
      <c r="E176" s="793"/>
      <c r="F176" s="780"/>
      <c r="G176" s="793"/>
      <c r="H176" s="780"/>
      <c r="I176" s="793"/>
      <c r="J176" s="780"/>
      <c r="K176" s="793"/>
      <c r="L176" s="780"/>
      <c r="M176" s="793"/>
      <c r="N176" s="78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</row>
    <row r="177" spans="1:28" ht="14.25" customHeight="1" x14ac:dyDescent="0.3">
      <c r="A177" s="27">
        <v>60</v>
      </c>
      <c r="B177" s="29" t="s">
        <v>45</v>
      </c>
      <c r="C177" s="40">
        <f>A177*0.1</f>
        <v>6</v>
      </c>
      <c r="D177" s="29" t="s">
        <v>45</v>
      </c>
      <c r="E177" s="784">
        <v>5.99</v>
      </c>
      <c r="F177" s="783"/>
      <c r="G177" s="784">
        <v>5.99</v>
      </c>
      <c r="H177" s="783"/>
      <c r="I177" s="784">
        <v>5.99</v>
      </c>
      <c r="J177" s="783"/>
      <c r="K177" s="784">
        <v>5.99</v>
      </c>
      <c r="L177" s="783"/>
      <c r="M177" s="784">
        <v>5.99</v>
      </c>
      <c r="N177" s="783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</row>
    <row r="178" spans="1:28" ht="14.25" customHeight="1" x14ac:dyDescent="0.3">
      <c r="A178" s="27"/>
      <c r="B178" s="29"/>
      <c r="C178" s="40">
        <v>11</v>
      </c>
      <c r="D178" s="29" t="s">
        <v>45</v>
      </c>
      <c r="E178" s="782">
        <v>10.97</v>
      </c>
      <c r="F178" s="783"/>
      <c r="G178" s="782">
        <v>10.97</v>
      </c>
      <c r="H178" s="783"/>
      <c r="I178" s="782">
        <v>10.97</v>
      </c>
      <c r="J178" s="783"/>
      <c r="K178" s="782">
        <v>10.97</v>
      </c>
      <c r="L178" s="783"/>
      <c r="M178" s="782">
        <v>10.97</v>
      </c>
      <c r="N178" s="783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</row>
    <row r="179" spans="1:28" ht="14.25" customHeight="1" x14ac:dyDescent="0.3">
      <c r="A179" s="27"/>
      <c r="B179" s="29"/>
      <c r="C179" s="44"/>
      <c r="D179" s="29"/>
      <c r="E179" s="784"/>
      <c r="F179" s="780"/>
      <c r="G179" s="784"/>
      <c r="H179" s="780"/>
      <c r="I179" s="784"/>
      <c r="J179" s="780"/>
      <c r="K179" s="784"/>
      <c r="L179" s="780"/>
      <c r="M179" s="784"/>
      <c r="N179" s="78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</row>
    <row r="180" spans="1:28" ht="14.25" customHeight="1" x14ac:dyDescent="0.3">
      <c r="A180" s="27"/>
      <c r="B180" s="29"/>
      <c r="C180" s="43"/>
      <c r="D180" s="49"/>
      <c r="E180" s="793"/>
      <c r="F180" s="780"/>
      <c r="G180" s="793"/>
      <c r="H180" s="780"/>
      <c r="I180" s="793"/>
      <c r="J180" s="780"/>
      <c r="K180" s="793"/>
      <c r="L180" s="780"/>
      <c r="M180" s="793"/>
      <c r="N180" s="78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</row>
    <row r="181" spans="1:28" ht="14.25" customHeight="1" x14ac:dyDescent="0.3">
      <c r="A181" s="27"/>
      <c r="B181" s="29"/>
      <c r="C181" s="40"/>
      <c r="D181" s="49"/>
      <c r="E181" s="784"/>
      <c r="F181" s="780"/>
      <c r="G181" s="784"/>
      <c r="H181" s="780"/>
      <c r="I181" s="784"/>
      <c r="J181" s="780"/>
      <c r="K181" s="784"/>
      <c r="L181" s="780"/>
      <c r="M181" s="784"/>
      <c r="N181" s="78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</row>
    <row r="182" spans="1:28" ht="14.25" customHeight="1" x14ac:dyDescent="0.3">
      <c r="A182" s="27"/>
      <c r="B182" s="29"/>
      <c r="C182" s="40"/>
      <c r="D182" s="49"/>
      <c r="E182" s="781"/>
      <c r="F182" s="787"/>
      <c r="G182" s="784"/>
      <c r="H182" s="780"/>
      <c r="I182" s="784"/>
      <c r="J182" s="780"/>
      <c r="K182" s="784"/>
      <c r="L182" s="780"/>
      <c r="M182" s="784"/>
      <c r="N182" s="78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</row>
    <row r="183" spans="1:28" ht="14.25" customHeight="1" x14ac:dyDescent="0.3">
      <c r="A183" s="27"/>
      <c r="B183" s="29"/>
      <c r="C183" s="51"/>
      <c r="D183" s="49"/>
      <c r="E183" s="793"/>
      <c r="F183" s="780"/>
      <c r="G183" s="793"/>
      <c r="H183" s="780"/>
      <c r="I183" s="793"/>
      <c r="J183" s="780"/>
      <c r="K183" s="793"/>
      <c r="L183" s="780"/>
      <c r="M183" s="793"/>
      <c r="N183" s="78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</row>
    <row r="184" spans="1:28" ht="14.25" customHeight="1" x14ac:dyDescent="0.3">
      <c r="A184" s="27"/>
      <c r="B184" s="29"/>
      <c r="C184" s="40"/>
      <c r="D184" s="49"/>
      <c r="E184" s="793"/>
      <c r="F184" s="780"/>
      <c r="G184" s="793"/>
      <c r="H184" s="780"/>
      <c r="I184" s="793"/>
      <c r="J184" s="780"/>
      <c r="K184" s="793"/>
      <c r="L184" s="780"/>
      <c r="M184" s="793"/>
      <c r="N184" s="78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</row>
    <row r="185" spans="1:28" ht="14.25" customHeight="1" x14ac:dyDescent="0.3">
      <c r="A185" s="27"/>
      <c r="B185" s="29"/>
      <c r="C185" s="40"/>
      <c r="D185" s="49"/>
      <c r="E185" s="793"/>
      <c r="F185" s="780"/>
      <c r="G185" s="793"/>
      <c r="H185" s="780"/>
      <c r="I185" s="793"/>
      <c r="J185" s="780"/>
      <c r="K185" s="793"/>
      <c r="L185" s="780"/>
      <c r="M185" s="793"/>
      <c r="N185" s="78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</row>
    <row r="186" spans="1:28" ht="14.25" customHeight="1" x14ac:dyDescent="0.3">
      <c r="A186" s="27"/>
      <c r="B186" s="29"/>
      <c r="C186" s="40"/>
      <c r="D186" s="49"/>
      <c r="E186" s="793"/>
      <c r="F186" s="780"/>
      <c r="G186" s="793"/>
      <c r="H186" s="780"/>
      <c r="I186" s="793"/>
      <c r="J186" s="780"/>
      <c r="K186" s="793"/>
      <c r="L186" s="780"/>
      <c r="M186" s="793"/>
      <c r="N186" s="78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</row>
    <row r="187" spans="1:28" ht="14.25" customHeight="1" x14ac:dyDescent="0.3">
      <c r="A187" s="27"/>
      <c r="B187" s="29"/>
      <c r="C187" s="40"/>
      <c r="D187" s="49"/>
      <c r="E187" s="793"/>
      <c r="F187" s="780"/>
      <c r="G187" s="793"/>
      <c r="H187" s="780"/>
      <c r="I187" s="793"/>
      <c r="J187" s="780"/>
      <c r="K187" s="793"/>
      <c r="L187" s="780"/>
      <c r="M187" s="793"/>
      <c r="N187" s="78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</row>
    <row r="188" spans="1:28" ht="14.25" customHeight="1" x14ac:dyDescent="0.3">
      <c r="A188" s="27"/>
      <c r="B188" s="29"/>
      <c r="C188" s="43"/>
      <c r="D188" s="49"/>
      <c r="E188" s="793"/>
      <c r="F188" s="780"/>
      <c r="G188" s="793"/>
      <c r="H188" s="780"/>
      <c r="I188" s="793"/>
      <c r="J188" s="780"/>
      <c r="K188" s="793"/>
      <c r="L188" s="780"/>
      <c r="M188" s="793"/>
      <c r="N188" s="78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</row>
    <row r="189" spans="1:28" ht="14.25" customHeight="1" x14ac:dyDescent="0.3">
      <c r="A189" s="27"/>
      <c r="B189" s="29"/>
      <c r="C189" s="40"/>
      <c r="D189" s="49"/>
      <c r="E189" s="793"/>
      <c r="F189" s="780"/>
      <c r="G189" s="793"/>
      <c r="H189" s="780"/>
      <c r="I189" s="793"/>
      <c r="J189" s="780"/>
      <c r="K189" s="793"/>
      <c r="L189" s="780"/>
      <c r="M189" s="793"/>
      <c r="N189" s="78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</row>
    <row r="190" spans="1:28" ht="14.25" customHeight="1" x14ac:dyDescent="0.3">
      <c r="A190" s="27"/>
      <c r="B190" s="29"/>
      <c r="C190" s="40"/>
      <c r="D190" s="49"/>
      <c r="E190" s="793"/>
      <c r="F190" s="780"/>
      <c r="G190" s="793"/>
      <c r="H190" s="780"/>
      <c r="I190" s="793"/>
      <c r="J190" s="780"/>
      <c r="K190" s="793"/>
      <c r="L190" s="780"/>
      <c r="M190" s="793"/>
      <c r="N190" s="78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</row>
    <row r="191" spans="1:28" ht="14.25" customHeight="1" x14ac:dyDescent="0.3">
      <c r="A191" s="27"/>
      <c r="B191" s="29"/>
      <c r="C191" s="40"/>
      <c r="D191" s="49"/>
      <c r="E191" s="793"/>
      <c r="F191" s="780"/>
      <c r="G191" s="793"/>
      <c r="H191" s="780"/>
      <c r="I191" s="793"/>
      <c r="J191" s="780"/>
      <c r="K191" s="793"/>
      <c r="L191" s="780"/>
      <c r="M191" s="793"/>
      <c r="N191" s="78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</row>
    <row r="192" spans="1:28" ht="14.25" customHeight="1" x14ac:dyDescent="0.3">
      <c r="A192" s="27"/>
      <c r="B192" s="29"/>
      <c r="C192" s="40"/>
      <c r="D192" s="49"/>
      <c r="E192" s="793"/>
      <c r="F192" s="780"/>
      <c r="G192" s="793"/>
      <c r="H192" s="780"/>
      <c r="I192" s="793"/>
      <c r="J192" s="780"/>
      <c r="K192" s="793"/>
      <c r="L192" s="780"/>
      <c r="M192" s="793"/>
      <c r="N192" s="78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</row>
    <row r="193" spans="1:28" ht="14.25" customHeight="1" x14ac:dyDescent="0.3">
      <c r="A193" s="27"/>
      <c r="B193" s="29"/>
      <c r="C193" s="40"/>
      <c r="D193" s="49"/>
      <c r="E193" s="793"/>
      <c r="F193" s="780"/>
      <c r="G193" s="793"/>
      <c r="H193" s="780"/>
      <c r="I193" s="793"/>
      <c r="J193" s="780"/>
      <c r="K193" s="793"/>
      <c r="L193" s="780"/>
      <c r="M193" s="793"/>
      <c r="N193" s="78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</row>
    <row r="194" spans="1:28" ht="14.25" customHeight="1" x14ac:dyDescent="0.3">
      <c r="A194" s="27"/>
      <c r="B194" s="29"/>
      <c r="C194" s="40"/>
      <c r="D194" s="49"/>
      <c r="E194" s="793"/>
      <c r="F194" s="780"/>
      <c r="G194" s="793"/>
      <c r="H194" s="780"/>
      <c r="I194" s="793"/>
      <c r="J194" s="780"/>
      <c r="K194" s="793"/>
      <c r="L194" s="780"/>
      <c r="M194" s="793"/>
      <c r="N194" s="78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</row>
    <row r="195" spans="1:28" ht="14.25" customHeight="1" x14ac:dyDescent="0.3">
      <c r="A195" s="27"/>
      <c r="B195" s="29"/>
      <c r="C195" s="40"/>
      <c r="D195" s="49"/>
      <c r="E195" s="793"/>
      <c r="F195" s="780"/>
      <c r="G195" s="793"/>
      <c r="H195" s="780"/>
      <c r="I195" s="793"/>
      <c r="J195" s="780"/>
      <c r="K195" s="793"/>
      <c r="L195" s="780"/>
      <c r="M195" s="793"/>
      <c r="N195" s="78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</row>
    <row r="196" spans="1:28" ht="14.25" customHeight="1" x14ac:dyDescent="0.3">
      <c r="A196" s="27"/>
      <c r="B196" s="29"/>
      <c r="C196" s="40"/>
      <c r="D196" s="49"/>
      <c r="E196" s="793"/>
      <c r="F196" s="780"/>
      <c r="G196" s="793"/>
      <c r="H196" s="780"/>
      <c r="I196" s="793"/>
      <c r="J196" s="780"/>
      <c r="K196" s="793"/>
      <c r="L196" s="780"/>
      <c r="M196" s="793"/>
      <c r="N196" s="78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</row>
    <row r="197" spans="1:28" ht="14.25" customHeight="1" x14ac:dyDescent="0.3">
      <c r="A197" s="27"/>
      <c r="B197" s="29"/>
      <c r="C197" s="40"/>
      <c r="D197" s="49"/>
      <c r="E197" s="793"/>
      <c r="F197" s="780"/>
      <c r="G197" s="793"/>
      <c r="H197" s="780"/>
      <c r="I197" s="793"/>
      <c r="J197" s="780"/>
      <c r="K197" s="793"/>
      <c r="L197" s="780"/>
      <c r="M197" s="793"/>
      <c r="N197" s="78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</row>
    <row r="198" spans="1:28" ht="14.25" customHeight="1" x14ac:dyDescent="0.3">
      <c r="A198" s="27"/>
      <c r="B198" s="29"/>
      <c r="C198" s="40"/>
      <c r="D198" s="49"/>
      <c r="E198" s="793"/>
      <c r="F198" s="780"/>
      <c r="G198" s="793"/>
      <c r="H198" s="780"/>
      <c r="I198" s="793"/>
      <c r="J198" s="780"/>
      <c r="K198" s="793"/>
      <c r="L198" s="780"/>
      <c r="M198" s="793"/>
      <c r="N198" s="78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</row>
    <row r="199" spans="1:28" ht="14.25" customHeight="1" x14ac:dyDescent="0.3">
      <c r="A199" s="27"/>
      <c r="B199" s="29"/>
      <c r="C199" s="40"/>
      <c r="D199" s="49"/>
      <c r="E199" s="793"/>
      <c r="F199" s="780"/>
      <c r="G199" s="793"/>
      <c r="H199" s="780"/>
      <c r="I199" s="793"/>
      <c r="J199" s="780"/>
      <c r="K199" s="793"/>
      <c r="L199" s="780"/>
      <c r="M199" s="793"/>
      <c r="N199" s="78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</row>
    <row r="200" spans="1:28" ht="14.25" customHeight="1" x14ac:dyDescent="0.3">
      <c r="A200" s="27"/>
      <c r="B200" s="29"/>
      <c r="C200" s="40"/>
      <c r="D200" s="49"/>
      <c r="E200" s="793"/>
      <c r="F200" s="780"/>
      <c r="G200" s="793"/>
      <c r="H200" s="780"/>
      <c r="I200" s="793"/>
      <c r="J200" s="780"/>
      <c r="K200" s="793"/>
      <c r="L200" s="780"/>
      <c r="M200" s="793"/>
      <c r="N200" s="78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</row>
    <row r="201" spans="1:28" ht="14.25" customHeight="1" x14ac:dyDescent="0.3">
      <c r="A201" s="27"/>
      <c r="B201" s="29"/>
      <c r="C201" s="40"/>
      <c r="D201" s="49"/>
      <c r="E201" s="793"/>
      <c r="F201" s="780"/>
      <c r="G201" s="793"/>
      <c r="H201" s="780"/>
      <c r="I201" s="793"/>
      <c r="J201" s="780"/>
      <c r="K201" s="793"/>
      <c r="L201" s="780"/>
      <c r="M201" s="793"/>
      <c r="N201" s="78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</row>
    <row r="202" spans="1:28" ht="14.25" customHeight="1" x14ac:dyDescent="0.3">
      <c r="A202" s="27"/>
      <c r="B202" s="29"/>
      <c r="C202" s="40"/>
      <c r="D202" s="49"/>
      <c r="E202" s="793"/>
      <c r="F202" s="780"/>
      <c r="G202" s="793"/>
      <c r="H202" s="780"/>
      <c r="I202" s="793"/>
      <c r="J202" s="780"/>
      <c r="K202" s="793"/>
      <c r="L202" s="780"/>
      <c r="M202" s="793"/>
      <c r="N202" s="78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</row>
    <row r="203" spans="1:28" ht="14.25" customHeight="1" x14ac:dyDescent="0.3">
      <c r="A203" s="27"/>
      <c r="B203" s="29"/>
      <c r="C203" s="40"/>
      <c r="D203" s="49"/>
      <c r="E203" s="793"/>
      <c r="F203" s="780"/>
      <c r="G203" s="793"/>
      <c r="H203" s="780"/>
      <c r="I203" s="793"/>
      <c r="J203" s="780"/>
      <c r="K203" s="793"/>
      <c r="L203" s="780"/>
      <c r="M203" s="793"/>
      <c r="N203" s="78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</row>
    <row r="204" spans="1:28" ht="14.25" customHeight="1" x14ac:dyDescent="0.3">
      <c r="A204" s="27"/>
      <c r="B204" s="29"/>
      <c r="C204" s="40"/>
      <c r="D204" s="49"/>
      <c r="E204" s="793"/>
      <c r="F204" s="780"/>
      <c r="G204" s="793"/>
      <c r="H204" s="780"/>
      <c r="I204" s="793"/>
      <c r="J204" s="780"/>
      <c r="K204" s="793"/>
      <c r="L204" s="780"/>
      <c r="M204" s="793"/>
      <c r="N204" s="78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</row>
    <row r="205" spans="1:28" ht="14.25" customHeight="1" x14ac:dyDescent="0.3">
      <c r="A205" s="26"/>
      <c r="B205" s="26"/>
      <c r="C205" s="50"/>
      <c r="D205" s="50"/>
      <c r="E205" s="806"/>
      <c r="F205" s="807"/>
      <c r="G205" s="806"/>
      <c r="H205" s="807"/>
      <c r="I205" s="806"/>
      <c r="J205" s="807"/>
      <c r="K205" s="806"/>
      <c r="L205" s="807"/>
      <c r="M205" s="806"/>
      <c r="N205" s="807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</row>
    <row r="206" spans="1:28" ht="15" customHeight="1" x14ac:dyDescent="0.3">
      <c r="A206" s="810" t="s">
        <v>0</v>
      </c>
      <c r="B206" s="809"/>
      <c r="C206" s="14"/>
      <c r="D206" s="14"/>
      <c r="E206" s="14"/>
      <c r="F206" s="14"/>
      <c r="G206" s="14"/>
      <c r="H206" s="14"/>
      <c r="I206" s="14"/>
      <c r="J206" s="810" t="s">
        <v>37</v>
      </c>
      <c r="K206" s="809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</row>
    <row r="207" spans="1:28" ht="15" customHeight="1" x14ac:dyDescent="0.3">
      <c r="A207" s="47"/>
      <c r="B207" s="47"/>
      <c r="C207" s="14"/>
      <c r="D207" s="14"/>
      <c r="E207" s="14"/>
      <c r="F207" s="14"/>
      <c r="G207" s="14"/>
      <c r="H207" s="14"/>
      <c r="I207" s="14"/>
      <c r="J207" s="47"/>
      <c r="K207" s="47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</row>
    <row r="208" spans="1:28" ht="15" customHeight="1" x14ac:dyDescent="0.3">
      <c r="A208" s="47"/>
      <c r="B208" s="47"/>
      <c r="C208" s="14"/>
      <c r="D208" s="14"/>
      <c r="E208" s="14"/>
      <c r="F208" s="14"/>
      <c r="G208" s="14"/>
      <c r="H208" s="14"/>
      <c r="I208" s="14"/>
      <c r="J208" s="47"/>
      <c r="K208" s="47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</row>
    <row r="209" spans="1:28" ht="15" customHeight="1" x14ac:dyDescent="0.3">
      <c r="A209" s="47"/>
      <c r="B209" s="47"/>
      <c r="C209" s="14"/>
      <c r="D209" s="14"/>
      <c r="E209" s="14"/>
      <c r="F209" s="14"/>
      <c r="G209" s="14"/>
      <c r="H209" s="14"/>
      <c r="I209" s="14"/>
      <c r="J209" s="47"/>
      <c r="K209" s="47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</row>
    <row r="210" spans="1:28" ht="15" customHeight="1" x14ac:dyDescent="0.3">
      <c r="A210" s="789" t="s">
        <v>27</v>
      </c>
      <c r="B210" s="790"/>
      <c r="C210" s="789" t="s">
        <v>38</v>
      </c>
      <c r="D210" s="790"/>
      <c r="E210" s="793" t="s">
        <v>29</v>
      </c>
      <c r="F210" s="794"/>
      <c r="G210" s="794"/>
      <c r="H210" s="794"/>
      <c r="I210" s="794"/>
      <c r="J210" s="794"/>
      <c r="K210" s="794"/>
      <c r="L210" s="794"/>
      <c r="M210" s="794"/>
      <c r="N210" s="780"/>
      <c r="O210" s="48"/>
      <c r="P210" s="48"/>
      <c r="Q210" s="14"/>
      <c r="R210" s="14"/>
      <c r="S210" s="14"/>
      <c r="T210" s="14"/>
      <c r="U210" s="14"/>
      <c r="V210" s="14"/>
      <c r="W210" s="14"/>
      <c r="X210" s="14"/>
      <c r="Y210" s="14"/>
      <c r="Z210" s="48"/>
      <c r="AA210" s="48"/>
      <c r="AB210" s="48"/>
    </row>
    <row r="211" spans="1:28" ht="15" customHeight="1" x14ac:dyDescent="0.3">
      <c r="A211" s="791"/>
      <c r="B211" s="792"/>
      <c r="C211" s="791"/>
      <c r="D211" s="792"/>
      <c r="E211" s="793" t="s">
        <v>30</v>
      </c>
      <c r="F211" s="780"/>
      <c r="G211" s="793" t="s">
        <v>31</v>
      </c>
      <c r="H211" s="780"/>
      <c r="I211" s="793" t="s">
        <v>32</v>
      </c>
      <c r="J211" s="780"/>
      <c r="K211" s="793" t="s">
        <v>33</v>
      </c>
      <c r="L211" s="780"/>
      <c r="M211" s="793" t="s">
        <v>34</v>
      </c>
      <c r="N211" s="780"/>
      <c r="O211" s="48"/>
      <c r="P211" s="48"/>
      <c r="Q211" s="14"/>
      <c r="R211" s="14"/>
      <c r="S211" s="14"/>
      <c r="T211" s="14"/>
      <c r="U211" s="14"/>
      <c r="V211" s="14"/>
      <c r="W211" s="14"/>
      <c r="X211" s="14"/>
      <c r="Y211" s="14"/>
      <c r="Z211" s="48"/>
      <c r="AA211" s="48"/>
      <c r="AB211" s="48"/>
    </row>
    <row r="212" spans="1:28" ht="14.25" customHeight="1" x14ac:dyDescent="0.3">
      <c r="A212" s="27"/>
      <c r="B212" s="29"/>
      <c r="C212" s="44"/>
      <c r="D212" s="49"/>
      <c r="E212" s="793"/>
      <c r="F212" s="780"/>
      <c r="G212" s="793"/>
      <c r="H212" s="780"/>
      <c r="I212" s="793"/>
      <c r="J212" s="780"/>
      <c r="K212" s="793"/>
      <c r="L212" s="780"/>
      <c r="M212" s="793"/>
      <c r="N212" s="78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</row>
    <row r="213" spans="1:28" ht="14.25" customHeight="1" x14ac:dyDescent="0.3">
      <c r="A213" s="27"/>
      <c r="B213" s="29"/>
      <c r="C213" s="44"/>
      <c r="D213" s="49"/>
      <c r="E213" s="793"/>
      <c r="F213" s="780"/>
      <c r="G213" s="793"/>
      <c r="H213" s="780"/>
      <c r="I213" s="793"/>
      <c r="J213" s="780"/>
      <c r="K213" s="793"/>
      <c r="L213" s="780"/>
      <c r="M213" s="793"/>
      <c r="N213" s="78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</row>
    <row r="214" spans="1:28" ht="14.25" customHeight="1" x14ac:dyDescent="0.3">
      <c r="A214" s="27"/>
      <c r="B214" s="29"/>
      <c r="C214" s="40"/>
      <c r="D214" s="49"/>
      <c r="E214" s="793"/>
      <c r="F214" s="780"/>
      <c r="G214" s="793"/>
      <c r="H214" s="780"/>
      <c r="I214" s="793"/>
      <c r="J214" s="780"/>
      <c r="K214" s="793"/>
      <c r="L214" s="780"/>
      <c r="M214" s="793"/>
      <c r="N214" s="78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</row>
    <row r="215" spans="1:28" ht="14.25" customHeight="1" x14ac:dyDescent="0.3">
      <c r="A215" s="27"/>
      <c r="B215" s="29"/>
      <c r="C215" s="40"/>
      <c r="D215" s="49"/>
      <c r="E215" s="793"/>
      <c r="F215" s="780"/>
      <c r="G215" s="793"/>
      <c r="H215" s="780"/>
      <c r="I215" s="793"/>
      <c r="J215" s="780"/>
      <c r="K215" s="793"/>
      <c r="L215" s="780"/>
      <c r="M215" s="793"/>
      <c r="N215" s="78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</row>
    <row r="216" spans="1:28" ht="14.25" customHeight="1" x14ac:dyDescent="0.3">
      <c r="A216" s="27"/>
      <c r="B216" s="29"/>
      <c r="C216" s="44"/>
      <c r="D216" s="49"/>
      <c r="E216" s="793"/>
      <c r="F216" s="780"/>
      <c r="G216" s="793"/>
      <c r="H216" s="780"/>
      <c r="I216" s="793"/>
      <c r="J216" s="780"/>
      <c r="K216" s="793"/>
      <c r="L216" s="780"/>
      <c r="M216" s="793"/>
      <c r="N216" s="78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</row>
    <row r="217" spans="1:28" ht="14.25" customHeight="1" x14ac:dyDescent="0.3">
      <c r="A217" s="27"/>
      <c r="B217" s="29"/>
      <c r="C217" s="43"/>
      <c r="D217" s="49"/>
      <c r="E217" s="793"/>
      <c r="F217" s="780"/>
      <c r="G217" s="793"/>
      <c r="H217" s="780"/>
      <c r="I217" s="793"/>
      <c r="J217" s="780"/>
      <c r="K217" s="793"/>
      <c r="L217" s="780"/>
      <c r="M217" s="793"/>
      <c r="N217" s="78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</row>
    <row r="218" spans="1:28" ht="14.25" customHeight="1" x14ac:dyDescent="0.3">
      <c r="A218" s="27"/>
      <c r="B218" s="29"/>
      <c r="C218" s="43"/>
      <c r="D218" s="49"/>
      <c r="E218" s="793"/>
      <c r="F218" s="780"/>
      <c r="G218" s="793"/>
      <c r="H218" s="780"/>
      <c r="I218" s="793"/>
      <c r="J218" s="780"/>
      <c r="K218" s="793"/>
      <c r="L218" s="780"/>
      <c r="M218" s="793"/>
      <c r="N218" s="78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</row>
    <row r="219" spans="1:28" ht="14.25" customHeight="1" x14ac:dyDescent="0.3">
      <c r="A219" s="27"/>
      <c r="B219" s="29"/>
      <c r="C219" s="40"/>
      <c r="D219" s="49"/>
      <c r="E219" s="784"/>
      <c r="F219" s="780"/>
      <c r="G219" s="784"/>
      <c r="H219" s="780"/>
      <c r="I219" s="784"/>
      <c r="J219" s="780"/>
      <c r="K219" s="784"/>
      <c r="L219" s="780"/>
      <c r="M219" s="784"/>
      <c r="N219" s="78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</row>
    <row r="220" spans="1:28" ht="14.25" customHeight="1" x14ac:dyDescent="0.3">
      <c r="A220" s="27"/>
      <c r="B220" s="29"/>
      <c r="C220" s="40"/>
      <c r="D220" s="49"/>
      <c r="E220" s="784"/>
      <c r="F220" s="780"/>
      <c r="G220" s="784"/>
      <c r="H220" s="780"/>
      <c r="I220" s="784"/>
      <c r="J220" s="780"/>
      <c r="K220" s="784"/>
      <c r="L220" s="780"/>
      <c r="M220" s="784"/>
      <c r="N220" s="78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</row>
    <row r="221" spans="1:28" ht="14.25" customHeight="1" x14ac:dyDescent="0.3">
      <c r="A221" s="27"/>
      <c r="B221" s="29"/>
      <c r="C221" s="44"/>
      <c r="D221" s="29"/>
      <c r="E221" s="784"/>
      <c r="F221" s="780"/>
      <c r="G221" s="784"/>
      <c r="H221" s="780"/>
      <c r="I221" s="784"/>
      <c r="J221" s="780"/>
      <c r="K221" s="784"/>
      <c r="L221" s="780"/>
      <c r="M221" s="784"/>
      <c r="N221" s="78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</row>
    <row r="222" spans="1:28" ht="14.25" customHeight="1" x14ac:dyDescent="0.3">
      <c r="A222" s="27"/>
      <c r="B222" s="29"/>
      <c r="C222" s="44"/>
      <c r="D222" s="29"/>
      <c r="E222" s="784"/>
      <c r="F222" s="780"/>
      <c r="G222" s="784"/>
      <c r="H222" s="780"/>
      <c r="I222" s="784"/>
      <c r="J222" s="780"/>
      <c r="K222" s="784"/>
      <c r="L222" s="780"/>
      <c r="M222" s="784"/>
      <c r="N222" s="78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</row>
    <row r="223" spans="1:28" ht="14.25" customHeight="1" x14ac:dyDescent="0.3">
      <c r="A223" s="27"/>
      <c r="B223" s="29"/>
      <c r="C223" s="44"/>
      <c r="D223" s="29"/>
      <c r="E223" s="784"/>
      <c r="F223" s="780"/>
      <c r="G223" s="784"/>
      <c r="H223" s="780"/>
      <c r="I223" s="784"/>
      <c r="J223" s="780"/>
      <c r="K223" s="784"/>
      <c r="L223" s="780"/>
      <c r="M223" s="784"/>
      <c r="N223" s="78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</row>
    <row r="224" spans="1:28" ht="14.25" customHeight="1" x14ac:dyDescent="0.3">
      <c r="A224" s="27"/>
      <c r="B224" s="29"/>
      <c r="C224" s="40"/>
      <c r="D224" s="49"/>
      <c r="E224" s="784"/>
      <c r="F224" s="780"/>
      <c r="G224" s="784"/>
      <c r="H224" s="780"/>
      <c r="I224" s="784"/>
      <c r="J224" s="780"/>
      <c r="K224" s="784"/>
      <c r="L224" s="780"/>
      <c r="M224" s="784"/>
      <c r="N224" s="78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</row>
    <row r="225" spans="1:28" ht="14.25" customHeight="1" x14ac:dyDescent="0.3">
      <c r="A225" s="27"/>
      <c r="B225" s="29"/>
      <c r="C225" s="40"/>
      <c r="D225" s="49"/>
      <c r="E225" s="784"/>
      <c r="F225" s="780"/>
      <c r="G225" s="784"/>
      <c r="H225" s="780"/>
      <c r="I225" s="784"/>
      <c r="J225" s="780"/>
      <c r="K225" s="784"/>
      <c r="L225" s="780"/>
      <c r="M225" s="784"/>
      <c r="N225" s="78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</row>
    <row r="226" spans="1:28" ht="14.25" customHeight="1" x14ac:dyDescent="0.3">
      <c r="A226" s="27"/>
      <c r="B226" s="29"/>
      <c r="C226" s="27"/>
      <c r="D226" s="49"/>
      <c r="E226" s="784"/>
      <c r="F226" s="780"/>
      <c r="G226" s="784"/>
      <c r="H226" s="780"/>
      <c r="I226" s="784"/>
      <c r="J226" s="780"/>
      <c r="K226" s="784"/>
      <c r="L226" s="780"/>
      <c r="M226" s="784"/>
      <c r="N226" s="78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</row>
    <row r="227" spans="1:28" ht="14.25" customHeight="1" x14ac:dyDescent="0.3">
      <c r="A227" s="27"/>
      <c r="B227" s="29"/>
      <c r="C227" s="40"/>
      <c r="D227" s="49"/>
      <c r="E227" s="784"/>
      <c r="F227" s="780"/>
      <c r="G227" s="784"/>
      <c r="H227" s="780"/>
      <c r="I227" s="784"/>
      <c r="J227" s="780"/>
      <c r="K227" s="784"/>
      <c r="L227" s="780"/>
      <c r="M227" s="784"/>
      <c r="N227" s="78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</row>
    <row r="228" spans="1:28" ht="14.25" customHeight="1" x14ac:dyDescent="0.3">
      <c r="A228" s="27"/>
      <c r="B228" s="29"/>
      <c r="C228" s="40"/>
      <c r="D228" s="49"/>
      <c r="E228" s="784"/>
      <c r="F228" s="780"/>
      <c r="G228" s="784"/>
      <c r="H228" s="780"/>
      <c r="I228" s="784"/>
      <c r="J228" s="780"/>
      <c r="K228" s="784"/>
      <c r="L228" s="780"/>
      <c r="M228" s="784"/>
      <c r="N228" s="78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</row>
    <row r="229" spans="1:28" ht="14.25" customHeight="1" x14ac:dyDescent="0.3">
      <c r="A229" s="27"/>
      <c r="B229" s="29"/>
      <c r="C229" s="40"/>
      <c r="D229" s="49"/>
      <c r="E229" s="784"/>
      <c r="F229" s="780"/>
      <c r="G229" s="784"/>
      <c r="H229" s="780"/>
      <c r="I229" s="784"/>
      <c r="J229" s="780"/>
      <c r="K229" s="784"/>
      <c r="L229" s="780"/>
      <c r="M229" s="784"/>
      <c r="N229" s="78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</row>
    <row r="230" spans="1:28" ht="14.25" customHeight="1" x14ac:dyDescent="0.3">
      <c r="A230" s="27"/>
      <c r="B230" s="29"/>
      <c r="C230" s="40"/>
      <c r="D230" s="49"/>
      <c r="E230" s="784"/>
      <c r="F230" s="780"/>
      <c r="G230" s="784"/>
      <c r="H230" s="780"/>
      <c r="I230" s="784"/>
      <c r="J230" s="780"/>
      <c r="K230" s="784"/>
      <c r="L230" s="780"/>
      <c r="M230" s="784"/>
      <c r="N230" s="78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</row>
    <row r="231" spans="1:28" ht="14.25" customHeight="1" x14ac:dyDescent="0.3">
      <c r="A231" s="27"/>
      <c r="B231" s="29"/>
      <c r="C231" s="40"/>
      <c r="D231" s="49"/>
      <c r="E231" s="784"/>
      <c r="F231" s="780"/>
      <c r="G231" s="784"/>
      <c r="H231" s="780"/>
      <c r="I231" s="784"/>
      <c r="J231" s="780"/>
      <c r="K231" s="784"/>
      <c r="L231" s="780"/>
      <c r="M231" s="784"/>
      <c r="N231" s="78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</row>
    <row r="232" spans="1:28" ht="14.25" customHeight="1" x14ac:dyDescent="0.3">
      <c r="A232" s="27"/>
      <c r="B232" s="29"/>
      <c r="C232" s="40"/>
      <c r="D232" s="49"/>
      <c r="E232" s="784"/>
      <c r="F232" s="780"/>
      <c r="G232" s="784"/>
      <c r="H232" s="780"/>
      <c r="I232" s="784"/>
      <c r="J232" s="780"/>
      <c r="K232" s="784"/>
      <c r="L232" s="780"/>
      <c r="M232" s="784"/>
      <c r="N232" s="78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</row>
    <row r="233" spans="1:28" ht="14.25" customHeight="1" x14ac:dyDescent="0.3">
      <c r="A233" s="27"/>
      <c r="B233" s="29"/>
      <c r="C233" s="40"/>
      <c r="D233" s="49"/>
      <c r="E233" s="784"/>
      <c r="F233" s="780"/>
      <c r="G233" s="784"/>
      <c r="H233" s="780"/>
      <c r="I233" s="784"/>
      <c r="J233" s="780"/>
      <c r="K233" s="784"/>
      <c r="L233" s="780"/>
      <c r="M233" s="784"/>
      <c r="N233" s="78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</row>
    <row r="234" spans="1:28" ht="14.25" customHeight="1" x14ac:dyDescent="0.3">
      <c r="A234" s="27"/>
      <c r="B234" s="29"/>
      <c r="C234" s="40"/>
      <c r="D234" s="49"/>
      <c r="E234" s="784"/>
      <c r="F234" s="780"/>
      <c r="G234" s="784"/>
      <c r="H234" s="780"/>
      <c r="I234" s="784"/>
      <c r="J234" s="780"/>
      <c r="K234" s="784"/>
      <c r="L234" s="780"/>
      <c r="M234" s="784"/>
      <c r="N234" s="78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</row>
    <row r="235" spans="1:28" ht="14.25" customHeight="1" x14ac:dyDescent="0.3">
      <c r="A235" s="27"/>
      <c r="B235" s="29"/>
      <c r="C235" s="40"/>
      <c r="D235" s="49"/>
      <c r="E235" s="784"/>
      <c r="F235" s="780"/>
      <c r="G235" s="784"/>
      <c r="H235" s="780"/>
      <c r="I235" s="784"/>
      <c r="J235" s="780"/>
      <c r="K235" s="784"/>
      <c r="L235" s="780"/>
      <c r="M235" s="784"/>
      <c r="N235" s="78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</row>
    <row r="236" spans="1:28" ht="14.25" customHeight="1" x14ac:dyDescent="0.3">
      <c r="A236" s="27"/>
      <c r="B236" s="29"/>
      <c r="C236" s="40"/>
      <c r="D236" s="49"/>
      <c r="E236" s="784"/>
      <c r="F236" s="780"/>
      <c r="G236" s="784"/>
      <c r="H236" s="780"/>
      <c r="I236" s="784"/>
      <c r="J236" s="780"/>
      <c r="K236" s="784"/>
      <c r="L236" s="780"/>
      <c r="M236" s="784"/>
      <c r="N236" s="78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</row>
    <row r="237" spans="1:28" ht="14.25" customHeight="1" x14ac:dyDescent="0.3">
      <c r="A237" s="27"/>
      <c r="B237" s="29"/>
      <c r="C237" s="40"/>
      <c r="D237" s="49"/>
      <c r="E237" s="784"/>
      <c r="F237" s="780"/>
      <c r="G237" s="784"/>
      <c r="H237" s="780"/>
      <c r="I237" s="784"/>
      <c r="J237" s="780"/>
      <c r="K237" s="784"/>
      <c r="L237" s="780"/>
      <c r="M237" s="784"/>
      <c r="N237" s="78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</row>
    <row r="238" spans="1:28" ht="14.25" customHeight="1" x14ac:dyDescent="0.3">
      <c r="A238" s="27"/>
      <c r="B238" s="29"/>
      <c r="C238" s="27"/>
      <c r="D238" s="49"/>
      <c r="E238" s="784"/>
      <c r="F238" s="780"/>
      <c r="G238" s="784"/>
      <c r="H238" s="780"/>
      <c r="I238" s="784"/>
      <c r="J238" s="780"/>
      <c r="K238" s="784"/>
      <c r="L238" s="780"/>
      <c r="M238" s="784"/>
      <c r="N238" s="78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</row>
    <row r="239" spans="1:28" ht="14.25" customHeight="1" x14ac:dyDescent="0.3">
      <c r="A239" s="27"/>
      <c r="B239" s="29"/>
      <c r="C239" s="40"/>
      <c r="D239" s="49"/>
      <c r="E239" s="784"/>
      <c r="F239" s="780"/>
      <c r="G239" s="784"/>
      <c r="H239" s="780"/>
      <c r="I239" s="784"/>
      <c r="J239" s="780"/>
      <c r="K239" s="784"/>
      <c r="L239" s="780"/>
      <c r="M239" s="784"/>
      <c r="N239" s="78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</row>
    <row r="240" spans="1:28" ht="14.25" customHeight="1" x14ac:dyDescent="0.3">
      <c r="A240" s="27"/>
      <c r="B240" s="29"/>
      <c r="C240" s="40"/>
      <c r="D240" s="49"/>
      <c r="E240" s="784"/>
      <c r="F240" s="780"/>
      <c r="G240" s="784"/>
      <c r="H240" s="780"/>
      <c r="I240" s="784"/>
      <c r="J240" s="780"/>
      <c r="K240" s="784"/>
      <c r="L240" s="780"/>
      <c r="M240" s="784"/>
      <c r="N240" s="78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</row>
    <row r="241" spans="1:28" ht="14.25" customHeight="1" x14ac:dyDescent="0.3">
      <c r="A241" s="27"/>
      <c r="B241" s="29"/>
      <c r="C241" s="40"/>
      <c r="D241" s="49"/>
      <c r="E241" s="784"/>
      <c r="F241" s="780"/>
      <c r="G241" s="784"/>
      <c r="H241" s="780"/>
      <c r="I241" s="784"/>
      <c r="J241" s="780"/>
      <c r="K241" s="784"/>
      <c r="L241" s="780"/>
      <c r="M241" s="784"/>
      <c r="N241" s="78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</row>
    <row r="242" spans="1:28" ht="14.25" customHeight="1" x14ac:dyDescent="0.3">
      <c r="A242" s="27"/>
      <c r="B242" s="29"/>
      <c r="C242" s="40"/>
      <c r="D242" s="49"/>
      <c r="E242" s="784"/>
      <c r="F242" s="780"/>
      <c r="G242" s="784"/>
      <c r="H242" s="780"/>
      <c r="I242" s="784"/>
      <c r="J242" s="780"/>
      <c r="K242" s="784"/>
      <c r="L242" s="780"/>
      <c r="M242" s="784"/>
      <c r="N242" s="78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</row>
    <row r="243" spans="1:28" ht="14.25" customHeight="1" x14ac:dyDescent="0.3">
      <c r="A243" s="27"/>
      <c r="B243" s="29"/>
      <c r="C243" s="40"/>
      <c r="D243" s="49"/>
      <c r="E243" s="784"/>
      <c r="F243" s="780"/>
      <c r="G243" s="784"/>
      <c r="H243" s="780"/>
      <c r="I243" s="784"/>
      <c r="J243" s="780"/>
      <c r="K243" s="784"/>
      <c r="L243" s="780"/>
      <c r="M243" s="784"/>
      <c r="N243" s="78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</row>
    <row r="244" spans="1:28" ht="14.25" customHeight="1" x14ac:dyDescent="0.3">
      <c r="A244" s="27"/>
      <c r="B244" s="29"/>
      <c r="C244" s="40"/>
      <c r="D244" s="49"/>
      <c r="E244" s="784"/>
      <c r="F244" s="780"/>
      <c r="G244" s="784"/>
      <c r="H244" s="780"/>
      <c r="I244" s="784"/>
      <c r="J244" s="780"/>
      <c r="K244" s="784"/>
      <c r="L244" s="780"/>
      <c r="M244" s="784"/>
      <c r="N244" s="78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</row>
    <row r="245" spans="1:28" ht="14.25" customHeight="1" x14ac:dyDescent="0.3">
      <c r="A245" s="27"/>
      <c r="B245" s="29"/>
      <c r="C245" s="40"/>
      <c r="D245" s="49"/>
      <c r="E245" s="784"/>
      <c r="F245" s="780"/>
      <c r="G245" s="784"/>
      <c r="H245" s="780"/>
      <c r="I245" s="784"/>
      <c r="J245" s="780"/>
      <c r="K245" s="784"/>
      <c r="L245" s="780"/>
      <c r="M245" s="784"/>
      <c r="N245" s="78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</row>
    <row r="246" spans="1:28" ht="14.25" customHeight="1" x14ac:dyDescent="0.3">
      <c r="A246" s="27"/>
      <c r="B246" s="29"/>
      <c r="C246" s="40"/>
      <c r="D246" s="49"/>
      <c r="E246" s="784"/>
      <c r="F246" s="780"/>
      <c r="G246" s="784"/>
      <c r="H246" s="780"/>
      <c r="I246" s="784"/>
      <c r="J246" s="780"/>
      <c r="K246" s="784"/>
      <c r="L246" s="780"/>
      <c r="M246" s="784"/>
      <c r="N246" s="78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</row>
    <row r="247" spans="1:28" ht="14.25" customHeight="1" x14ac:dyDescent="0.3">
      <c r="A247" s="27"/>
      <c r="B247" s="29"/>
      <c r="C247" s="40"/>
      <c r="D247" s="49"/>
      <c r="E247" s="784"/>
      <c r="F247" s="780"/>
      <c r="G247" s="784"/>
      <c r="H247" s="780"/>
      <c r="I247" s="784"/>
      <c r="J247" s="780"/>
      <c r="K247" s="784"/>
      <c r="L247" s="780"/>
      <c r="M247" s="784"/>
      <c r="N247" s="78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</row>
    <row r="248" spans="1:28" ht="14.25" customHeight="1" x14ac:dyDescent="0.3">
      <c r="A248" s="27"/>
      <c r="B248" s="29"/>
      <c r="C248" s="44"/>
      <c r="D248" s="29"/>
      <c r="E248" s="784"/>
      <c r="F248" s="780"/>
      <c r="G248" s="784"/>
      <c r="H248" s="780"/>
      <c r="I248" s="784"/>
      <c r="J248" s="780"/>
      <c r="K248" s="784"/>
      <c r="L248" s="780"/>
      <c r="M248" s="784"/>
      <c r="N248" s="78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</row>
    <row r="249" spans="1:28" ht="14.25" customHeight="1" x14ac:dyDescent="0.3">
      <c r="A249" s="27"/>
      <c r="B249" s="29"/>
      <c r="C249" s="44"/>
      <c r="D249" s="29"/>
      <c r="E249" s="784"/>
      <c r="F249" s="780"/>
      <c r="G249" s="784"/>
      <c r="H249" s="780"/>
      <c r="I249" s="784"/>
      <c r="J249" s="780"/>
      <c r="K249" s="784"/>
      <c r="L249" s="780"/>
      <c r="M249" s="784"/>
      <c r="N249" s="78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</row>
    <row r="250" spans="1:28" ht="14.25" customHeight="1" x14ac:dyDescent="0.3">
      <c r="A250" s="27"/>
      <c r="B250" s="29"/>
      <c r="C250" s="40"/>
      <c r="D250" s="49"/>
      <c r="E250" s="784"/>
      <c r="F250" s="780"/>
      <c r="G250" s="784"/>
      <c r="H250" s="780"/>
      <c r="I250" s="784"/>
      <c r="J250" s="780"/>
      <c r="K250" s="784"/>
      <c r="L250" s="780"/>
      <c r="M250" s="784"/>
      <c r="N250" s="78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</row>
    <row r="251" spans="1:28" ht="14.25" customHeight="1" x14ac:dyDescent="0.3">
      <c r="A251" s="27"/>
      <c r="B251" s="29"/>
      <c r="C251" s="40"/>
      <c r="D251" s="49"/>
      <c r="E251" s="784"/>
      <c r="F251" s="780"/>
      <c r="G251" s="784"/>
      <c r="H251" s="780"/>
      <c r="I251" s="784"/>
      <c r="J251" s="780"/>
      <c r="K251" s="784"/>
      <c r="L251" s="780"/>
      <c r="M251" s="784"/>
      <c r="N251" s="78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</row>
    <row r="252" spans="1:28" ht="14.25" customHeight="1" x14ac:dyDescent="0.3">
      <c r="A252" s="27"/>
      <c r="B252" s="29"/>
      <c r="C252" s="27"/>
      <c r="D252" s="49"/>
      <c r="E252" s="784"/>
      <c r="F252" s="780"/>
      <c r="G252" s="784"/>
      <c r="H252" s="780"/>
      <c r="I252" s="784"/>
      <c r="J252" s="780"/>
      <c r="K252" s="784"/>
      <c r="L252" s="780"/>
      <c r="M252" s="784"/>
      <c r="N252" s="78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</row>
    <row r="253" spans="1:28" ht="14.25" customHeight="1" x14ac:dyDescent="0.3">
      <c r="A253" s="27"/>
      <c r="B253" s="29"/>
      <c r="C253" s="40"/>
      <c r="D253" s="49"/>
      <c r="E253" s="784"/>
      <c r="F253" s="780"/>
      <c r="G253" s="784"/>
      <c r="H253" s="780"/>
      <c r="I253" s="784"/>
      <c r="J253" s="780"/>
      <c r="K253" s="784"/>
      <c r="L253" s="780"/>
      <c r="M253" s="784"/>
      <c r="N253" s="78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</row>
    <row r="254" spans="1:28" ht="14.25" customHeight="1" x14ac:dyDescent="0.3">
      <c r="A254" s="27"/>
      <c r="B254" s="29"/>
      <c r="C254" s="40"/>
      <c r="D254" s="49"/>
      <c r="E254" s="784"/>
      <c r="F254" s="780"/>
      <c r="G254" s="784"/>
      <c r="H254" s="780"/>
      <c r="I254" s="784"/>
      <c r="J254" s="780"/>
      <c r="K254" s="784"/>
      <c r="L254" s="780"/>
      <c r="M254" s="784"/>
      <c r="N254" s="78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</row>
    <row r="255" spans="1:28" ht="14.25" customHeight="1" x14ac:dyDescent="0.3">
      <c r="A255" s="27"/>
      <c r="B255" s="29"/>
      <c r="C255" s="40"/>
      <c r="D255" s="49"/>
      <c r="E255" s="784"/>
      <c r="F255" s="780"/>
      <c r="G255" s="784"/>
      <c r="H255" s="780"/>
      <c r="I255" s="784"/>
      <c r="J255" s="780"/>
      <c r="K255" s="784"/>
      <c r="L255" s="780"/>
      <c r="M255" s="784"/>
      <c r="N255" s="78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</row>
    <row r="256" spans="1:28" ht="14.25" customHeight="1" x14ac:dyDescent="0.3">
      <c r="A256" s="27"/>
      <c r="B256" s="29"/>
      <c r="C256" s="40"/>
      <c r="D256" s="49"/>
      <c r="E256" s="784"/>
      <c r="F256" s="780"/>
      <c r="G256" s="784"/>
      <c r="H256" s="780"/>
      <c r="I256" s="784"/>
      <c r="J256" s="780"/>
      <c r="K256" s="784"/>
      <c r="L256" s="780"/>
      <c r="M256" s="784"/>
      <c r="N256" s="78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</row>
    <row r="257" spans="1:28" ht="14.25" customHeight="1" x14ac:dyDescent="0.3">
      <c r="A257" s="27"/>
      <c r="B257" s="29"/>
      <c r="C257" s="40"/>
      <c r="D257" s="49"/>
      <c r="E257" s="784"/>
      <c r="F257" s="780"/>
      <c r="G257" s="784"/>
      <c r="H257" s="780"/>
      <c r="I257" s="784"/>
      <c r="J257" s="780"/>
      <c r="K257" s="784"/>
      <c r="L257" s="780"/>
      <c r="M257" s="784"/>
      <c r="N257" s="78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</row>
    <row r="258" spans="1:28" ht="14.25" customHeight="1" x14ac:dyDescent="0.3">
      <c r="A258" s="27"/>
      <c r="B258" s="29"/>
      <c r="C258" s="40"/>
      <c r="D258" s="49"/>
      <c r="E258" s="784"/>
      <c r="F258" s="780"/>
      <c r="G258" s="784"/>
      <c r="H258" s="780"/>
      <c r="I258" s="784"/>
      <c r="J258" s="780"/>
      <c r="K258" s="784"/>
      <c r="L258" s="780"/>
      <c r="M258" s="784"/>
      <c r="N258" s="78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</row>
    <row r="259" spans="1:28" ht="14.25" customHeight="1" x14ac:dyDescent="0.3">
      <c r="A259" s="27"/>
      <c r="B259" s="29"/>
      <c r="C259" s="40"/>
      <c r="D259" s="49"/>
      <c r="E259" s="784"/>
      <c r="F259" s="780"/>
      <c r="G259" s="784"/>
      <c r="H259" s="780"/>
      <c r="I259" s="784"/>
      <c r="J259" s="780"/>
      <c r="K259" s="784"/>
      <c r="L259" s="780"/>
      <c r="M259" s="784"/>
      <c r="N259" s="78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</row>
    <row r="260" spans="1:28" ht="14.25" customHeight="1" x14ac:dyDescent="0.3">
      <c r="A260" s="27"/>
      <c r="B260" s="29"/>
      <c r="C260" s="40"/>
      <c r="D260" s="49"/>
      <c r="E260" s="784"/>
      <c r="F260" s="780"/>
      <c r="G260" s="784"/>
      <c r="H260" s="780"/>
      <c r="I260" s="784"/>
      <c r="J260" s="780"/>
      <c r="K260" s="784"/>
      <c r="L260" s="780"/>
      <c r="M260" s="784"/>
      <c r="N260" s="78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</row>
    <row r="261" spans="1:28" ht="14.25" customHeight="1" x14ac:dyDescent="0.3">
      <c r="A261" s="27"/>
      <c r="B261" s="29"/>
      <c r="C261" s="40"/>
      <c r="D261" s="49"/>
      <c r="E261" s="784"/>
      <c r="F261" s="780"/>
      <c r="G261" s="784"/>
      <c r="H261" s="780"/>
      <c r="I261" s="784"/>
      <c r="J261" s="780"/>
      <c r="K261" s="784"/>
      <c r="L261" s="780"/>
      <c r="M261" s="784"/>
      <c r="N261" s="78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</row>
    <row r="262" spans="1:28" ht="14.25" customHeight="1" x14ac:dyDescent="0.3">
      <c r="A262" s="27"/>
      <c r="B262" s="29"/>
      <c r="C262" s="40"/>
      <c r="D262" s="49"/>
      <c r="E262" s="784"/>
      <c r="F262" s="780"/>
      <c r="G262" s="784"/>
      <c r="H262" s="780"/>
      <c r="I262" s="784"/>
      <c r="J262" s="780"/>
      <c r="K262" s="784"/>
      <c r="L262" s="780"/>
      <c r="M262" s="784"/>
      <c r="N262" s="78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</row>
    <row r="263" spans="1:28" ht="14.25" customHeight="1" x14ac:dyDescent="0.3">
      <c r="A263" s="27"/>
      <c r="B263" s="29"/>
      <c r="C263" s="40"/>
      <c r="D263" s="49"/>
      <c r="E263" s="784"/>
      <c r="F263" s="780"/>
      <c r="G263" s="784"/>
      <c r="H263" s="780"/>
      <c r="I263" s="784"/>
      <c r="J263" s="780"/>
      <c r="K263" s="784"/>
      <c r="L263" s="780"/>
      <c r="M263" s="784"/>
      <c r="N263" s="78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</row>
    <row r="264" spans="1:28" ht="14.25" customHeight="1" x14ac:dyDescent="0.3">
      <c r="A264" s="27"/>
      <c r="B264" s="29"/>
      <c r="C264" s="27"/>
      <c r="D264" s="49"/>
      <c r="E264" s="784"/>
      <c r="F264" s="780"/>
      <c r="G264" s="784"/>
      <c r="H264" s="780"/>
      <c r="I264" s="784"/>
      <c r="J264" s="780"/>
      <c r="K264" s="784"/>
      <c r="L264" s="780"/>
      <c r="M264" s="784"/>
      <c r="N264" s="78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</row>
    <row r="265" spans="1:28" ht="14.25" customHeight="1" x14ac:dyDescent="0.3">
      <c r="A265" s="27"/>
      <c r="B265" s="29"/>
      <c r="C265" s="40"/>
      <c r="D265" s="49"/>
      <c r="E265" s="784"/>
      <c r="F265" s="780"/>
      <c r="G265" s="784"/>
      <c r="H265" s="780"/>
      <c r="I265" s="784"/>
      <c r="J265" s="780"/>
      <c r="K265" s="784"/>
      <c r="L265" s="780"/>
      <c r="M265" s="784"/>
      <c r="N265" s="78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</row>
    <row r="266" spans="1:28" ht="14.25" customHeight="1" x14ac:dyDescent="0.3">
      <c r="A266" s="27"/>
      <c r="B266" s="29"/>
      <c r="C266" s="40"/>
      <c r="D266" s="49"/>
      <c r="E266" s="784"/>
      <c r="F266" s="780"/>
      <c r="G266" s="784"/>
      <c r="H266" s="780"/>
      <c r="I266" s="784"/>
      <c r="J266" s="780"/>
      <c r="K266" s="784"/>
      <c r="L266" s="780"/>
      <c r="M266" s="784"/>
      <c r="N266" s="78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</row>
    <row r="267" spans="1:28" ht="14.25" customHeight="1" x14ac:dyDescent="0.3">
      <c r="A267" s="27"/>
      <c r="B267" s="29"/>
      <c r="C267" s="40"/>
      <c r="D267" s="49"/>
      <c r="E267" s="784"/>
      <c r="F267" s="780"/>
      <c r="G267" s="784"/>
      <c r="H267" s="780"/>
      <c r="I267" s="784"/>
      <c r="J267" s="780"/>
      <c r="K267" s="784"/>
      <c r="L267" s="780"/>
      <c r="M267" s="784"/>
      <c r="N267" s="78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</row>
    <row r="268" spans="1:28" ht="14.25" customHeight="1" x14ac:dyDescent="0.3">
      <c r="A268" s="27"/>
      <c r="B268" s="29"/>
      <c r="C268" s="40"/>
      <c r="D268" s="49"/>
      <c r="E268" s="784"/>
      <c r="F268" s="780"/>
      <c r="G268" s="784"/>
      <c r="H268" s="780"/>
      <c r="I268" s="784"/>
      <c r="J268" s="780"/>
      <c r="K268" s="784"/>
      <c r="L268" s="780"/>
      <c r="M268" s="784"/>
      <c r="N268" s="78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</row>
    <row r="269" spans="1:28" ht="14.25" customHeight="1" x14ac:dyDescent="0.3">
      <c r="A269" s="27"/>
      <c r="B269" s="29"/>
      <c r="C269" s="40"/>
      <c r="D269" s="49"/>
      <c r="E269" s="784"/>
      <c r="F269" s="780"/>
      <c r="G269" s="784"/>
      <c r="H269" s="780"/>
      <c r="I269" s="784"/>
      <c r="J269" s="780"/>
      <c r="K269" s="784"/>
      <c r="L269" s="780"/>
      <c r="M269" s="784"/>
      <c r="N269" s="78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</row>
    <row r="270" spans="1:28" ht="14.25" customHeight="1" x14ac:dyDescent="0.3">
      <c r="A270" s="27"/>
      <c r="B270" s="29"/>
      <c r="C270" s="40"/>
      <c r="D270" s="49"/>
      <c r="E270" s="784"/>
      <c r="F270" s="780"/>
      <c r="G270" s="784"/>
      <c r="H270" s="780"/>
      <c r="I270" s="784"/>
      <c r="J270" s="780"/>
      <c r="K270" s="784"/>
      <c r="L270" s="780"/>
      <c r="M270" s="784"/>
      <c r="N270" s="78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</row>
    <row r="271" spans="1:28" ht="14.25" customHeight="1" x14ac:dyDescent="0.3">
      <c r="A271" s="27"/>
      <c r="B271" s="29"/>
      <c r="C271" s="40"/>
      <c r="D271" s="49"/>
      <c r="E271" s="784"/>
      <c r="F271" s="780"/>
      <c r="G271" s="784"/>
      <c r="H271" s="780"/>
      <c r="I271" s="784"/>
      <c r="J271" s="780"/>
      <c r="K271" s="784"/>
      <c r="L271" s="780"/>
      <c r="M271" s="784"/>
      <c r="N271" s="78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</row>
    <row r="272" spans="1:28" ht="14.25" customHeight="1" x14ac:dyDescent="0.3">
      <c r="A272" s="27"/>
      <c r="B272" s="29"/>
      <c r="C272" s="40"/>
      <c r="D272" s="49"/>
      <c r="E272" s="784"/>
      <c r="F272" s="780"/>
      <c r="G272" s="784"/>
      <c r="H272" s="780"/>
      <c r="I272" s="784"/>
      <c r="J272" s="780"/>
      <c r="K272" s="784"/>
      <c r="L272" s="780"/>
      <c r="M272" s="784"/>
      <c r="N272" s="78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</row>
    <row r="273" spans="1:28" ht="14.25" customHeight="1" x14ac:dyDescent="0.3">
      <c r="A273" s="27"/>
      <c r="B273" s="29"/>
      <c r="C273" s="40"/>
      <c r="D273" s="49"/>
      <c r="E273" s="784"/>
      <c r="F273" s="780"/>
      <c r="G273" s="784"/>
      <c r="H273" s="780"/>
      <c r="I273" s="784"/>
      <c r="J273" s="780"/>
      <c r="K273" s="784"/>
      <c r="L273" s="780"/>
      <c r="M273" s="784"/>
      <c r="N273" s="78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</row>
    <row r="274" spans="1:28" ht="14.25" customHeight="1" x14ac:dyDescent="0.3">
      <c r="A274" s="14"/>
      <c r="B274" s="14"/>
      <c r="C274" s="45"/>
      <c r="D274" s="45"/>
      <c r="E274" s="808"/>
      <c r="F274" s="809"/>
      <c r="G274" s="808"/>
      <c r="H274" s="809"/>
      <c r="I274" s="808"/>
      <c r="J274" s="809"/>
      <c r="K274" s="808"/>
      <c r="L274" s="809"/>
      <c r="M274" s="808"/>
      <c r="N274" s="809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</row>
    <row r="275" spans="1:28" ht="14.25" customHeight="1" x14ac:dyDescent="0.3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</row>
    <row r="276" spans="1:28" ht="14.25" customHeight="1" x14ac:dyDescent="0.3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</row>
    <row r="277" spans="1:28" ht="14.25" customHeight="1" x14ac:dyDescent="0.3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</row>
    <row r="278" spans="1:28" ht="14.25" customHeight="1" x14ac:dyDescent="0.3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</row>
    <row r="279" spans="1:28" ht="14.25" customHeight="1" x14ac:dyDescent="0.3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</row>
    <row r="280" spans="1:28" ht="14.25" customHeight="1" x14ac:dyDescent="0.3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</row>
    <row r="281" spans="1:28" ht="14.25" customHeight="1" x14ac:dyDescent="0.3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</row>
    <row r="282" spans="1:28" ht="14.25" customHeight="1" x14ac:dyDescent="0.3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</row>
    <row r="283" spans="1:28" ht="14.25" customHeight="1" x14ac:dyDescent="0.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</row>
    <row r="284" spans="1:28" ht="14.25" customHeight="1" x14ac:dyDescent="0.3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</row>
    <row r="285" spans="1:28" ht="14.25" customHeight="1" x14ac:dyDescent="0.3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</row>
    <row r="286" spans="1:28" ht="14.25" customHeight="1" x14ac:dyDescent="0.3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</row>
    <row r="287" spans="1:28" ht="14.25" customHeight="1" x14ac:dyDescent="0.3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</row>
    <row r="288" spans="1:28" ht="14.25" customHeight="1" x14ac:dyDescent="0.3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</row>
    <row r="289" spans="1:28" ht="14.25" customHeight="1" x14ac:dyDescent="0.3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</row>
    <row r="290" spans="1:28" ht="14.25" customHeight="1" x14ac:dyDescent="0.3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</row>
    <row r="291" spans="1:28" ht="14.25" customHeight="1" x14ac:dyDescent="0.3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</row>
    <row r="292" spans="1:28" ht="14.25" customHeight="1" x14ac:dyDescent="0.3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</row>
    <row r="293" spans="1:28" ht="14.25" customHeight="1" x14ac:dyDescent="0.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</row>
    <row r="294" spans="1:28" ht="14.25" customHeight="1" x14ac:dyDescent="0.3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</row>
    <row r="295" spans="1:28" ht="14.25" customHeight="1" x14ac:dyDescent="0.3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</row>
    <row r="296" spans="1:28" ht="14.25" customHeight="1" x14ac:dyDescent="0.3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</row>
    <row r="297" spans="1:28" ht="14.25" customHeight="1" x14ac:dyDescent="0.3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</row>
    <row r="298" spans="1:28" ht="14.25" customHeight="1" x14ac:dyDescent="0.3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</row>
    <row r="299" spans="1:28" ht="14.25" customHeight="1" x14ac:dyDescent="0.3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</row>
    <row r="300" spans="1:28" ht="14.25" customHeight="1" x14ac:dyDescent="0.3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</row>
    <row r="301" spans="1:28" ht="14.25" customHeight="1" x14ac:dyDescent="0.3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</row>
    <row r="302" spans="1:28" ht="14.25" customHeight="1" x14ac:dyDescent="0.3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</row>
    <row r="303" spans="1:28" ht="14.25" customHeight="1" x14ac:dyDescent="0.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</row>
    <row r="304" spans="1:28" ht="14.25" customHeight="1" x14ac:dyDescent="0.3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</row>
    <row r="305" spans="1:28" ht="14.25" customHeight="1" x14ac:dyDescent="0.3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</row>
    <row r="306" spans="1:28" ht="14.25" customHeight="1" x14ac:dyDescent="0.3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</row>
    <row r="307" spans="1:28" ht="14.25" customHeight="1" x14ac:dyDescent="0.3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</row>
    <row r="308" spans="1:28" ht="14.25" customHeight="1" x14ac:dyDescent="0.3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</row>
    <row r="309" spans="1:28" ht="14.25" customHeight="1" x14ac:dyDescent="0.3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</row>
    <row r="310" spans="1:28" ht="14.25" customHeight="1" x14ac:dyDescent="0.3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</row>
    <row r="311" spans="1:28" ht="14.25" customHeight="1" x14ac:dyDescent="0.3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</row>
    <row r="312" spans="1:28" ht="14.25" customHeight="1" x14ac:dyDescent="0.3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</row>
    <row r="313" spans="1:28" ht="14.25" customHeight="1" x14ac:dyDescent="0.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</row>
    <row r="314" spans="1:28" ht="14.25" customHeight="1" x14ac:dyDescent="0.3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</row>
    <row r="315" spans="1:28" ht="14.25" customHeight="1" x14ac:dyDescent="0.3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</row>
    <row r="316" spans="1:28" ht="14.25" customHeight="1" x14ac:dyDescent="0.3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</row>
    <row r="317" spans="1:28" ht="14.25" customHeight="1" x14ac:dyDescent="0.3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</row>
    <row r="318" spans="1:28" ht="14.25" customHeight="1" x14ac:dyDescent="0.3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</row>
    <row r="319" spans="1:28" ht="14.25" customHeight="1" x14ac:dyDescent="0.3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</row>
    <row r="320" spans="1:28" ht="14.25" customHeight="1" x14ac:dyDescent="0.3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</row>
    <row r="321" spans="1:28" ht="14.25" customHeight="1" x14ac:dyDescent="0.3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</row>
    <row r="322" spans="1:28" ht="14.25" customHeight="1" x14ac:dyDescent="0.3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</row>
    <row r="323" spans="1:28" ht="14.25" customHeight="1" x14ac:dyDescent="0.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</row>
    <row r="324" spans="1:28" ht="14.25" customHeight="1" x14ac:dyDescent="0.3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</row>
    <row r="325" spans="1:28" ht="14.25" customHeight="1" x14ac:dyDescent="0.3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</row>
    <row r="326" spans="1:28" ht="14.25" customHeight="1" x14ac:dyDescent="0.3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</row>
    <row r="327" spans="1:28" ht="14.25" customHeight="1" x14ac:dyDescent="0.3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</row>
    <row r="328" spans="1:28" ht="14.25" customHeight="1" x14ac:dyDescent="0.3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</row>
    <row r="329" spans="1:28" ht="14.25" customHeight="1" x14ac:dyDescent="0.3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</row>
    <row r="330" spans="1:28" ht="14.25" customHeight="1" x14ac:dyDescent="0.3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</row>
    <row r="331" spans="1:28" ht="14.25" customHeight="1" x14ac:dyDescent="0.3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</row>
    <row r="332" spans="1:28" ht="14.25" customHeight="1" x14ac:dyDescent="0.3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</row>
    <row r="333" spans="1:28" ht="14.25" customHeight="1" x14ac:dyDescent="0.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</row>
    <row r="334" spans="1:28" ht="14.25" customHeight="1" x14ac:dyDescent="0.3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</row>
    <row r="335" spans="1:28" ht="14.25" customHeight="1" x14ac:dyDescent="0.3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</row>
    <row r="336" spans="1:28" ht="14.25" customHeight="1" x14ac:dyDescent="0.3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</row>
    <row r="337" spans="1:28" ht="14.25" customHeight="1" x14ac:dyDescent="0.3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</row>
    <row r="338" spans="1:28" ht="14.25" customHeight="1" x14ac:dyDescent="0.3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</row>
    <row r="339" spans="1:28" ht="14.25" customHeight="1" x14ac:dyDescent="0.3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</row>
    <row r="340" spans="1:28" ht="14.25" customHeight="1" x14ac:dyDescent="0.3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</row>
    <row r="341" spans="1:28" ht="14.25" customHeight="1" x14ac:dyDescent="0.3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</row>
    <row r="342" spans="1:28" ht="14.25" customHeight="1" x14ac:dyDescent="0.3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</row>
    <row r="343" spans="1:28" ht="14.25" customHeight="1" x14ac:dyDescent="0.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</row>
    <row r="344" spans="1:28" ht="14.25" customHeight="1" x14ac:dyDescent="0.3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</row>
    <row r="345" spans="1:28" ht="14.25" customHeight="1" x14ac:dyDescent="0.3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</row>
    <row r="346" spans="1:28" ht="14.25" customHeight="1" x14ac:dyDescent="0.3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</row>
    <row r="347" spans="1:28" ht="14.25" customHeight="1" x14ac:dyDescent="0.3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</row>
    <row r="348" spans="1:28" ht="14.25" customHeight="1" x14ac:dyDescent="0.3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</row>
    <row r="349" spans="1:28" ht="14.25" customHeight="1" x14ac:dyDescent="0.3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</row>
    <row r="350" spans="1:28" ht="14.25" customHeight="1" x14ac:dyDescent="0.3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</row>
    <row r="351" spans="1:28" ht="14.25" customHeight="1" x14ac:dyDescent="0.3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</row>
    <row r="352" spans="1:28" ht="14.25" customHeight="1" x14ac:dyDescent="0.3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</row>
    <row r="353" spans="1:28" ht="14.25" customHeight="1" x14ac:dyDescent="0.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</row>
    <row r="354" spans="1:28" ht="14.25" customHeight="1" x14ac:dyDescent="0.3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</row>
    <row r="355" spans="1:28" ht="14.25" customHeight="1" x14ac:dyDescent="0.3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</row>
    <row r="356" spans="1:28" ht="14.25" customHeight="1" x14ac:dyDescent="0.3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</row>
    <row r="357" spans="1:28" ht="14.25" customHeight="1" x14ac:dyDescent="0.3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</row>
    <row r="358" spans="1:28" ht="14.25" customHeight="1" x14ac:dyDescent="0.3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</row>
    <row r="359" spans="1:28" ht="14.25" customHeight="1" x14ac:dyDescent="0.3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</row>
    <row r="360" spans="1:28" ht="14.25" customHeight="1" x14ac:dyDescent="0.3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</row>
    <row r="361" spans="1:28" ht="14.25" customHeight="1" x14ac:dyDescent="0.3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</row>
    <row r="362" spans="1:28" ht="14.25" customHeight="1" x14ac:dyDescent="0.3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</row>
    <row r="363" spans="1:28" ht="14.25" customHeight="1" x14ac:dyDescent="0.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</row>
    <row r="364" spans="1:28" ht="14.25" customHeight="1" x14ac:dyDescent="0.3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</row>
    <row r="365" spans="1:28" ht="14.25" customHeight="1" x14ac:dyDescent="0.3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</row>
    <row r="366" spans="1:28" ht="14.25" customHeight="1" x14ac:dyDescent="0.3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</row>
    <row r="367" spans="1:28" ht="14.25" customHeight="1" x14ac:dyDescent="0.3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</row>
    <row r="368" spans="1:28" ht="14.25" customHeight="1" x14ac:dyDescent="0.3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</row>
    <row r="369" spans="1:28" ht="14.25" customHeight="1" x14ac:dyDescent="0.3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</row>
    <row r="370" spans="1:28" ht="14.25" customHeight="1" x14ac:dyDescent="0.3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</row>
    <row r="371" spans="1:28" ht="14.25" customHeight="1" x14ac:dyDescent="0.3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</row>
    <row r="372" spans="1:28" ht="14.25" customHeight="1" x14ac:dyDescent="0.3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</row>
    <row r="373" spans="1:28" ht="14.25" customHeight="1" x14ac:dyDescent="0.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</row>
    <row r="374" spans="1:28" ht="14.25" customHeight="1" x14ac:dyDescent="0.3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</row>
    <row r="375" spans="1:28" ht="14.25" customHeight="1" x14ac:dyDescent="0.3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</row>
    <row r="376" spans="1:28" ht="14.25" customHeight="1" x14ac:dyDescent="0.3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</row>
    <row r="377" spans="1:28" ht="14.25" customHeight="1" x14ac:dyDescent="0.3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</row>
    <row r="378" spans="1:28" ht="14.25" customHeight="1" x14ac:dyDescent="0.3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</row>
    <row r="379" spans="1:28" ht="14.25" customHeight="1" x14ac:dyDescent="0.3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</row>
    <row r="380" spans="1:28" ht="14.25" customHeight="1" x14ac:dyDescent="0.3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</row>
    <row r="381" spans="1:28" ht="14.25" customHeight="1" x14ac:dyDescent="0.3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</row>
    <row r="382" spans="1:28" ht="14.25" customHeight="1" x14ac:dyDescent="0.3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</row>
    <row r="383" spans="1:28" ht="14.25" customHeight="1" x14ac:dyDescent="0.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</row>
    <row r="384" spans="1:28" ht="14.25" customHeight="1" x14ac:dyDescent="0.3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</row>
    <row r="385" spans="1:28" ht="14.25" customHeight="1" x14ac:dyDescent="0.3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</row>
    <row r="386" spans="1:28" ht="14.25" customHeight="1" x14ac:dyDescent="0.3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</row>
    <row r="387" spans="1:28" ht="14.25" customHeight="1" x14ac:dyDescent="0.3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</row>
    <row r="388" spans="1:28" ht="14.25" customHeight="1" x14ac:dyDescent="0.3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</row>
    <row r="389" spans="1:28" ht="14.25" customHeight="1" x14ac:dyDescent="0.3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</row>
    <row r="390" spans="1:28" ht="14.25" customHeight="1" x14ac:dyDescent="0.3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</row>
    <row r="391" spans="1:28" ht="14.25" customHeight="1" x14ac:dyDescent="0.3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</row>
    <row r="392" spans="1:28" ht="14.25" customHeight="1" x14ac:dyDescent="0.3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</row>
    <row r="393" spans="1:28" ht="14.25" customHeight="1" x14ac:dyDescent="0.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</row>
    <row r="394" spans="1:28" ht="14.25" customHeight="1" x14ac:dyDescent="0.3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</row>
    <row r="395" spans="1:28" ht="14.25" customHeight="1" x14ac:dyDescent="0.3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</row>
    <row r="396" spans="1:28" ht="14.25" customHeight="1" x14ac:dyDescent="0.3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</row>
    <row r="397" spans="1:28" ht="14.25" customHeight="1" x14ac:dyDescent="0.3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</row>
    <row r="398" spans="1:28" ht="14.25" customHeight="1" x14ac:dyDescent="0.3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</row>
    <row r="399" spans="1:28" ht="14.25" customHeight="1" x14ac:dyDescent="0.3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</row>
    <row r="400" spans="1:28" ht="14.25" customHeight="1" x14ac:dyDescent="0.3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</row>
    <row r="401" spans="1:28" ht="14.25" customHeight="1" x14ac:dyDescent="0.3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</row>
    <row r="402" spans="1:28" ht="14.25" customHeight="1" x14ac:dyDescent="0.3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</row>
    <row r="403" spans="1:28" ht="14.25" customHeight="1" x14ac:dyDescent="0.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</row>
    <row r="404" spans="1:28" ht="14.25" customHeight="1" x14ac:dyDescent="0.3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</row>
    <row r="405" spans="1:28" ht="14.25" customHeight="1" x14ac:dyDescent="0.3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</row>
    <row r="406" spans="1:28" ht="14.25" customHeight="1" x14ac:dyDescent="0.3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</row>
    <row r="407" spans="1:28" ht="14.25" customHeight="1" x14ac:dyDescent="0.3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</row>
    <row r="408" spans="1:28" ht="14.25" customHeight="1" x14ac:dyDescent="0.3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</row>
    <row r="409" spans="1:28" ht="14.25" customHeight="1" x14ac:dyDescent="0.3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</row>
    <row r="410" spans="1:28" ht="14.25" customHeight="1" x14ac:dyDescent="0.3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</row>
    <row r="411" spans="1:28" ht="14.25" customHeight="1" x14ac:dyDescent="0.3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</row>
    <row r="412" spans="1:28" ht="14.25" customHeight="1" x14ac:dyDescent="0.3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</row>
    <row r="413" spans="1:28" ht="14.25" customHeight="1" x14ac:dyDescent="0.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</row>
    <row r="414" spans="1:28" ht="14.25" customHeight="1" x14ac:dyDescent="0.3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</row>
    <row r="415" spans="1:28" ht="14.25" customHeight="1" x14ac:dyDescent="0.3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</row>
    <row r="416" spans="1:28" ht="14.25" customHeight="1" x14ac:dyDescent="0.3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</row>
    <row r="417" spans="1:28" ht="14.25" customHeight="1" x14ac:dyDescent="0.3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</row>
    <row r="418" spans="1:28" ht="14.25" customHeight="1" x14ac:dyDescent="0.3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</row>
    <row r="419" spans="1:28" ht="14.25" customHeight="1" x14ac:dyDescent="0.3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</row>
    <row r="420" spans="1:28" ht="14.25" customHeight="1" x14ac:dyDescent="0.3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</row>
    <row r="421" spans="1:28" ht="14.25" customHeight="1" x14ac:dyDescent="0.3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</row>
    <row r="422" spans="1:28" ht="14.25" customHeight="1" x14ac:dyDescent="0.3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</row>
    <row r="423" spans="1:28" ht="14.25" customHeight="1" x14ac:dyDescent="0.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</row>
    <row r="424" spans="1:28" ht="14.25" customHeight="1" x14ac:dyDescent="0.3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</row>
    <row r="425" spans="1:28" ht="14.25" customHeight="1" x14ac:dyDescent="0.3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</row>
    <row r="426" spans="1:28" ht="14.25" customHeight="1" x14ac:dyDescent="0.3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</row>
    <row r="427" spans="1:28" ht="14.25" customHeight="1" x14ac:dyDescent="0.3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</row>
    <row r="428" spans="1:28" ht="14.25" customHeight="1" x14ac:dyDescent="0.3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</row>
    <row r="429" spans="1:28" ht="14.25" customHeight="1" x14ac:dyDescent="0.3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</row>
    <row r="430" spans="1:28" ht="14.25" customHeight="1" x14ac:dyDescent="0.3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</row>
    <row r="431" spans="1:28" ht="14.25" customHeight="1" x14ac:dyDescent="0.3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</row>
    <row r="432" spans="1:28" ht="14.25" customHeight="1" x14ac:dyDescent="0.3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</row>
    <row r="433" spans="1:28" ht="14.25" customHeight="1" x14ac:dyDescent="0.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</row>
    <row r="434" spans="1:28" ht="14.25" customHeight="1" x14ac:dyDescent="0.3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</row>
    <row r="435" spans="1:28" ht="14.25" customHeight="1" x14ac:dyDescent="0.3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</row>
    <row r="436" spans="1:28" ht="14.25" customHeight="1" x14ac:dyDescent="0.3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</row>
    <row r="437" spans="1:28" ht="14.25" customHeight="1" x14ac:dyDescent="0.3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</row>
    <row r="438" spans="1:28" ht="14.25" customHeight="1" x14ac:dyDescent="0.3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</row>
    <row r="439" spans="1:28" ht="14.25" customHeight="1" x14ac:dyDescent="0.3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</row>
    <row r="440" spans="1:28" ht="14.25" customHeight="1" x14ac:dyDescent="0.3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</row>
    <row r="441" spans="1:28" ht="14.25" customHeight="1" x14ac:dyDescent="0.3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</row>
    <row r="442" spans="1:28" ht="14.25" customHeight="1" x14ac:dyDescent="0.3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</row>
    <row r="443" spans="1:28" ht="14.25" customHeight="1" x14ac:dyDescent="0.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</row>
    <row r="444" spans="1:28" ht="14.25" customHeight="1" x14ac:dyDescent="0.3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</row>
    <row r="445" spans="1:28" ht="14.25" customHeight="1" x14ac:dyDescent="0.3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</row>
    <row r="446" spans="1:28" ht="14.25" customHeight="1" x14ac:dyDescent="0.3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</row>
    <row r="447" spans="1:28" ht="14.25" customHeight="1" x14ac:dyDescent="0.3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</row>
    <row r="448" spans="1:28" ht="14.25" customHeight="1" x14ac:dyDescent="0.3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</row>
    <row r="449" spans="1:28" ht="14.25" customHeight="1" x14ac:dyDescent="0.3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</row>
    <row r="450" spans="1:28" ht="14.25" customHeight="1" x14ac:dyDescent="0.3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</row>
    <row r="451" spans="1:28" ht="14.25" customHeight="1" x14ac:dyDescent="0.3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</row>
    <row r="452" spans="1:28" ht="14.25" customHeight="1" x14ac:dyDescent="0.3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</row>
    <row r="453" spans="1:28" ht="14.25" customHeight="1" x14ac:dyDescent="0.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</row>
    <row r="454" spans="1:28" ht="14.25" customHeight="1" x14ac:dyDescent="0.3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</row>
    <row r="455" spans="1:28" ht="14.25" customHeight="1" x14ac:dyDescent="0.3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</row>
    <row r="456" spans="1:28" ht="14.25" customHeight="1" x14ac:dyDescent="0.3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</row>
    <row r="457" spans="1:28" ht="14.25" customHeight="1" x14ac:dyDescent="0.3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</row>
    <row r="458" spans="1:28" ht="14.25" customHeight="1" x14ac:dyDescent="0.3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</row>
    <row r="459" spans="1:28" ht="14.25" customHeight="1" x14ac:dyDescent="0.3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</row>
    <row r="460" spans="1:28" ht="14.25" customHeight="1" x14ac:dyDescent="0.3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</row>
    <row r="461" spans="1:28" ht="14.25" customHeight="1" x14ac:dyDescent="0.3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</row>
    <row r="462" spans="1:28" ht="14.25" customHeight="1" x14ac:dyDescent="0.3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</row>
    <row r="463" spans="1:28" ht="14.25" customHeight="1" x14ac:dyDescent="0.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</row>
    <row r="464" spans="1:28" ht="14.25" customHeight="1" x14ac:dyDescent="0.3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</row>
    <row r="465" spans="1:28" ht="14.25" customHeight="1" x14ac:dyDescent="0.3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</row>
    <row r="466" spans="1:28" ht="14.25" customHeight="1" x14ac:dyDescent="0.3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</row>
    <row r="467" spans="1:28" ht="14.25" customHeight="1" x14ac:dyDescent="0.3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</row>
    <row r="468" spans="1:28" ht="14.25" customHeight="1" x14ac:dyDescent="0.3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</row>
    <row r="469" spans="1:28" ht="14.25" customHeight="1" x14ac:dyDescent="0.3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</row>
    <row r="470" spans="1:28" ht="14.25" customHeight="1" x14ac:dyDescent="0.3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</row>
    <row r="471" spans="1:28" ht="14.25" customHeight="1" x14ac:dyDescent="0.3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</row>
    <row r="472" spans="1:28" ht="14.25" customHeight="1" x14ac:dyDescent="0.3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</row>
    <row r="473" spans="1:28" ht="14.25" customHeight="1" x14ac:dyDescent="0.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</row>
    <row r="474" spans="1:28" ht="14.25" customHeight="1" x14ac:dyDescent="0.3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</row>
    <row r="475" spans="1:28" ht="14.25" customHeight="1" x14ac:dyDescent="0.3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</row>
    <row r="476" spans="1:28" ht="14.25" customHeight="1" x14ac:dyDescent="0.3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</row>
    <row r="477" spans="1:28" ht="14.25" customHeight="1" x14ac:dyDescent="0.3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</row>
    <row r="478" spans="1:28" ht="14.25" customHeight="1" x14ac:dyDescent="0.3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</row>
    <row r="479" spans="1:28" ht="14.25" customHeight="1" x14ac:dyDescent="0.3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</row>
    <row r="480" spans="1:28" ht="14.25" customHeight="1" x14ac:dyDescent="0.3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</row>
    <row r="481" spans="1:28" ht="14.25" customHeight="1" x14ac:dyDescent="0.3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</row>
    <row r="482" spans="1:28" ht="14.25" customHeight="1" x14ac:dyDescent="0.3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</row>
    <row r="483" spans="1:28" ht="14.25" customHeight="1" x14ac:dyDescent="0.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</row>
    <row r="484" spans="1:28" ht="14.25" customHeight="1" x14ac:dyDescent="0.3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</row>
    <row r="485" spans="1:28" ht="14.25" customHeight="1" x14ac:dyDescent="0.3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</row>
    <row r="486" spans="1:28" ht="14.25" customHeight="1" x14ac:dyDescent="0.3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</row>
    <row r="487" spans="1:28" ht="14.25" customHeight="1" x14ac:dyDescent="0.3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</row>
    <row r="488" spans="1:28" ht="14.25" customHeight="1" x14ac:dyDescent="0.3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</row>
    <row r="489" spans="1:28" ht="14.25" customHeight="1" x14ac:dyDescent="0.3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</row>
    <row r="490" spans="1:28" ht="14.25" customHeight="1" x14ac:dyDescent="0.3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</row>
    <row r="491" spans="1:28" ht="14.25" customHeight="1" x14ac:dyDescent="0.3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</row>
    <row r="492" spans="1:28" ht="14.25" customHeight="1" x14ac:dyDescent="0.3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</row>
    <row r="493" spans="1:28" ht="14.25" customHeight="1" x14ac:dyDescent="0.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</row>
    <row r="494" spans="1:28" ht="14.25" customHeight="1" x14ac:dyDescent="0.3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</row>
    <row r="495" spans="1:28" ht="14.25" customHeight="1" x14ac:dyDescent="0.3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</row>
    <row r="496" spans="1:28" ht="14.25" customHeight="1" x14ac:dyDescent="0.3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</row>
    <row r="497" spans="1:28" ht="14.25" customHeight="1" x14ac:dyDescent="0.3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</row>
    <row r="498" spans="1:28" ht="14.25" customHeight="1" x14ac:dyDescent="0.3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</row>
    <row r="499" spans="1:28" ht="14.25" customHeight="1" x14ac:dyDescent="0.3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</row>
    <row r="500" spans="1:28" ht="14.25" customHeight="1" x14ac:dyDescent="0.3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</row>
    <row r="501" spans="1:28" ht="14.25" customHeight="1" x14ac:dyDescent="0.3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</row>
    <row r="502" spans="1:28" ht="14.25" customHeight="1" x14ac:dyDescent="0.3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</row>
    <row r="503" spans="1:28" ht="14.25" customHeight="1" x14ac:dyDescent="0.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</row>
    <row r="504" spans="1:28" ht="14.25" customHeight="1" x14ac:dyDescent="0.3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</row>
    <row r="505" spans="1:28" ht="14.25" customHeight="1" x14ac:dyDescent="0.3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</row>
    <row r="506" spans="1:28" ht="14.25" customHeight="1" x14ac:dyDescent="0.3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</row>
    <row r="507" spans="1:28" ht="14.25" customHeight="1" x14ac:dyDescent="0.3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</row>
    <row r="508" spans="1:28" ht="14.25" customHeight="1" x14ac:dyDescent="0.3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</row>
    <row r="509" spans="1:28" ht="14.25" customHeight="1" x14ac:dyDescent="0.3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</row>
    <row r="510" spans="1:28" ht="14.25" customHeight="1" x14ac:dyDescent="0.3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</row>
    <row r="511" spans="1:28" ht="14.25" customHeight="1" x14ac:dyDescent="0.3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</row>
    <row r="512" spans="1:28" ht="14.25" customHeight="1" x14ac:dyDescent="0.3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</row>
    <row r="513" spans="1:28" ht="14.25" customHeight="1" x14ac:dyDescent="0.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</row>
    <row r="514" spans="1:28" ht="14.25" customHeight="1" x14ac:dyDescent="0.3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</row>
    <row r="515" spans="1:28" ht="14.25" customHeight="1" x14ac:dyDescent="0.3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</row>
    <row r="516" spans="1:28" ht="14.25" customHeight="1" x14ac:dyDescent="0.3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</row>
    <row r="517" spans="1:28" ht="14.25" customHeight="1" x14ac:dyDescent="0.3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</row>
    <row r="518" spans="1:28" ht="14.25" customHeight="1" x14ac:dyDescent="0.3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</row>
    <row r="519" spans="1:28" ht="14.25" customHeight="1" x14ac:dyDescent="0.3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</row>
    <row r="520" spans="1:28" ht="14.25" customHeight="1" x14ac:dyDescent="0.3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</row>
    <row r="521" spans="1:28" ht="14.25" customHeight="1" x14ac:dyDescent="0.3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</row>
    <row r="522" spans="1:28" ht="14.25" customHeight="1" x14ac:dyDescent="0.3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</row>
    <row r="523" spans="1:28" ht="14.25" customHeight="1" x14ac:dyDescent="0.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</row>
    <row r="524" spans="1:28" ht="14.25" customHeight="1" x14ac:dyDescent="0.3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</row>
    <row r="525" spans="1:28" ht="14.25" customHeight="1" x14ac:dyDescent="0.3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</row>
    <row r="526" spans="1:28" ht="14.25" customHeight="1" x14ac:dyDescent="0.3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</row>
    <row r="527" spans="1:28" ht="14.25" customHeight="1" x14ac:dyDescent="0.3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</row>
    <row r="528" spans="1:28" ht="14.25" customHeight="1" x14ac:dyDescent="0.3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</row>
    <row r="529" spans="1:28" ht="14.25" customHeight="1" x14ac:dyDescent="0.3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</row>
    <row r="530" spans="1:28" ht="14.25" customHeight="1" x14ac:dyDescent="0.3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</row>
    <row r="531" spans="1:28" ht="14.25" customHeight="1" x14ac:dyDescent="0.3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</row>
    <row r="532" spans="1:28" ht="14.25" customHeight="1" x14ac:dyDescent="0.3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</row>
    <row r="533" spans="1:28" ht="14.25" customHeight="1" x14ac:dyDescent="0.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</row>
    <row r="534" spans="1:28" ht="14.25" customHeight="1" x14ac:dyDescent="0.3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</row>
    <row r="535" spans="1:28" ht="14.25" customHeight="1" x14ac:dyDescent="0.3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</row>
    <row r="536" spans="1:28" ht="14.25" customHeight="1" x14ac:dyDescent="0.3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</row>
    <row r="537" spans="1:28" ht="14.25" customHeight="1" x14ac:dyDescent="0.3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</row>
    <row r="538" spans="1:28" ht="14.25" customHeight="1" x14ac:dyDescent="0.3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</row>
    <row r="539" spans="1:28" ht="14.25" customHeight="1" x14ac:dyDescent="0.3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</row>
    <row r="540" spans="1:28" ht="14.25" customHeight="1" x14ac:dyDescent="0.3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</row>
    <row r="541" spans="1:28" ht="14.25" customHeight="1" x14ac:dyDescent="0.3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</row>
    <row r="542" spans="1:28" ht="14.25" customHeight="1" x14ac:dyDescent="0.3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</row>
    <row r="543" spans="1:28" ht="14.25" customHeight="1" x14ac:dyDescent="0.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</row>
    <row r="544" spans="1:28" ht="14.25" customHeight="1" x14ac:dyDescent="0.3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</row>
    <row r="545" spans="1:28" ht="14.25" customHeight="1" x14ac:dyDescent="0.3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</row>
    <row r="546" spans="1:28" ht="14.25" customHeight="1" x14ac:dyDescent="0.3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</row>
    <row r="547" spans="1:28" ht="14.25" customHeight="1" x14ac:dyDescent="0.3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</row>
    <row r="548" spans="1:28" ht="14.25" customHeight="1" x14ac:dyDescent="0.3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</row>
    <row r="549" spans="1:28" ht="14.25" customHeight="1" x14ac:dyDescent="0.3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</row>
    <row r="550" spans="1:28" ht="14.25" customHeight="1" x14ac:dyDescent="0.3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</row>
    <row r="551" spans="1:28" ht="14.25" customHeight="1" x14ac:dyDescent="0.3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</row>
    <row r="552" spans="1:28" ht="14.25" customHeight="1" x14ac:dyDescent="0.3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</row>
    <row r="553" spans="1:28" ht="14.25" customHeight="1" x14ac:dyDescent="0.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</row>
    <row r="554" spans="1:28" ht="14.25" customHeight="1" x14ac:dyDescent="0.3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</row>
    <row r="555" spans="1:28" ht="14.25" customHeight="1" x14ac:dyDescent="0.3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</row>
    <row r="556" spans="1:28" ht="14.25" customHeight="1" x14ac:dyDescent="0.3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</row>
    <row r="557" spans="1:28" ht="14.25" customHeight="1" x14ac:dyDescent="0.3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</row>
    <row r="558" spans="1:28" ht="14.25" customHeight="1" x14ac:dyDescent="0.3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</row>
    <row r="559" spans="1:28" ht="14.25" customHeight="1" x14ac:dyDescent="0.3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</row>
    <row r="560" spans="1:28" ht="14.25" customHeight="1" x14ac:dyDescent="0.3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</row>
    <row r="561" spans="1:28" ht="14.25" customHeight="1" x14ac:dyDescent="0.3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</row>
    <row r="562" spans="1:28" ht="14.25" customHeight="1" x14ac:dyDescent="0.3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</row>
    <row r="563" spans="1:28" ht="14.25" customHeight="1" x14ac:dyDescent="0.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</row>
    <row r="564" spans="1:28" ht="14.25" customHeight="1" x14ac:dyDescent="0.3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</row>
    <row r="565" spans="1:28" ht="14.25" customHeight="1" x14ac:dyDescent="0.3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</row>
    <row r="566" spans="1:28" ht="14.25" customHeight="1" x14ac:dyDescent="0.3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</row>
    <row r="567" spans="1:28" ht="14.25" customHeight="1" x14ac:dyDescent="0.3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</row>
    <row r="568" spans="1:28" ht="14.25" customHeight="1" x14ac:dyDescent="0.3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</row>
    <row r="569" spans="1:28" ht="14.25" customHeight="1" x14ac:dyDescent="0.3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</row>
    <row r="570" spans="1:28" ht="14.25" customHeight="1" x14ac:dyDescent="0.3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</row>
    <row r="571" spans="1:28" ht="14.25" customHeight="1" x14ac:dyDescent="0.3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</row>
    <row r="572" spans="1:28" ht="14.25" customHeight="1" x14ac:dyDescent="0.3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</row>
    <row r="573" spans="1:28" ht="14.25" customHeight="1" x14ac:dyDescent="0.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</row>
    <row r="574" spans="1:28" ht="14.25" customHeight="1" x14ac:dyDescent="0.3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</row>
    <row r="575" spans="1:28" ht="14.25" customHeight="1" x14ac:dyDescent="0.3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</row>
    <row r="576" spans="1:28" ht="14.25" customHeight="1" x14ac:dyDescent="0.3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</row>
    <row r="577" spans="1:28" ht="14.25" customHeight="1" x14ac:dyDescent="0.3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</row>
    <row r="578" spans="1:28" ht="14.25" customHeight="1" x14ac:dyDescent="0.3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</row>
    <row r="579" spans="1:28" ht="14.25" customHeight="1" x14ac:dyDescent="0.3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</row>
    <row r="580" spans="1:28" ht="14.25" customHeight="1" x14ac:dyDescent="0.3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</row>
    <row r="581" spans="1:28" ht="14.25" customHeight="1" x14ac:dyDescent="0.3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</row>
    <row r="582" spans="1:28" ht="14.25" customHeight="1" x14ac:dyDescent="0.3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</row>
    <row r="583" spans="1:28" ht="14.25" customHeight="1" x14ac:dyDescent="0.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</row>
    <row r="584" spans="1:28" ht="14.25" customHeight="1" x14ac:dyDescent="0.3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</row>
    <row r="585" spans="1:28" ht="14.25" customHeight="1" x14ac:dyDescent="0.3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</row>
    <row r="586" spans="1:28" ht="14.25" customHeight="1" x14ac:dyDescent="0.3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</row>
    <row r="587" spans="1:28" ht="14.25" customHeight="1" x14ac:dyDescent="0.3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</row>
    <row r="588" spans="1:28" ht="14.25" customHeight="1" x14ac:dyDescent="0.3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</row>
    <row r="589" spans="1:28" ht="14.25" customHeight="1" x14ac:dyDescent="0.3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</row>
    <row r="590" spans="1:28" ht="14.25" customHeight="1" x14ac:dyDescent="0.3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</row>
    <row r="591" spans="1:28" ht="14.25" customHeight="1" x14ac:dyDescent="0.3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</row>
    <row r="592" spans="1:28" ht="14.25" customHeight="1" x14ac:dyDescent="0.3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</row>
    <row r="593" spans="1:28" ht="14.25" customHeight="1" x14ac:dyDescent="0.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</row>
    <row r="594" spans="1:28" ht="14.25" customHeight="1" x14ac:dyDescent="0.3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</row>
    <row r="595" spans="1:28" ht="14.25" customHeight="1" x14ac:dyDescent="0.3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</row>
    <row r="596" spans="1:28" ht="14.25" customHeight="1" x14ac:dyDescent="0.3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</row>
    <row r="597" spans="1:28" ht="14.25" customHeight="1" x14ac:dyDescent="0.3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</row>
    <row r="598" spans="1:28" ht="14.25" customHeight="1" x14ac:dyDescent="0.3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</row>
    <row r="599" spans="1:28" ht="14.25" customHeight="1" x14ac:dyDescent="0.3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</row>
    <row r="600" spans="1:28" ht="14.25" customHeight="1" x14ac:dyDescent="0.3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</row>
    <row r="601" spans="1:28" ht="14.25" customHeight="1" x14ac:dyDescent="0.3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</row>
    <row r="602" spans="1:28" ht="14.25" customHeight="1" x14ac:dyDescent="0.3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</row>
    <row r="603" spans="1:28" ht="14.25" customHeight="1" x14ac:dyDescent="0.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</row>
    <row r="604" spans="1:28" ht="14.25" customHeight="1" x14ac:dyDescent="0.3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</row>
    <row r="605" spans="1:28" ht="14.25" customHeight="1" x14ac:dyDescent="0.3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</row>
    <row r="606" spans="1:28" ht="14.25" customHeight="1" x14ac:dyDescent="0.3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</row>
    <row r="607" spans="1:28" ht="14.25" customHeight="1" x14ac:dyDescent="0.3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</row>
    <row r="608" spans="1:28" ht="14.25" customHeight="1" x14ac:dyDescent="0.3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</row>
    <row r="609" spans="1:28" ht="14.25" customHeight="1" x14ac:dyDescent="0.3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</row>
    <row r="610" spans="1:28" ht="14.25" customHeight="1" x14ac:dyDescent="0.3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</row>
    <row r="611" spans="1:28" ht="14.25" customHeight="1" x14ac:dyDescent="0.3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</row>
    <row r="612" spans="1:28" ht="14.25" customHeight="1" x14ac:dyDescent="0.3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</row>
    <row r="613" spans="1:28" ht="14.25" customHeight="1" x14ac:dyDescent="0.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</row>
    <row r="614" spans="1:28" ht="14.25" customHeight="1" x14ac:dyDescent="0.3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</row>
    <row r="615" spans="1:28" ht="14.25" customHeight="1" x14ac:dyDescent="0.3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</row>
    <row r="616" spans="1:28" ht="14.25" customHeight="1" x14ac:dyDescent="0.3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</row>
    <row r="617" spans="1:28" ht="14.25" customHeight="1" x14ac:dyDescent="0.3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</row>
    <row r="618" spans="1:28" ht="14.25" customHeight="1" x14ac:dyDescent="0.3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</row>
    <row r="619" spans="1:28" ht="14.25" customHeight="1" x14ac:dyDescent="0.3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</row>
    <row r="620" spans="1:28" ht="14.25" customHeight="1" x14ac:dyDescent="0.3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</row>
    <row r="621" spans="1:28" ht="14.25" customHeight="1" x14ac:dyDescent="0.3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</row>
    <row r="622" spans="1:28" ht="14.25" customHeight="1" x14ac:dyDescent="0.3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</row>
    <row r="623" spans="1:28" ht="14.25" customHeight="1" x14ac:dyDescent="0.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</row>
    <row r="624" spans="1:28" ht="14.25" customHeight="1" x14ac:dyDescent="0.3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</row>
    <row r="625" spans="1:28" ht="14.25" customHeight="1" x14ac:dyDescent="0.3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</row>
    <row r="626" spans="1:28" ht="14.25" customHeight="1" x14ac:dyDescent="0.3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</row>
    <row r="627" spans="1:28" ht="14.25" customHeight="1" x14ac:dyDescent="0.3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</row>
    <row r="628" spans="1:28" ht="14.25" customHeight="1" x14ac:dyDescent="0.3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</row>
    <row r="629" spans="1:28" ht="14.25" customHeight="1" x14ac:dyDescent="0.3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</row>
    <row r="630" spans="1:28" ht="14.25" customHeight="1" x14ac:dyDescent="0.3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</row>
    <row r="631" spans="1:28" ht="14.25" customHeight="1" x14ac:dyDescent="0.3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</row>
    <row r="632" spans="1:28" ht="14.25" customHeight="1" x14ac:dyDescent="0.3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</row>
    <row r="633" spans="1:28" ht="14.25" customHeight="1" x14ac:dyDescent="0.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</row>
    <row r="634" spans="1:28" ht="14.25" customHeight="1" x14ac:dyDescent="0.3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</row>
    <row r="635" spans="1:28" ht="14.25" customHeight="1" x14ac:dyDescent="0.3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</row>
    <row r="636" spans="1:28" ht="14.25" customHeight="1" x14ac:dyDescent="0.3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</row>
    <row r="637" spans="1:28" ht="14.25" customHeight="1" x14ac:dyDescent="0.3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</row>
    <row r="638" spans="1:28" ht="14.25" customHeight="1" x14ac:dyDescent="0.3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</row>
    <row r="639" spans="1:28" ht="14.25" customHeight="1" x14ac:dyDescent="0.3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</row>
    <row r="640" spans="1:28" ht="14.25" customHeight="1" x14ac:dyDescent="0.3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</row>
    <row r="641" spans="1:28" ht="14.25" customHeight="1" x14ac:dyDescent="0.3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</row>
    <row r="642" spans="1:28" ht="14.25" customHeight="1" x14ac:dyDescent="0.3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</row>
    <row r="643" spans="1:28" ht="14.25" customHeight="1" x14ac:dyDescent="0.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</row>
    <row r="644" spans="1:28" ht="14.25" customHeight="1" x14ac:dyDescent="0.3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</row>
    <row r="645" spans="1:28" ht="14.25" customHeight="1" x14ac:dyDescent="0.3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</row>
    <row r="646" spans="1:28" ht="14.25" customHeight="1" x14ac:dyDescent="0.3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</row>
    <row r="647" spans="1:28" ht="14.25" customHeight="1" x14ac:dyDescent="0.3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</row>
    <row r="648" spans="1:28" ht="14.25" customHeight="1" x14ac:dyDescent="0.3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</row>
    <row r="649" spans="1:28" ht="14.25" customHeight="1" x14ac:dyDescent="0.3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</row>
    <row r="650" spans="1:28" ht="14.25" customHeight="1" x14ac:dyDescent="0.3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</row>
    <row r="651" spans="1:28" ht="14.25" customHeight="1" x14ac:dyDescent="0.3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</row>
    <row r="652" spans="1:28" ht="14.25" customHeight="1" x14ac:dyDescent="0.3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</row>
    <row r="653" spans="1:28" ht="14.25" customHeight="1" x14ac:dyDescent="0.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</row>
    <row r="654" spans="1:28" ht="14.25" customHeight="1" x14ac:dyDescent="0.3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</row>
    <row r="655" spans="1:28" ht="14.25" customHeight="1" x14ac:dyDescent="0.3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</row>
    <row r="656" spans="1:28" ht="14.25" customHeight="1" x14ac:dyDescent="0.3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</row>
    <row r="657" spans="1:28" ht="14.25" customHeight="1" x14ac:dyDescent="0.3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</row>
    <row r="658" spans="1:28" ht="14.25" customHeight="1" x14ac:dyDescent="0.3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</row>
    <row r="659" spans="1:28" ht="14.25" customHeight="1" x14ac:dyDescent="0.3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</row>
    <row r="660" spans="1:28" ht="14.25" customHeight="1" x14ac:dyDescent="0.3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</row>
    <row r="661" spans="1:28" ht="14.25" customHeight="1" x14ac:dyDescent="0.3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</row>
    <row r="662" spans="1:28" ht="14.25" customHeight="1" x14ac:dyDescent="0.3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</row>
    <row r="663" spans="1:28" ht="14.25" customHeight="1" x14ac:dyDescent="0.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</row>
    <row r="664" spans="1:28" ht="14.25" customHeight="1" x14ac:dyDescent="0.3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</row>
    <row r="665" spans="1:28" ht="14.25" customHeight="1" x14ac:dyDescent="0.3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</row>
    <row r="666" spans="1:28" ht="14.25" customHeight="1" x14ac:dyDescent="0.3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</row>
    <row r="667" spans="1:28" ht="14.25" customHeight="1" x14ac:dyDescent="0.3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</row>
    <row r="668" spans="1:28" ht="14.25" customHeight="1" x14ac:dyDescent="0.3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</row>
    <row r="669" spans="1:28" ht="14.25" customHeight="1" x14ac:dyDescent="0.3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</row>
    <row r="670" spans="1:28" ht="14.25" customHeight="1" x14ac:dyDescent="0.3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</row>
    <row r="671" spans="1:28" ht="14.25" customHeight="1" x14ac:dyDescent="0.3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</row>
    <row r="672" spans="1:28" ht="14.25" customHeight="1" x14ac:dyDescent="0.3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</row>
    <row r="673" spans="1:28" ht="14.25" customHeight="1" x14ac:dyDescent="0.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</row>
    <row r="674" spans="1:28" ht="14.25" customHeight="1" x14ac:dyDescent="0.3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</row>
    <row r="675" spans="1:28" ht="14.25" customHeight="1" x14ac:dyDescent="0.3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</row>
    <row r="676" spans="1:28" ht="14.25" customHeight="1" x14ac:dyDescent="0.3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</row>
    <row r="677" spans="1:28" ht="14.25" customHeight="1" x14ac:dyDescent="0.3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</row>
    <row r="678" spans="1:28" ht="14.25" customHeight="1" x14ac:dyDescent="0.3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</row>
    <row r="679" spans="1:28" ht="14.25" customHeight="1" x14ac:dyDescent="0.3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</row>
    <row r="680" spans="1:28" ht="14.25" customHeight="1" x14ac:dyDescent="0.3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</row>
    <row r="681" spans="1:28" ht="14.25" customHeight="1" x14ac:dyDescent="0.3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</row>
    <row r="682" spans="1:28" ht="14.25" customHeight="1" x14ac:dyDescent="0.3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</row>
    <row r="683" spans="1:28" ht="14.25" customHeight="1" x14ac:dyDescent="0.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</row>
    <row r="684" spans="1:28" ht="14.25" customHeight="1" x14ac:dyDescent="0.3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</row>
    <row r="685" spans="1:28" ht="14.25" customHeight="1" x14ac:dyDescent="0.3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</row>
    <row r="686" spans="1:28" ht="14.25" customHeight="1" x14ac:dyDescent="0.3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</row>
    <row r="687" spans="1:28" ht="14.25" customHeight="1" x14ac:dyDescent="0.3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</row>
    <row r="688" spans="1:28" ht="14.25" customHeight="1" x14ac:dyDescent="0.3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</row>
    <row r="689" spans="1:28" ht="14.25" customHeight="1" x14ac:dyDescent="0.3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</row>
    <row r="690" spans="1:28" ht="14.25" customHeight="1" x14ac:dyDescent="0.3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</row>
    <row r="691" spans="1:28" ht="14.25" customHeight="1" x14ac:dyDescent="0.3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</row>
    <row r="692" spans="1:28" ht="14.25" customHeight="1" x14ac:dyDescent="0.3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</row>
    <row r="693" spans="1:28" ht="14.25" customHeight="1" x14ac:dyDescent="0.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</row>
    <row r="694" spans="1:28" ht="14.25" customHeight="1" x14ac:dyDescent="0.3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</row>
    <row r="695" spans="1:28" ht="14.25" customHeight="1" x14ac:dyDescent="0.3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</row>
    <row r="696" spans="1:28" ht="14.25" customHeight="1" x14ac:dyDescent="0.3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</row>
    <row r="697" spans="1:28" ht="14.25" customHeight="1" x14ac:dyDescent="0.3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</row>
    <row r="698" spans="1:28" ht="14.25" customHeight="1" x14ac:dyDescent="0.3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</row>
    <row r="699" spans="1:28" ht="14.25" customHeight="1" x14ac:dyDescent="0.3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</row>
    <row r="700" spans="1:28" ht="14.25" customHeight="1" x14ac:dyDescent="0.3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</row>
    <row r="701" spans="1:28" ht="14.25" customHeight="1" x14ac:dyDescent="0.3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</row>
    <row r="702" spans="1:28" ht="14.25" customHeight="1" x14ac:dyDescent="0.3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</row>
    <row r="703" spans="1:28" ht="14.25" customHeight="1" x14ac:dyDescent="0.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</row>
    <row r="704" spans="1:28" ht="14.25" customHeight="1" x14ac:dyDescent="0.3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</row>
    <row r="705" spans="1:28" ht="14.25" customHeight="1" x14ac:dyDescent="0.3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</row>
    <row r="706" spans="1:28" ht="14.25" customHeight="1" x14ac:dyDescent="0.3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</row>
    <row r="707" spans="1:28" ht="14.25" customHeight="1" x14ac:dyDescent="0.3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</row>
    <row r="708" spans="1:28" ht="14.25" customHeight="1" x14ac:dyDescent="0.3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</row>
    <row r="709" spans="1:28" ht="14.25" customHeight="1" x14ac:dyDescent="0.3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</row>
    <row r="710" spans="1:28" ht="14.25" customHeight="1" x14ac:dyDescent="0.3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</row>
    <row r="711" spans="1:28" ht="14.25" customHeight="1" x14ac:dyDescent="0.3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</row>
    <row r="712" spans="1:28" ht="14.25" customHeight="1" x14ac:dyDescent="0.3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</row>
    <row r="713" spans="1:28" ht="14.25" customHeight="1" x14ac:dyDescent="0.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</row>
    <row r="714" spans="1:28" ht="14.25" customHeight="1" x14ac:dyDescent="0.3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</row>
    <row r="715" spans="1:28" ht="14.25" customHeight="1" x14ac:dyDescent="0.3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</row>
    <row r="716" spans="1:28" ht="14.25" customHeight="1" x14ac:dyDescent="0.3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</row>
    <row r="717" spans="1:28" ht="14.25" customHeight="1" x14ac:dyDescent="0.3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</row>
    <row r="718" spans="1:28" ht="14.25" customHeight="1" x14ac:dyDescent="0.3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</row>
    <row r="719" spans="1:28" ht="14.25" customHeight="1" x14ac:dyDescent="0.3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</row>
    <row r="720" spans="1:28" ht="14.25" customHeight="1" x14ac:dyDescent="0.3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</row>
    <row r="721" spans="1:28" ht="14.25" customHeight="1" x14ac:dyDescent="0.3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</row>
    <row r="722" spans="1:28" ht="14.25" customHeight="1" x14ac:dyDescent="0.3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</row>
    <row r="723" spans="1:28" ht="14.25" customHeight="1" x14ac:dyDescent="0.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</row>
    <row r="724" spans="1:28" ht="14.25" customHeight="1" x14ac:dyDescent="0.3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</row>
    <row r="725" spans="1:28" ht="14.25" customHeight="1" x14ac:dyDescent="0.3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</row>
    <row r="726" spans="1:28" ht="14.25" customHeight="1" x14ac:dyDescent="0.3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</row>
    <row r="727" spans="1:28" ht="14.25" customHeight="1" x14ac:dyDescent="0.3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</row>
    <row r="728" spans="1:28" ht="14.25" customHeight="1" x14ac:dyDescent="0.3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</row>
    <row r="729" spans="1:28" ht="14.25" customHeight="1" x14ac:dyDescent="0.3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</row>
    <row r="730" spans="1:28" ht="14.25" customHeight="1" x14ac:dyDescent="0.3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</row>
    <row r="731" spans="1:28" ht="14.25" customHeight="1" x14ac:dyDescent="0.3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</row>
    <row r="732" spans="1:28" ht="14.25" customHeight="1" x14ac:dyDescent="0.3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</row>
    <row r="733" spans="1:28" ht="14.25" customHeight="1" x14ac:dyDescent="0.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</row>
    <row r="734" spans="1:28" ht="14.25" customHeight="1" x14ac:dyDescent="0.3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</row>
    <row r="735" spans="1:28" ht="14.25" customHeight="1" x14ac:dyDescent="0.3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</row>
    <row r="736" spans="1:28" ht="14.25" customHeight="1" x14ac:dyDescent="0.3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</row>
    <row r="737" spans="1:28" ht="14.25" customHeight="1" x14ac:dyDescent="0.3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</row>
    <row r="738" spans="1:28" ht="14.25" customHeight="1" x14ac:dyDescent="0.3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</row>
    <row r="739" spans="1:28" ht="14.25" customHeight="1" x14ac:dyDescent="0.3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</row>
    <row r="740" spans="1:28" ht="14.25" customHeight="1" x14ac:dyDescent="0.3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</row>
    <row r="741" spans="1:28" ht="14.25" customHeight="1" x14ac:dyDescent="0.3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</row>
    <row r="742" spans="1:28" ht="14.25" customHeight="1" x14ac:dyDescent="0.3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</row>
    <row r="743" spans="1:28" ht="14.25" customHeight="1" x14ac:dyDescent="0.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</row>
    <row r="744" spans="1:28" ht="14.25" customHeight="1" x14ac:dyDescent="0.3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</row>
    <row r="745" spans="1:28" ht="14.25" customHeight="1" x14ac:dyDescent="0.3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</row>
    <row r="746" spans="1:28" ht="14.25" customHeight="1" x14ac:dyDescent="0.3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</row>
    <row r="747" spans="1:28" ht="14.25" customHeight="1" x14ac:dyDescent="0.3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</row>
    <row r="748" spans="1:28" ht="14.25" customHeight="1" x14ac:dyDescent="0.3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</row>
    <row r="749" spans="1:28" ht="14.25" customHeight="1" x14ac:dyDescent="0.3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</row>
    <row r="750" spans="1:28" ht="14.25" customHeight="1" x14ac:dyDescent="0.3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</row>
    <row r="751" spans="1:28" ht="14.25" customHeight="1" x14ac:dyDescent="0.3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</row>
    <row r="752" spans="1:28" ht="14.25" customHeight="1" x14ac:dyDescent="0.3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</row>
    <row r="753" spans="1:28" ht="14.25" customHeight="1" x14ac:dyDescent="0.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</row>
    <row r="754" spans="1:28" ht="14.25" customHeight="1" x14ac:dyDescent="0.3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</row>
    <row r="755" spans="1:28" ht="14.25" customHeight="1" x14ac:dyDescent="0.3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</row>
    <row r="756" spans="1:28" ht="14.25" customHeight="1" x14ac:dyDescent="0.3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</row>
    <row r="757" spans="1:28" ht="14.25" customHeight="1" x14ac:dyDescent="0.3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</row>
    <row r="758" spans="1:28" ht="14.25" customHeight="1" x14ac:dyDescent="0.3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</row>
    <row r="759" spans="1:28" ht="14.25" customHeight="1" x14ac:dyDescent="0.3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</row>
    <row r="760" spans="1:28" ht="14.25" customHeight="1" x14ac:dyDescent="0.3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</row>
    <row r="761" spans="1:28" ht="14.25" customHeight="1" x14ac:dyDescent="0.3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</row>
    <row r="762" spans="1:28" ht="14.25" customHeight="1" x14ac:dyDescent="0.3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</row>
    <row r="763" spans="1:28" ht="14.25" customHeight="1" x14ac:dyDescent="0.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</row>
    <row r="764" spans="1:28" ht="14.25" customHeight="1" x14ac:dyDescent="0.3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</row>
    <row r="765" spans="1:28" ht="14.25" customHeight="1" x14ac:dyDescent="0.3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</row>
    <row r="766" spans="1:28" ht="14.25" customHeight="1" x14ac:dyDescent="0.3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</row>
    <row r="767" spans="1:28" ht="14.25" customHeight="1" x14ac:dyDescent="0.3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</row>
    <row r="768" spans="1:28" ht="14.25" customHeight="1" x14ac:dyDescent="0.3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</row>
    <row r="769" spans="1:28" ht="14.25" customHeight="1" x14ac:dyDescent="0.3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</row>
    <row r="770" spans="1:28" ht="14.25" customHeight="1" x14ac:dyDescent="0.3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</row>
    <row r="771" spans="1:28" ht="14.25" customHeight="1" x14ac:dyDescent="0.3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</row>
    <row r="772" spans="1:28" ht="14.25" customHeight="1" x14ac:dyDescent="0.3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</row>
    <row r="773" spans="1:28" ht="14.25" customHeight="1" x14ac:dyDescent="0.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</row>
    <row r="774" spans="1:28" ht="14.25" customHeight="1" x14ac:dyDescent="0.3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</row>
    <row r="775" spans="1:28" ht="14.25" customHeight="1" x14ac:dyDescent="0.3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</row>
    <row r="776" spans="1:28" ht="14.25" customHeight="1" x14ac:dyDescent="0.3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</row>
    <row r="777" spans="1:28" ht="14.25" customHeight="1" x14ac:dyDescent="0.3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</row>
    <row r="778" spans="1:28" ht="14.25" customHeight="1" x14ac:dyDescent="0.3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</row>
    <row r="779" spans="1:28" ht="14.25" customHeight="1" x14ac:dyDescent="0.3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</row>
    <row r="780" spans="1:28" ht="14.25" customHeight="1" x14ac:dyDescent="0.3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</row>
    <row r="781" spans="1:28" ht="14.25" customHeight="1" x14ac:dyDescent="0.3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</row>
    <row r="782" spans="1:28" ht="14.25" customHeight="1" x14ac:dyDescent="0.3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</row>
    <row r="783" spans="1:28" ht="14.25" customHeight="1" x14ac:dyDescent="0.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</row>
    <row r="784" spans="1:28" ht="14.25" customHeight="1" x14ac:dyDescent="0.3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</row>
    <row r="785" spans="1:28" ht="14.25" customHeight="1" x14ac:dyDescent="0.3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</row>
    <row r="786" spans="1:28" ht="14.25" customHeight="1" x14ac:dyDescent="0.3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</row>
    <row r="787" spans="1:28" ht="14.25" customHeight="1" x14ac:dyDescent="0.3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</row>
    <row r="788" spans="1:28" ht="14.25" customHeight="1" x14ac:dyDescent="0.3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</row>
    <row r="789" spans="1:28" ht="14.25" customHeight="1" x14ac:dyDescent="0.3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</row>
    <row r="790" spans="1:28" ht="14.25" customHeight="1" x14ac:dyDescent="0.3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</row>
    <row r="791" spans="1:28" ht="14.25" customHeight="1" x14ac:dyDescent="0.3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</row>
    <row r="792" spans="1:28" ht="14.25" customHeight="1" x14ac:dyDescent="0.3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</row>
    <row r="793" spans="1:28" ht="14.25" customHeight="1" x14ac:dyDescent="0.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</row>
    <row r="794" spans="1:28" ht="14.25" customHeight="1" x14ac:dyDescent="0.3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</row>
    <row r="795" spans="1:28" ht="14.25" customHeight="1" x14ac:dyDescent="0.3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</row>
    <row r="796" spans="1:28" ht="14.25" customHeight="1" x14ac:dyDescent="0.3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</row>
    <row r="797" spans="1:28" ht="14.25" customHeight="1" x14ac:dyDescent="0.3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</row>
    <row r="798" spans="1:28" ht="14.25" customHeight="1" x14ac:dyDescent="0.3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</row>
    <row r="799" spans="1:28" ht="14.25" customHeight="1" x14ac:dyDescent="0.3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</row>
    <row r="800" spans="1:28" ht="14.25" customHeight="1" x14ac:dyDescent="0.3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</row>
    <row r="801" spans="1:28" ht="14.25" customHeight="1" x14ac:dyDescent="0.3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</row>
    <row r="802" spans="1:28" ht="14.25" customHeight="1" x14ac:dyDescent="0.3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</row>
    <row r="803" spans="1:28" ht="14.25" customHeight="1" x14ac:dyDescent="0.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</row>
    <row r="804" spans="1:28" ht="14.25" customHeight="1" x14ac:dyDescent="0.3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</row>
    <row r="805" spans="1:28" ht="14.25" customHeight="1" x14ac:dyDescent="0.3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</row>
    <row r="806" spans="1:28" ht="14.25" customHeight="1" x14ac:dyDescent="0.3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</row>
    <row r="807" spans="1:28" ht="14.25" customHeight="1" x14ac:dyDescent="0.3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</row>
    <row r="808" spans="1:28" ht="14.25" customHeight="1" x14ac:dyDescent="0.3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</row>
    <row r="809" spans="1:28" ht="14.25" customHeight="1" x14ac:dyDescent="0.3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</row>
    <row r="810" spans="1:28" ht="14.25" customHeight="1" x14ac:dyDescent="0.3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</row>
    <row r="811" spans="1:28" ht="14.25" customHeight="1" x14ac:dyDescent="0.3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</row>
    <row r="812" spans="1:28" ht="14.25" customHeight="1" x14ac:dyDescent="0.3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</row>
    <row r="813" spans="1:28" ht="14.25" customHeight="1" x14ac:dyDescent="0.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</row>
    <row r="814" spans="1:28" ht="14.25" customHeight="1" x14ac:dyDescent="0.3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</row>
    <row r="815" spans="1:28" ht="14.25" customHeight="1" x14ac:dyDescent="0.3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</row>
    <row r="816" spans="1:28" ht="14.25" customHeight="1" x14ac:dyDescent="0.3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</row>
    <row r="817" spans="1:28" ht="14.25" customHeight="1" x14ac:dyDescent="0.3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</row>
    <row r="818" spans="1:28" ht="14.25" customHeight="1" x14ac:dyDescent="0.3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</row>
    <row r="819" spans="1:28" ht="14.25" customHeight="1" x14ac:dyDescent="0.3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</row>
    <row r="820" spans="1:28" ht="14.25" customHeight="1" x14ac:dyDescent="0.3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</row>
    <row r="821" spans="1:28" ht="14.25" customHeight="1" x14ac:dyDescent="0.3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</row>
    <row r="822" spans="1:28" ht="14.25" customHeight="1" x14ac:dyDescent="0.3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</row>
    <row r="823" spans="1:28" ht="14.25" customHeight="1" x14ac:dyDescent="0.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</row>
    <row r="824" spans="1:28" ht="14.25" customHeight="1" x14ac:dyDescent="0.3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</row>
    <row r="825" spans="1:28" ht="14.25" customHeight="1" x14ac:dyDescent="0.3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</row>
    <row r="826" spans="1:28" ht="14.25" customHeight="1" x14ac:dyDescent="0.3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</row>
    <row r="827" spans="1:28" ht="14.25" customHeight="1" x14ac:dyDescent="0.3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</row>
    <row r="828" spans="1:28" ht="14.25" customHeight="1" x14ac:dyDescent="0.3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</row>
    <row r="829" spans="1:28" ht="14.25" customHeight="1" x14ac:dyDescent="0.3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</row>
    <row r="830" spans="1:28" ht="14.25" customHeight="1" x14ac:dyDescent="0.3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</row>
    <row r="831" spans="1:28" ht="14.25" customHeight="1" x14ac:dyDescent="0.3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</row>
    <row r="832" spans="1:28" ht="14.25" customHeight="1" x14ac:dyDescent="0.3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</row>
    <row r="833" spans="1:28" ht="14.25" customHeight="1" x14ac:dyDescent="0.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</row>
    <row r="834" spans="1:28" ht="14.25" customHeight="1" x14ac:dyDescent="0.3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</row>
    <row r="835" spans="1:28" ht="14.25" customHeight="1" x14ac:dyDescent="0.3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</row>
    <row r="836" spans="1:28" ht="14.25" customHeight="1" x14ac:dyDescent="0.3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</row>
    <row r="837" spans="1:28" ht="14.25" customHeight="1" x14ac:dyDescent="0.3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</row>
    <row r="838" spans="1:28" ht="14.25" customHeight="1" x14ac:dyDescent="0.3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</row>
    <row r="839" spans="1:28" ht="14.25" customHeight="1" x14ac:dyDescent="0.3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</row>
    <row r="840" spans="1:28" ht="14.25" customHeight="1" x14ac:dyDescent="0.3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</row>
    <row r="841" spans="1:28" ht="14.25" customHeight="1" x14ac:dyDescent="0.3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</row>
    <row r="842" spans="1:28" ht="14.25" customHeight="1" x14ac:dyDescent="0.3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</row>
    <row r="843" spans="1:28" ht="14.25" customHeight="1" x14ac:dyDescent="0.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</row>
    <row r="844" spans="1:28" ht="14.25" customHeight="1" x14ac:dyDescent="0.3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</row>
    <row r="845" spans="1:28" ht="14.25" customHeight="1" x14ac:dyDescent="0.3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</row>
    <row r="846" spans="1:28" ht="14.25" customHeight="1" x14ac:dyDescent="0.3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</row>
    <row r="847" spans="1:28" ht="14.25" customHeight="1" x14ac:dyDescent="0.3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</row>
    <row r="848" spans="1:28" ht="14.25" customHeight="1" x14ac:dyDescent="0.3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</row>
    <row r="849" spans="1:28" ht="14.25" customHeight="1" x14ac:dyDescent="0.3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</row>
    <row r="850" spans="1:28" ht="14.25" customHeight="1" x14ac:dyDescent="0.3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</row>
    <row r="851" spans="1:28" ht="14.25" customHeight="1" x14ac:dyDescent="0.3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</row>
    <row r="852" spans="1:28" ht="14.25" customHeight="1" x14ac:dyDescent="0.3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</row>
    <row r="853" spans="1:28" ht="14.25" customHeight="1" x14ac:dyDescent="0.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</row>
    <row r="854" spans="1:28" ht="14.25" customHeight="1" x14ac:dyDescent="0.3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</row>
    <row r="855" spans="1:28" ht="14.25" customHeight="1" x14ac:dyDescent="0.3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</row>
    <row r="856" spans="1:28" ht="14.25" customHeight="1" x14ac:dyDescent="0.3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</row>
    <row r="857" spans="1:28" ht="14.25" customHeight="1" x14ac:dyDescent="0.3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</row>
    <row r="858" spans="1:28" ht="14.25" customHeight="1" x14ac:dyDescent="0.3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</row>
    <row r="859" spans="1:28" ht="14.25" customHeight="1" x14ac:dyDescent="0.3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</row>
    <row r="860" spans="1:28" ht="14.25" customHeight="1" x14ac:dyDescent="0.3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</row>
    <row r="861" spans="1:28" ht="14.25" customHeight="1" x14ac:dyDescent="0.3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</row>
    <row r="862" spans="1:28" ht="14.25" customHeight="1" x14ac:dyDescent="0.3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</row>
    <row r="863" spans="1:28" ht="14.25" customHeight="1" x14ac:dyDescent="0.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</row>
    <row r="864" spans="1:28" ht="14.25" customHeight="1" x14ac:dyDescent="0.3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</row>
    <row r="865" spans="1:28" ht="14.25" customHeight="1" x14ac:dyDescent="0.3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</row>
    <row r="866" spans="1:28" ht="14.25" customHeight="1" x14ac:dyDescent="0.3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</row>
    <row r="867" spans="1:28" ht="14.25" customHeight="1" x14ac:dyDescent="0.3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</row>
    <row r="868" spans="1:28" ht="14.25" customHeight="1" x14ac:dyDescent="0.3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</row>
    <row r="869" spans="1:28" ht="14.25" customHeight="1" x14ac:dyDescent="0.3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</row>
    <row r="870" spans="1:28" ht="14.25" customHeight="1" x14ac:dyDescent="0.3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</row>
    <row r="871" spans="1:28" ht="14.25" customHeight="1" x14ac:dyDescent="0.3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</row>
    <row r="872" spans="1:28" ht="14.25" customHeight="1" x14ac:dyDescent="0.3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</row>
    <row r="873" spans="1:28" ht="14.25" customHeight="1" x14ac:dyDescent="0.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</row>
    <row r="874" spans="1:28" ht="14.25" customHeight="1" x14ac:dyDescent="0.3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</row>
    <row r="875" spans="1:28" ht="14.25" customHeight="1" x14ac:dyDescent="0.3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</row>
    <row r="876" spans="1:28" ht="14.25" customHeight="1" x14ac:dyDescent="0.3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</row>
    <row r="877" spans="1:28" ht="14.25" customHeight="1" x14ac:dyDescent="0.3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</row>
    <row r="878" spans="1:28" ht="14.25" customHeight="1" x14ac:dyDescent="0.3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</row>
    <row r="879" spans="1:28" ht="14.25" customHeight="1" x14ac:dyDescent="0.3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</row>
    <row r="880" spans="1:28" ht="14.25" customHeight="1" x14ac:dyDescent="0.3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</row>
    <row r="881" spans="1:28" ht="14.25" customHeight="1" x14ac:dyDescent="0.3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</row>
    <row r="882" spans="1:28" ht="14.25" customHeight="1" x14ac:dyDescent="0.3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</row>
    <row r="883" spans="1:28" ht="14.25" customHeight="1" x14ac:dyDescent="0.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</row>
    <row r="884" spans="1:28" ht="14.25" customHeight="1" x14ac:dyDescent="0.3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</row>
    <row r="885" spans="1:28" ht="14.25" customHeight="1" x14ac:dyDescent="0.3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</row>
    <row r="886" spans="1:28" ht="14.25" customHeight="1" x14ac:dyDescent="0.3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</row>
    <row r="887" spans="1:28" ht="14.25" customHeight="1" x14ac:dyDescent="0.3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</row>
    <row r="888" spans="1:28" ht="14.25" customHeight="1" x14ac:dyDescent="0.3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</row>
    <row r="889" spans="1:28" ht="14.25" customHeight="1" x14ac:dyDescent="0.3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</row>
    <row r="890" spans="1:28" ht="14.25" customHeight="1" x14ac:dyDescent="0.3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</row>
    <row r="891" spans="1:28" ht="14.25" customHeight="1" x14ac:dyDescent="0.3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</row>
    <row r="892" spans="1:28" ht="14.25" customHeight="1" x14ac:dyDescent="0.3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</row>
    <row r="893" spans="1:28" ht="14.25" customHeight="1" x14ac:dyDescent="0.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</row>
    <row r="894" spans="1:28" ht="14.25" customHeight="1" x14ac:dyDescent="0.3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</row>
    <row r="895" spans="1:28" ht="14.25" customHeight="1" x14ac:dyDescent="0.3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</row>
    <row r="896" spans="1:28" ht="14.25" customHeight="1" x14ac:dyDescent="0.3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</row>
    <row r="897" spans="1:28" ht="14.25" customHeight="1" x14ac:dyDescent="0.3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</row>
    <row r="898" spans="1:28" ht="14.25" customHeight="1" x14ac:dyDescent="0.3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</row>
    <row r="899" spans="1:28" ht="14.25" customHeight="1" x14ac:dyDescent="0.3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</row>
    <row r="900" spans="1:28" ht="14.25" customHeight="1" x14ac:dyDescent="0.3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</row>
    <row r="901" spans="1:28" ht="14.25" customHeight="1" x14ac:dyDescent="0.3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</row>
    <row r="902" spans="1:28" ht="14.25" customHeight="1" x14ac:dyDescent="0.3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</row>
    <row r="903" spans="1:28" ht="14.25" customHeight="1" x14ac:dyDescent="0.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</row>
    <row r="904" spans="1:28" ht="14.25" customHeight="1" x14ac:dyDescent="0.3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</row>
    <row r="905" spans="1:28" ht="14.25" customHeight="1" x14ac:dyDescent="0.3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</row>
    <row r="906" spans="1:28" ht="14.25" customHeight="1" x14ac:dyDescent="0.3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</row>
    <row r="907" spans="1:28" ht="14.25" customHeight="1" x14ac:dyDescent="0.3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</row>
    <row r="908" spans="1:28" ht="14.25" customHeight="1" x14ac:dyDescent="0.3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</row>
    <row r="909" spans="1:28" ht="14.25" customHeight="1" x14ac:dyDescent="0.3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</row>
    <row r="910" spans="1:28" ht="14.25" customHeight="1" x14ac:dyDescent="0.3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</row>
    <row r="911" spans="1:28" ht="14.25" customHeight="1" x14ac:dyDescent="0.3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</row>
    <row r="912" spans="1:28" ht="14.25" customHeight="1" x14ac:dyDescent="0.3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</row>
    <row r="913" spans="1:28" ht="14.25" customHeight="1" x14ac:dyDescent="0.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</row>
    <row r="914" spans="1:28" ht="14.25" customHeight="1" x14ac:dyDescent="0.3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</row>
    <row r="915" spans="1:28" ht="14.25" customHeight="1" x14ac:dyDescent="0.3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</row>
    <row r="916" spans="1:28" ht="14.25" customHeight="1" x14ac:dyDescent="0.3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</row>
    <row r="917" spans="1:28" ht="14.25" customHeight="1" x14ac:dyDescent="0.3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</row>
    <row r="918" spans="1:28" ht="14.25" customHeight="1" x14ac:dyDescent="0.3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</row>
    <row r="919" spans="1:28" ht="14.25" customHeight="1" x14ac:dyDescent="0.3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</row>
    <row r="920" spans="1:28" ht="14.25" customHeight="1" x14ac:dyDescent="0.3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</row>
    <row r="921" spans="1:28" ht="14.25" customHeight="1" x14ac:dyDescent="0.3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</row>
    <row r="922" spans="1:28" ht="14.25" customHeight="1" x14ac:dyDescent="0.3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</row>
    <row r="923" spans="1:28" ht="14.25" customHeight="1" x14ac:dyDescent="0.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</row>
    <row r="924" spans="1:28" ht="14.25" customHeight="1" x14ac:dyDescent="0.3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</row>
    <row r="925" spans="1:28" ht="14.25" customHeight="1" x14ac:dyDescent="0.3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</row>
    <row r="926" spans="1:28" ht="14.25" customHeight="1" x14ac:dyDescent="0.3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</row>
    <row r="927" spans="1:28" ht="14.25" customHeight="1" x14ac:dyDescent="0.3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</row>
    <row r="928" spans="1:28" ht="14.25" customHeight="1" x14ac:dyDescent="0.3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</row>
    <row r="929" spans="1:28" ht="14.25" customHeight="1" x14ac:dyDescent="0.3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</row>
    <row r="930" spans="1:28" ht="14.25" customHeight="1" x14ac:dyDescent="0.3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</row>
    <row r="931" spans="1:28" ht="14.25" customHeight="1" x14ac:dyDescent="0.3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</row>
    <row r="932" spans="1:28" ht="14.25" customHeight="1" x14ac:dyDescent="0.3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</row>
    <row r="933" spans="1:28" ht="14.25" customHeight="1" x14ac:dyDescent="0.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</row>
    <row r="934" spans="1:28" ht="14.25" customHeight="1" x14ac:dyDescent="0.3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</row>
    <row r="935" spans="1:28" ht="14.25" customHeight="1" x14ac:dyDescent="0.3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</row>
    <row r="936" spans="1:28" ht="14.25" customHeight="1" x14ac:dyDescent="0.3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</row>
    <row r="937" spans="1:28" ht="14.25" customHeight="1" x14ac:dyDescent="0.3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</row>
    <row r="938" spans="1:28" ht="14.25" customHeight="1" x14ac:dyDescent="0.3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</row>
    <row r="939" spans="1:28" ht="14.25" customHeight="1" x14ac:dyDescent="0.3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</row>
    <row r="940" spans="1:28" ht="14.25" customHeight="1" x14ac:dyDescent="0.3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</row>
    <row r="941" spans="1:28" ht="14.25" customHeight="1" x14ac:dyDescent="0.3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</row>
    <row r="942" spans="1:28" ht="14.25" customHeight="1" x14ac:dyDescent="0.3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</row>
    <row r="943" spans="1:28" ht="14.25" customHeight="1" x14ac:dyDescent="0.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</row>
    <row r="944" spans="1:28" ht="14.25" customHeight="1" x14ac:dyDescent="0.3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</row>
    <row r="945" spans="1:28" ht="14.25" customHeight="1" x14ac:dyDescent="0.3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</row>
    <row r="946" spans="1:28" ht="14.25" customHeight="1" x14ac:dyDescent="0.3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</row>
    <row r="947" spans="1:28" ht="14.25" customHeight="1" x14ac:dyDescent="0.3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</row>
    <row r="948" spans="1:28" ht="14.25" customHeight="1" x14ac:dyDescent="0.3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</row>
    <row r="949" spans="1:28" ht="14.25" customHeight="1" x14ac:dyDescent="0.3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</row>
    <row r="950" spans="1:28" ht="14.25" customHeight="1" x14ac:dyDescent="0.3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</row>
    <row r="951" spans="1:28" ht="14.25" customHeight="1" x14ac:dyDescent="0.3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</row>
    <row r="952" spans="1:28" ht="14.25" customHeight="1" x14ac:dyDescent="0.3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</row>
    <row r="953" spans="1:28" ht="14.25" customHeight="1" x14ac:dyDescent="0.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</row>
    <row r="954" spans="1:28" ht="14.25" customHeight="1" x14ac:dyDescent="0.3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</row>
    <row r="955" spans="1:28" ht="14.25" customHeight="1" x14ac:dyDescent="0.3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</row>
    <row r="956" spans="1:28" ht="14.25" customHeight="1" x14ac:dyDescent="0.3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</row>
    <row r="957" spans="1:28" ht="14.25" customHeight="1" x14ac:dyDescent="0.3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</row>
    <row r="958" spans="1:28" ht="14.25" customHeight="1" x14ac:dyDescent="0.3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</row>
    <row r="959" spans="1:28" ht="14.25" customHeight="1" x14ac:dyDescent="0.3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</row>
    <row r="960" spans="1:28" ht="14.25" customHeight="1" x14ac:dyDescent="0.3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</row>
    <row r="961" spans="1:28" ht="14.25" customHeight="1" x14ac:dyDescent="0.3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</row>
    <row r="962" spans="1:28" ht="14.25" customHeight="1" x14ac:dyDescent="0.3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</row>
    <row r="963" spans="1:28" ht="14.25" customHeight="1" x14ac:dyDescent="0.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</row>
    <row r="964" spans="1:28" ht="14.25" customHeight="1" x14ac:dyDescent="0.3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</row>
    <row r="965" spans="1:28" ht="14.25" customHeight="1" x14ac:dyDescent="0.3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</row>
    <row r="966" spans="1:28" ht="14.25" customHeight="1" x14ac:dyDescent="0.3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</row>
    <row r="967" spans="1:28" ht="14.25" customHeight="1" x14ac:dyDescent="0.3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</row>
    <row r="968" spans="1:28" ht="14.25" customHeight="1" x14ac:dyDescent="0.3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</row>
    <row r="969" spans="1:28" ht="14.25" customHeight="1" x14ac:dyDescent="0.3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</row>
    <row r="970" spans="1:28" ht="14.25" customHeight="1" x14ac:dyDescent="0.3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</row>
    <row r="971" spans="1:28" ht="14.25" customHeight="1" x14ac:dyDescent="0.3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</row>
    <row r="972" spans="1:28" ht="14.25" customHeight="1" x14ac:dyDescent="0.3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</row>
    <row r="973" spans="1:28" ht="14.25" customHeight="1" x14ac:dyDescent="0.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</row>
    <row r="974" spans="1:28" ht="14.25" customHeight="1" x14ac:dyDescent="0.3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</row>
    <row r="975" spans="1:28" ht="14.25" customHeight="1" x14ac:dyDescent="0.3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</row>
    <row r="976" spans="1:28" ht="14.25" customHeight="1" x14ac:dyDescent="0.3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</row>
    <row r="977" spans="1:28" ht="14.25" customHeight="1" x14ac:dyDescent="0.3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</row>
    <row r="978" spans="1:28" ht="14.25" customHeight="1" x14ac:dyDescent="0.3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</row>
    <row r="979" spans="1:28" ht="14.25" customHeight="1" x14ac:dyDescent="0.3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</row>
    <row r="980" spans="1:28" ht="14.25" customHeight="1" x14ac:dyDescent="0.3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</row>
    <row r="981" spans="1:28" ht="14.25" customHeight="1" x14ac:dyDescent="0.3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</row>
    <row r="982" spans="1:28" ht="14.25" customHeight="1" x14ac:dyDescent="0.3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</row>
    <row r="983" spans="1:28" ht="14.25" customHeight="1" x14ac:dyDescent="0.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</row>
    <row r="984" spans="1:28" ht="14.25" customHeight="1" x14ac:dyDescent="0.3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</row>
    <row r="985" spans="1:28" ht="14.25" customHeight="1" x14ac:dyDescent="0.3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</row>
    <row r="986" spans="1:28" ht="14.25" customHeight="1" x14ac:dyDescent="0.3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</row>
    <row r="987" spans="1:28" ht="14.25" customHeight="1" x14ac:dyDescent="0.3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</row>
    <row r="988" spans="1:28" ht="14.25" customHeight="1" x14ac:dyDescent="0.3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</row>
    <row r="989" spans="1:28" ht="14.25" customHeight="1" x14ac:dyDescent="0.3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</row>
    <row r="990" spans="1:28" ht="14.25" customHeight="1" x14ac:dyDescent="0.3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</row>
    <row r="991" spans="1:28" ht="14.25" customHeight="1" x14ac:dyDescent="0.3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</row>
    <row r="992" spans="1:28" ht="14.25" customHeight="1" x14ac:dyDescent="0.3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</row>
    <row r="993" spans="1:28" ht="14.25" customHeight="1" x14ac:dyDescent="0.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</row>
    <row r="994" spans="1:28" ht="14.25" customHeight="1" x14ac:dyDescent="0.3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</row>
    <row r="995" spans="1:28" ht="14.25" customHeight="1" x14ac:dyDescent="0.3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</row>
    <row r="996" spans="1:28" ht="14.25" customHeight="1" x14ac:dyDescent="0.3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</row>
    <row r="997" spans="1:28" ht="14.25" customHeight="1" x14ac:dyDescent="0.3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</row>
    <row r="998" spans="1:28" ht="14.25" customHeight="1" x14ac:dyDescent="0.3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</row>
    <row r="999" spans="1:28" ht="14.25" customHeight="1" x14ac:dyDescent="0.3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</row>
    <row r="1000" spans="1:28" ht="14.25" customHeight="1" x14ac:dyDescent="0.3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</row>
    <row r="1001" spans="1:28" ht="14.25" customHeight="1" x14ac:dyDescent="0.3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</row>
    <row r="1002" spans="1:28" ht="14.25" customHeight="1" x14ac:dyDescent="0.3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</row>
    <row r="1003" spans="1:28" ht="14.25" customHeight="1" x14ac:dyDescent="0.3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</row>
    <row r="1004" spans="1:28" ht="14.25" customHeight="1" x14ac:dyDescent="0.3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</row>
    <row r="1005" spans="1:28" ht="14.25" customHeight="1" x14ac:dyDescent="0.3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</row>
    <row r="1006" spans="1:28" ht="14.25" customHeight="1" x14ac:dyDescent="0.3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</row>
    <row r="1007" spans="1:28" ht="14.25" customHeight="1" x14ac:dyDescent="0.3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</row>
    <row r="1008" spans="1:28" ht="14.25" customHeight="1" x14ac:dyDescent="0.3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</row>
    <row r="1009" spans="1:28" ht="14.25" customHeight="1" x14ac:dyDescent="0.3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</row>
    <row r="1010" spans="1:28" ht="14.25" customHeight="1" x14ac:dyDescent="0.3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</row>
    <row r="1011" spans="1:28" ht="14.25" customHeight="1" x14ac:dyDescent="0.3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</row>
    <row r="1012" spans="1:28" ht="14.25" customHeight="1" x14ac:dyDescent="0.3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  <c r="AB1012" s="10"/>
    </row>
    <row r="1013" spans="1:28" ht="14.25" customHeight="1" x14ac:dyDescent="0.3">
      <c r="A1013" s="10"/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</row>
    <row r="1014" spans="1:28" ht="14.25" customHeight="1" x14ac:dyDescent="0.3">
      <c r="A1014" s="10"/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  <c r="AB1014" s="10"/>
    </row>
    <row r="1015" spans="1:28" ht="14.25" customHeight="1" x14ac:dyDescent="0.3">
      <c r="A1015" s="10"/>
      <c r="B1015" s="10"/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  <c r="AB1015" s="10"/>
    </row>
    <row r="1016" spans="1:28" ht="14.25" customHeight="1" x14ac:dyDescent="0.3">
      <c r="A1016" s="10"/>
      <c r="B1016" s="10"/>
      <c r="C1016" s="10"/>
      <c r="D1016" s="10"/>
      <c r="E1016" s="10"/>
      <c r="F1016" s="10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  <c r="AA1016" s="10"/>
      <c r="AB1016" s="10"/>
    </row>
    <row r="1017" spans="1:28" ht="14.25" customHeight="1" x14ac:dyDescent="0.3">
      <c r="A1017" s="10"/>
      <c r="B1017" s="10"/>
      <c r="C1017" s="10"/>
      <c r="D1017" s="10"/>
      <c r="E1017" s="10"/>
      <c r="F1017" s="10"/>
      <c r="G1017" s="10"/>
      <c r="H1017" s="10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  <c r="AA1017" s="10"/>
      <c r="AB1017" s="10"/>
    </row>
    <row r="1018" spans="1:28" ht="14.25" customHeight="1" x14ac:dyDescent="0.3">
      <c r="A1018" s="10"/>
      <c r="B1018" s="10"/>
      <c r="C1018" s="10"/>
      <c r="D1018" s="10"/>
      <c r="E1018" s="10"/>
      <c r="F1018" s="10"/>
      <c r="G1018" s="10"/>
      <c r="H1018" s="10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  <c r="AA1018" s="10"/>
      <c r="AB1018" s="10"/>
    </row>
    <row r="1019" spans="1:28" ht="14.25" customHeight="1" x14ac:dyDescent="0.3">
      <c r="A1019" s="10"/>
      <c r="B1019" s="10"/>
      <c r="C1019" s="10"/>
      <c r="D1019" s="10"/>
      <c r="E1019" s="10"/>
      <c r="F1019" s="10"/>
      <c r="G1019" s="10"/>
      <c r="H1019" s="10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  <c r="AA1019" s="10"/>
      <c r="AB1019" s="10"/>
    </row>
    <row r="1020" spans="1:28" ht="14.25" customHeight="1" x14ac:dyDescent="0.3">
      <c r="A1020" s="10"/>
      <c r="B1020" s="10"/>
      <c r="C1020" s="10"/>
      <c r="D1020" s="10"/>
      <c r="E1020" s="10"/>
      <c r="F1020" s="10"/>
      <c r="G1020" s="10"/>
      <c r="H1020" s="10"/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  <c r="Z1020" s="10"/>
      <c r="AA1020" s="10"/>
      <c r="AB1020" s="10"/>
    </row>
    <row r="1021" spans="1:28" ht="14.25" customHeight="1" x14ac:dyDescent="0.3">
      <c r="A1021" s="10"/>
      <c r="B1021" s="10"/>
      <c r="C1021" s="10"/>
      <c r="D1021" s="10"/>
      <c r="E1021" s="10"/>
      <c r="F1021" s="10"/>
      <c r="G1021" s="10"/>
      <c r="H1021" s="10"/>
      <c r="I1021" s="10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  <c r="Y1021" s="10"/>
      <c r="Z1021" s="10"/>
      <c r="AA1021" s="10"/>
      <c r="AB1021" s="10"/>
    </row>
    <row r="1022" spans="1:28" ht="14.25" customHeight="1" x14ac:dyDescent="0.3">
      <c r="A1022" s="10"/>
      <c r="B1022" s="10"/>
      <c r="C1022" s="10"/>
      <c r="D1022" s="10"/>
      <c r="E1022" s="10"/>
      <c r="F1022" s="10"/>
      <c r="G1022" s="10"/>
      <c r="H1022" s="10"/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  <c r="Y1022" s="10"/>
      <c r="Z1022" s="10"/>
      <c r="AA1022" s="10"/>
      <c r="AB1022" s="10"/>
    </row>
    <row r="1023" spans="1:28" ht="14.25" customHeight="1" x14ac:dyDescent="0.3">
      <c r="A1023" s="10"/>
      <c r="B1023" s="10"/>
      <c r="C1023" s="10"/>
      <c r="D1023" s="10"/>
      <c r="E1023" s="10"/>
      <c r="F1023" s="10"/>
      <c r="G1023" s="10"/>
      <c r="H1023" s="10"/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  <c r="Y1023" s="10"/>
      <c r="Z1023" s="10"/>
      <c r="AA1023" s="10"/>
      <c r="AB1023" s="10"/>
    </row>
    <row r="1024" spans="1:28" ht="14.25" customHeight="1" x14ac:dyDescent="0.3">
      <c r="A1024" s="10"/>
      <c r="B1024" s="10"/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  <c r="Y1024" s="10"/>
      <c r="Z1024" s="10"/>
      <c r="AA1024" s="10"/>
      <c r="AB1024" s="10"/>
    </row>
    <row r="1025" spans="1:28" ht="14.25" customHeight="1" x14ac:dyDescent="0.3">
      <c r="A1025" s="10"/>
      <c r="B1025" s="10"/>
      <c r="C1025" s="10"/>
      <c r="D1025" s="10"/>
      <c r="E1025" s="10"/>
      <c r="F1025" s="10"/>
      <c r="G1025" s="10"/>
      <c r="H1025" s="10"/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  <c r="Y1025" s="10"/>
      <c r="Z1025" s="10"/>
      <c r="AA1025" s="10"/>
      <c r="AB1025" s="10"/>
    </row>
    <row r="1026" spans="1:28" ht="14.25" customHeight="1" x14ac:dyDescent="0.3">
      <c r="A1026" s="10"/>
      <c r="B1026" s="10"/>
      <c r="C1026" s="10"/>
      <c r="D1026" s="10"/>
      <c r="E1026" s="10"/>
      <c r="F1026" s="10"/>
      <c r="G1026" s="10"/>
      <c r="H1026" s="10"/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  <c r="Y1026" s="10"/>
      <c r="Z1026" s="10"/>
      <c r="AA1026" s="10"/>
      <c r="AB1026" s="10"/>
    </row>
    <row r="1027" spans="1:28" ht="14.25" customHeight="1" x14ac:dyDescent="0.3">
      <c r="A1027" s="10"/>
      <c r="B1027" s="10"/>
      <c r="C1027" s="10"/>
      <c r="D1027" s="10"/>
      <c r="E1027" s="10"/>
      <c r="F1027" s="10"/>
      <c r="G1027" s="10"/>
      <c r="H1027" s="10"/>
      <c r="I1027" s="10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  <c r="X1027" s="10"/>
      <c r="Y1027" s="10"/>
      <c r="Z1027" s="10"/>
      <c r="AA1027" s="10"/>
      <c r="AB1027" s="10"/>
    </row>
    <row r="1028" spans="1:28" ht="14.25" customHeight="1" x14ac:dyDescent="0.3">
      <c r="A1028" s="10"/>
      <c r="B1028" s="10"/>
      <c r="C1028" s="10"/>
      <c r="D1028" s="10"/>
      <c r="E1028" s="10"/>
      <c r="F1028" s="10"/>
      <c r="G1028" s="10"/>
      <c r="H1028" s="10"/>
      <c r="I1028" s="10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0"/>
      <c r="Y1028" s="10"/>
      <c r="Z1028" s="10"/>
      <c r="AA1028" s="10"/>
      <c r="AB1028" s="10"/>
    </row>
    <row r="1029" spans="1:28" ht="14.25" customHeight="1" x14ac:dyDescent="0.3">
      <c r="A1029" s="10"/>
      <c r="B1029" s="10"/>
      <c r="C1029" s="10"/>
      <c r="D1029" s="10"/>
      <c r="E1029" s="10"/>
      <c r="F1029" s="10"/>
      <c r="G1029" s="10"/>
      <c r="H1029" s="10"/>
      <c r="I1029" s="10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  <c r="X1029" s="10"/>
      <c r="Y1029" s="10"/>
      <c r="Z1029" s="10"/>
      <c r="AA1029" s="10"/>
      <c r="AB1029" s="10"/>
    </row>
    <row r="1030" spans="1:28" ht="14.25" customHeight="1" x14ac:dyDescent="0.3">
      <c r="A1030" s="10"/>
      <c r="B1030" s="10"/>
      <c r="C1030" s="10"/>
      <c r="D1030" s="10"/>
      <c r="E1030" s="10"/>
      <c r="F1030" s="10"/>
      <c r="G1030" s="10"/>
      <c r="H1030" s="10"/>
      <c r="I1030" s="10"/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  <c r="X1030" s="10"/>
      <c r="Y1030" s="10"/>
      <c r="Z1030" s="10"/>
      <c r="AA1030" s="10"/>
      <c r="AB1030" s="10"/>
    </row>
    <row r="1031" spans="1:28" ht="14.25" customHeight="1" x14ac:dyDescent="0.3">
      <c r="A1031" s="10"/>
      <c r="B1031" s="10"/>
      <c r="C1031" s="10"/>
      <c r="D1031" s="10"/>
      <c r="E1031" s="10"/>
      <c r="F1031" s="10"/>
      <c r="G1031" s="10"/>
      <c r="H1031" s="10"/>
      <c r="I1031" s="10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  <c r="X1031" s="10"/>
      <c r="Y1031" s="10"/>
      <c r="Z1031" s="10"/>
      <c r="AA1031" s="10"/>
      <c r="AB1031" s="10"/>
    </row>
    <row r="1032" spans="1:28" ht="14.25" customHeight="1" x14ac:dyDescent="0.3">
      <c r="A1032" s="10"/>
      <c r="B1032" s="10"/>
      <c r="C1032" s="10"/>
      <c r="D1032" s="10"/>
      <c r="E1032" s="10"/>
      <c r="F1032" s="10"/>
      <c r="G1032" s="10"/>
      <c r="H1032" s="10"/>
      <c r="I1032" s="10"/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  <c r="W1032" s="10"/>
      <c r="X1032" s="10"/>
      <c r="Y1032" s="10"/>
      <c r="Z1032" s="10"/>
      <c r="AA1032" s="10"/>
      <c r="AB1032" s="10"/>
    </row>
    <row r="1033" spans="1:28" ht="14.25" customHeight="1" x14ac:dyDescent="0.3">
      <c r="A1033" s="10"/>
      <c r="B1033" s="10"/>
      <c r="C1033" s="10"/>
      <c r="D1033" s="10"/>
      <c r="E1033" s="10"/>
      <c r="F1033" s="10"/>
      <c r="G1033" s="10"/>
      <c r="H1033" s="10"/>
      <c r="I1033" s="10"/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10"/>
      <c r="X1033" s="10"/>
      <c r="Y1033" s="10"/>
      <c r="Z1033" s="10"/>
      <c r="AA1033" s="10"/>
      <c r="AB1033" s="10"/>
    </row>
    <row r="1034" spans="1:28" ht="14.25" customHeight="1" x14ac:dyDescent="0.3">
      <c r="A1034" s="10"/>
      <c r="B1034" s="10"/>
      <c r="C1034" s="10"/>
      <c r="D1034" s="10"/>
      <c r="E1034" s="10"/>
      <c r="F1034" s="10"/>
      <c r="G1034" s="10"/>
      <c r="H1034" s="10"/>
      <c r="I1034" s="10"/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  <c r="X1034" s="10"/>
      <c r="Y1034" s="10"/>
      <c r="Z1034" s="10"/>
      <c r="AA1034" s="10"/>
      <c r="AB1034" s="10"/>
    </row>
    <row r="1035" spans="1:28" ht="14.25" customHeight="1" x14ac:dyDescent="0.3">
      <c r="A1035" s="10"/>
      <c r="B1035" s="10"/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0"/>
      <c r="X1035" s="10"/>
      <c r="Y1035" s="10"/>
      <c r="Z1035" s="10"/>
      <c r="AA1035" s="10"/>
      <c r="AB1035" s="10"/>
    </row>
    <row r="1036" spans="1:28" ht="14.25" customHeight="1" x14ac:dyDescent="0.3">
      <c r="A1036" s="10"/>
      <c r="B1036" s="10"/>
      <c r="C1036" s="10"/>
      <c r="D1036" s="10"/>
      <c r="E1036" s="10"/>
      <c r="F1036" s="10"/>
      <c r="G1036" s="10"/>
      <c r="H1036" s="10"/>
      <c r="I1036" s="10"/>
      <c r="J1036" s="10"/>
      <c r="K1036" s="10"/>
      <c r="L1036" s="10"/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  <c r="W1036" s="10"/>
      <c r="X1036" s="10"/>
      <c r="Y1036" s="10"/>
      <c r="Z1036" s="10"/>
      <c r="AA1036" s="10"/>
      <c r="AB1036" s="10"/>
    </row>
    <row r="1037" spans="1:28" ht="14.25" customHeight="1" x14ac:dyDescent="0.3">
      <c r="A1037" s="10"/>
      <c r="B1037" s="10"/>
      <c r="C1037" s="10"/>
      <c r="D1037" s="10"/>
      <c r="E1037" s="10"/>
      <c r="F1037" s="10"/>
      <c r="G1037" s="10"/>
      <c r="H1037" s="10"/>
      <c r="I1037" s="10"/>
      <c r="J1037" s="10"/>
      <c r="K1037" s="10"/>
      <c r="L1037" s="10"/>
      <c r="M1037" s="10"/>
      <c r="N1037" s="10"/>
      <c r="O1037" s="10"/>
      <c r="P1037" s="10"/>
      <c r="Q1037" s="10"/>
      <c r="R1037" s="10"/>
      <c r="S1037" s="10"/>
      <c r="T1037" s="10"/>
      <c r="U1037" s="10"/>
      <c r="V1037" s="10"/>
      <c r="W1037" s="10"/>
      <c r="X1037" s="10"/>
      <c r="Y1037" s="10"/>
      <c r="Z1037" s="10"/>
      <c r="AA1037" s="10"/>
      <c r="AB1037" s="10"/>
    </row>
    <row r="1038" spans="1:28" ht="14.25" customHeight="1" x14ac:dyDescent="0.3">
      <c r="A1038" s="10"/>
      <c r="B1038" s="10"/>
      <c r="C1038" s="10"/>
      <c r="D1038" s="10"/>
      <c r="E1038" s="10"/>
      <c r="F1038" s="10"/>
      <c r="G1038" s="10"/>
      <c r="H1038" s="10"/>
      <c r="I1038" s="10"/>
      <c r="J1038" s="10"/>
      <c r="K1038" s="10"/>
      <c r="L1038" s="10"/>
      <c r="M1038" s="10"/>
      <c r="N1038" s="10"/>
      <c r="O1038" s="10"/>
      <c r="P1038" s="10"/>
      <c r="Q1038" s="10"/>
      <c r="R1038" s="10"/>
      <c r="S1038" s="10"/>
      <c r="T1038" s="10"/>
      <c r="U1038" s="10"/>
      <c r="V1038" s="10"/>
      <c r="W1038" s="10"/>
      <c r="X1038" s="10"/>
      <c r="Y1038" s="10"/>
      <c r="Z1038" s="10"/>
      <c r="AA1038" s="10"/>
      <c r="AB1038" s="10"/>
    </row>
    <row r="1039" spans="1:28" ht="14.25" customHeight="1" x14ac:dyDescent="0.3">
      <c r="A1039" s="10"/>
      <c r="B1039" s="10"/>
      <c r="C1039" s="10"/>
      <c r="D1039" s="10"/>
      <c r="E1039" s="10"/>
      <c r="F1039" s="10"/>
      <c r="G1039" s="10"/>
      <c r="H1039" s="10"/>
      <c r="I1039" s="10"/>
      <c r="J1039" s="10"/>
      <c r="K1039" s="10"/>
      <c r="L1039" s="10"/>
      <c r="M1039" s="10"/>
      <c r="N1039" s="10"/>
      <c r="O1039" s="10"/>
      <c r="P1039" s="10"/>
      <c r="Q1039" s="10"/>
      <c r="R1039" s="10"/>
      <c r="S1039" s="10"/>
      <c r="T1039" s="10"/>
      <c r="U1039" s="10"/>
      <c r="V1039" s="10"/>
      <c r="W1039" s="10"/>
      <c r="X1039" s="10"/>
      <c r="Y1039" s="10"/>
      <c r="Z1039" s="10"/>
      <c r="AA1039" s="10"/>
      <c r="AB1039" s="10"/>
    </row>
    <row r="1040" spans="1:28" ht="14.25" customHeight="1" x14ac:dyDescent="0.3">
      <c r="A1040" s="10"/>
      <c r="B1040" s="10"/>
      <c r="C1040" s="10"/>
      <c r="D1040" s="10"/>
      <c r="E1040" s="10"/>
      <c r="F1040" s="10"/>
      <c r="G1040" s="10"/>
      <c r="H1040" s="10"/>
      <c r="I1040" s="10"/>
      <c r="J1040" s="10"/>
      <c r="K1040" s="10"/>
      <c r="L1040" s="10"/>
      <c r="M1040" s="10"/>
      <c r="N1040" s="10"/>
      <c r="O1040" s="10"/>
      <c r="P1040" s="10"/>
      <c r="Q1040" s="10"/>
      <c r="R1040" s="10"/>
      <c r="S1040" s="10"/>
      <c r="T1040" s="10"/>
      <c r="U1040" s="10"/>
      <c r="V1040" s="10"/>
      <c r="W1040" s="10"/>
      <c r="X1040" s="10"/>
      <c r="Y1040" s="10"/>
      <c r="Z1040" s="10"/>
      <c r="AA1040" s="10"/>
      <c r="AB1040" s="10"/>
    </row>
    <row r="1041" spans="1:28" ht="14.25" customHeight="1" x14ac:dyDescent="0.3">
      <c r="A1041" s="10"/>
      <c r="B1041" s="10"/>
      <c r="C1041" s="10"/>
      <c r="D1041" s="10"/>
      <c r="E1041" s="10"/>
      <c r="F1041" s="10"/>
      <c r="G1041" s="10"/>
      <c r="H1041" s="10"/>
      <c r="I1041" s="10"/>
      <c r="J1041" s="10"/>
      <c r="K1041" s="10"/>
      <c r="L1041" s="10"/>
      <c r="M1041" s="10"/>
      <c r="N1041" s="10"/>
      <c r="O1041" s="10"/>
      <c r="P1041" s="10"/>
      <c r="Q1041" s="10"/>
      <c r="R1041" s="10"/>
      <c r="S1041" s="10"/>
      <c r="T1041" s="10"/>
      <c r="U1041" s="10"/>
      <c r="V1041" s="10"/>
      <c r="W1041" s="10"/>
      <c r="X1041" s="10"/>
      <c r="Y1041" s="10"/>
      <c r="Z1041" s="10"/>
      <c r="AA1041" s="10"/>
      <c r="AB1041" s="10"/>
    </row>
    <row r="1042" spans="1:28" ht="14.25" customHeight="1" x14ac:dyDescent="0.3">
      <c r="A1042" s="10"/>
      <c r="B1042" s="10"/>
      <c r="C1042" s="10"/>
      <c r="D1042" s="10"/>
      <c r="E1042" s="10"/>
      <c r="F1042" s="10"/>
      <c r="G1042" s="10"/>
      <c r="H1042" s="10"/>
      <c r="I1042" s="10"/>
      <c r="J1042" s="10"/>
      <c r="K1042" s="10"/>
      <c r="L1042" s="10"/>
      <c r="M1042" s="10"/>
      <c r="N1042" s="10"/>
      <c r="O1042" s="10"/>
      <c r="P1042" s="10"/>
      <c r="Q1042" s="10"/>
      <c r="R1042" s="10"/>
      <c r="S1042" s="10"/>
      <c r="T1042" s="10"/>
      <c r="U1042" s="10"/>
      <c r="V1042" s="10"/>
      <c r="W1042" s="10"/>
      <c r="X1042" s="10"/>
      <c r="Y1042" s="10"/>
      <c r="Z1042" s="10"/>
      <c r="AA1042" s="10"/>
      <c r="AB1042" s="10"/>
    </row>
    <row r="1043" spans="1:28" ht="14.25" customHeight="1" x14ac:dyDescent="0.3">
      <c r="A1043" s="10"/>
      <c r="B1043" s="10"/>
      <c r="C1043" s="10"/>
      <c r="D1043" s="10"/>
      <c r="E1043" s="10"/>
      <c r="F1043" s="10"/>
      <c r="G1043" s="10"/>
      <c r="H1043" s="10"/>
      <c r="I1043" s="10"/>
      <c r="J1043" s="10"/>
      <c r="K1043" s="10"/>
      <c r="L1043" s="10"/>
      <c r="M1043" s="10"/>
      <c r="N1043" s="10"/>
      <c r="O1043" s="10"/>
      <c r="P1043" s="10"/>
      <c r="Q1043" s="10"/>
      <c r="R1043" s="10"/>
      <c r="S1043" s="10"/>
      <c r="T1043" s="10"/>
      <c r="U1043" s="10"/>
      <c r="V1043" s="10"/>
      <c r="W1043" s="10"/>
      <c r="X1043" s="10"/>
      <c r="Y1043" s="10"/>
      <c r="Z1043" s="10"/>
      <c r="AA1043" s="10"/>
      <c r="AB1043" s="10"/>
    </row>
    <row r="1044" spans="1:28" ht="14.25" customHeight="1" x14ac:dyDescent="0.3">
      <c r="A1044" s="10"/>
      <c r="B1044" s="10"/>
      <c r="C1044" s="10"/>
      <c r="D1044" s="10"/>
      <c r="E1044" s="10"/>
      <c r="F1044" s="10"/>
      <c r="G1044" s="10"/>
      <c r="H1044" s="10"/>
      <c r="I1044" s="10"/>
      <c r="J1044" s="10"/>
      <c r="K1044" s="10"/>
      <c r="L1044" s="10"/>
      <c r="M1044" s="10"/>
      <c r="N1044" s="10"/>
      <c r="O1044" s="10"/>
      <c r="P1044" s="10"/>
      <c r="Q1044" s="10"/>
      <c r="R1044" s="10"/>
      <c r="S1044" s="10"/>
      <c r="T1044" s="10"/>
      <c r="U1044" s="10"/>
      <c r="V1044" s="10"/>
      <c r="W1044" s="10"/>
      <c r="X1044" s="10"/>
      <c r="Y1044" s="10"/>
      <c r="Z1044" s="10"/>
      <c r="AA1044" s="10"/>
      <c r="AB1044" s="10"/>
    </row>
    <row r="1045" spans="1:28" ht="14.25" customHeight="1" x14ac:dyDescent="0.3">
      <c r="A1045" s="10"/>
      <c r="B1045" s="10"/>
      <c r="C1045" s="10"/>
      <c r="D1045" s="10"/>
      <c r="E1045" s="10"/>
      <c r="F1045" s="10"/>
      <c r="G1045" s="10"/>
      <c r="H1045" s="10"/>
      <c r="I1045" s="10"/>
      <c r="J1045" s="10"/>
      <c r="K1045" s="10"/>
      <c r="L1045" s="10"/>
      <c r="M1045" s="10"/>
      <c r="N1045" s="10"/>
      <c r="O1045" s="10"/>
      <c r="P1045" s="10"/>
      <c r="Q1045" s="10"/>
      <c r="R1045" s="10"/>
      <c r="S1045" s="10"/>
      <c r="T1045" s="10"/>
      <c r="U1045" s="10"/>
      <c r="V1045" s="10"/>
      <c r="W1045" s="10"/>
      <c r="X1045" s="10"/>
      <c r="Y1045" s="10"/>
      <c r="Z1045" s="10"/>
      <c r="AA1045" s="10"/>
      <c r="AB1045" s="10"/>
    </row>
    <row r="1046" spans="1:28" ht="14.25" customHeight="1" x14ac:dyDescent="0.3">
      <c r="A1046" s="10"/>
      <c r="B1046" s="10"/>
      <c r="C1046" s="10"/>
      <c r="D1046" s="10"/>
      <c r="E1046" s="10"/>
      <c r="F1046" s="10"/>
      <c r="G1046" s="10"/>
      <c r="H1046" s="10"/>
      <c r="I1046" s="10"/>
      <c r="J1046" s="10"/>
      <c r="K1046" s="10"/>
      <c r="L1046" s="10"/>
      <c r="M1046" s="10"/>
      <c r="N1046" s="10"/>
      <c r="O1046" s="10"/>
      <c r="P1046" s="10"/>
      <c r="Q1046" s="10"/>
      <c r="R1046" s="10"/>
      <c r="S1046" s="10"/>
      <c r="T1046" s="10"/>
      <c r="U1046" s="10"/>
      <c r="V1046" s="10"/>
      <c r="W1046" s="10"/>
      <c r="X1046" s="10"/>
      <c r="Y1046" s="10"/>
      <c r="Z1046" s="10"/>
      <c r="AA1046" s="10"/>
      <c r="AB1046" s="10"/>
    </row>
    <row r="1047" spans="1:28" ht="14.25" customHeight="1" x14ac:dyDescent="0.3">
      <c r="A1047" s="10"/>
      <c r="B1047" s="10"/>
      <c r="C1047" s="10"/>
      <c r="D1047" s="10"/>
      <c r="E1047" s="10"/>
      <c r="F1047" s="10"/>
      <c r="G1047" s="10"/>
      <c r="H1047" s="10"/>
      <c r="I1047" s="10"/>
      <c r="J1047" s="10"/>
      <c r="K1047" s="10"/>
      <c r="L1047" s="10"/>
      <c r="M1047" s="10"/>
      <c r="N1047" s="10"/>
      <c r="O1047" s="10"/>
      <c r="P1047" s="10"/>
      <c r="Q1047" s="10"/>
      <c r="R1047" s="10"/>
      <c r="S1047" s="10"/>
      <c r="T1047" s="10"/>
      <c r="U1047" s="10"/>
      <c r="V1047" s="10"/>
      <c r="W1047" s="10"/>
      <c r="X1047" s="10"/>
      <c r="Y1047" s="10"/>
      <c r="Z1047" s="10"/>
      <c r="AA1047" s="10"/>
      <c r="AB1047" s="10"/>
    </row>
    <row r="1048" spans="1:28" ht="14.25" customHeight="1" x14ac:dyDescent="0.3">
      <c r="A1048" s="10"/>
      <c r="B1048" s="10"/>
      <c r="C1048" s="10"/>
      <c r="D1048" s="10"/>
      <c r="E1048" s="10"/>
      <c r="F1048" s="10"/>
      <c r="G1048" s="10"/>
      <c r="H1048" s="10"/>
      <c r="I1048" s="10"/>
      <c r="J1048" s="10"/>
      <c r="K1048" s="10"/>
      <c r="L1048" s="10"/>
      <c r="M1048" s="10"/>
      <c r="N1048" s="10"/>
      <c r="O1048" s="10"/>
      <c r="P1048" s="10"/>
      <c r="Q1048" s="10"/>
      <c r="R1048" s="10"/>
      <c r="S1048" s="10"/>
      <c r="T1048" s="10"/>
      <c r="U1048" s="10"/>
      <c r="V1048" s="10"/>
      <c r="W1048" s="10"/>
      <c r="X1048" s="10"/>
      <c r="Y1048" s="10"/>
      <c r="Z1048" s="10"/>
      <c r="AA1048" s="10"/>
      <c r="AB1048" s="10"/>
    </row>
    <row r="1049" spans="1:28" ht="14.25" customHeight="1" x14ac:dyDescent="0.3">
      <c r="A1049" s="10"/>
      <c r="B1049" s="10"/>
      <c r="C1049" s="10"/>
      <c r="D1049" s="10"/>
      <c r="E1049" s="10"/>
      <c r="F1049" s="10"/>
      <c r="G1049" s="10"/>
      <c r="H1049" s="10"/>
      <c r="I1049" s="10"/>
      <c r="J1049" s="10"/>
      <c r="K1049" s="10"/>
      <c r="L1049" s="10"/>
      <c r="M1049" s="10"/>
      <c r="N1049" s="10"/>
      <c r="O1049" s="10"/>
      <c r="P1049" s="10"/>
      <c r="Q1049" s="10"/>
      <c r="R1049" s="10"/>
      <c r="S1049" s="10"/>
      <c r="T1049" s="10"/>
      <c r="U1049" s="10"/>
      <c r="V1049" s="10"/>
      <c r="W1049" s="10"/>
      <c r="X1049" s="10"/>
      <c r="Y1049" s="10"/>
      <c r="Z1049" s="10"/>
      <c r="AA1049" s="10"/>
      <c r="AB1049" s="10"/>
    </row>
    <row r="1050" spans="1:28" ht="14.25" customHeight="1" x14ac:dyDescent="0.3">
      <c r="A1050" s="10"/>
      <c r="B1050" s="10"/>
      <c r="C1050" s="10"/>
      <c r="D1050" s="10"/>
      <c r="E1050" s="10"/>
      <c r="F1050" s="10"/>
      <c r="G1050" s="10"/>
      <c r="H1050" s="10"/>
      <c r="I1050" s="10"/>
      <c r="J1050" s="10"/>
      <c r="K1050" s="10"/>
      <c r="L1050" s="10"/>
      <c r="M1050" s="10"/>
      <c r="N1050" s="10"/>
      <c r="O1050" s="10"/>
      <c r="P1050" s="10"/>
      <c r="Q1050" s="10"/>
      <c r="R1050" s="10"/>
      <c r="S1050" s="10"/>
      <c r="T1050" s="10"/>
      <c r="U1050" s="10"/>
      <c r="V1050" s="10"/>
      <c r="W1050" s="10"/>
      <c r="X1050" s="10"/>
      <c r="Y1050" s="10"/>
      <c r="Z1050" s="10"/>
      <c r="AA1050" s="10"/>
      <c r="AB1050" s="10"/>
    </row>
    <row r="1051" spans="1:28" ht="14.25" customHeight="1" x14ac:dyDescent="0.3">
      <c r="A1051" s="10"/>
      <c r="B1051" s="10"/>
      <c r="C1051" s="10"/>
      <c r="D1051" s="10"/>
      <c r="E1051" s="10"/>
      <c r="F1051" s="10"/>
      <c r="G1051" s="10"/>
      <c r="H1051" s="10"/>
      <c r="I1051" s="10"/>
      <c r="J1051" s="10"/>
      <c r="K1051" s="10"/>
      <c r="L1051" s="10"/>
      <c r="M1051" s="10"/>
      <c r="N1051" s="10"/>
      <c r="O1051" s="10"/>
      <c r="P1051" s="10"/>
      <c r="Q1051" s="10"/>
      <c r="R1051" s="10"/>
      <c r="S1051" s="10"/>
      <c r="T1051" s="10"/>
      <c r="U1051" s="10"/>
      <c r="V1051" s="10"/>
      <c r="W1051" s="10"/>
      <c r="X1051" s="10"/>
      <c r="Y1051" s="10"/>
      <c r="Z1051" s="10"/>
      <c r="AA1051" s="10"/>
      <c r="AB1051" s="10"/>
    </row>
    <row r="1052" spans="1:28" ht="14.25" customHeight="1" x14ac:dyDescent="0.3">
      <c r="A1052" s="10"/>
      <c r="B1052" s="10"/>
      <c r="C1052" s="10"/>
      <c r="D1052" s="10"/>
      <c r="E1052" s="10"/>
      <c r="F1052" s="10"/>
      <c r="G1052" s="10"/>
      <c r="H1052" s="10"/>
      <c r="I1052" s="10"/>
      <c r="J1052" s="10"/>
      <c r="K1052" s="10"/>
      <c r="L1052" s="10"/>
      <c r="M1052" s="10"/>
      <c r="N1052" s="10"/>
      <c r="O1052" s="10"/>
      <c r="P1052" s="10"/>
      <c r="Q1052" s="10"/>
      <c r="R1052" s="10"/>
      <c r="S1052" s="10"/>
      <c r="T1052" s="10"/>
      <c r="U1052" s="10"/>
      <c r="V1052" s="10"/>
      <c r="W1052" s="10"/>
      <c r="X1052" s="10"/>
      <c r="Y1052" s="10"/>
      <c r="Z1052" s="10"/>
      <c r="AA1052" s="10"/>
      <c r="AB1052" s="10"/>
    </row>
    <row r="1053" spans="1:28" ht="14.25" customHeight="1" x14ac:dyDescent="0.3">
      <c r="A1053" s="10"/>
      <c r="B1053" s="10"/>
      <c r="C1053" s="10"/>
      <c r="D1053" s="10"/>
      <c r="E1053" s="10"/>
      <c r="F1053" s="10"/>
      <c r="G1053" s="10"/>
      <c r="H1053" s="10"/>
      <c r="I1053" s="10"/>
      <c r="J1053" s="10"/>
      <c r="K1053" s="10"/>
      <c r="L1053" s="10"/>
      <c r="M1053" s="10"/>
      <c r="N1053" s="10"/>
      <c r="O1053" s="10"/>
      <c r="P1053" s="10"/>
      <c r="Q1053" s="10"/>
      <c r="R1053" s="10"/>
      <c r="S1053" s="10"/>
      <c r="T1053" s="10"/>
      <c r="U1053" s="10"/>
      <c r="V1053" s="10"/>
      <c r="W1053" s="10"/>
      <c r="X1053" s="10"/>
      <c r="Y1053" s="10"/>
      <c r="Z1053" s="10"/>
      <c r="AA1053" s="10"/>
      <c r="AB1053" s="10"/>
    </row>
    <row r="1054" spans="1:28" ht="14.25" customHeight="1" x14ac:dyDescent="0.3">
      <c r="A1054" s="10"/>
      <c r="B1054" s="10"/>
      <c r="C1054" s="10"/>
      <c r="D1054" s="10"/>
      <c r="E1054" s="10"/>
      <c r="F1054" s="10"/>
      <c r="G1054" s="10"/>
      <c r="H1054" s="10"/>
      <c r="I1054" s="10"/>
      <c r="J1054" s="10"/>
      <c r="K1054" s="10"/>
      <c r="L1054" s="10"/>
      <c r="M1054" s="10"/>
      <c r="N1054" s="10"/>
      <c r="O1054" s="10"/>
      <c r="P1054" s="10"/>
      <c r="Q1054" s="10"/>
      <c r="R1054" s="10"/>
      <c r="S1054" s="10"/>
      <c r="T1054" s="10"/>
      <c r="U1054" s="10"/>
      <c r="V1054" s="10"/>
      <c r="W1054" s="10"/>
      <c r="X1054" s="10"/>
      <c r="Y1054" s="10"/>
      <c r="Z1054" s="10"/>
      <c r="AA1054" s="10"/>
      <c r="AB1054" s="10"/>
    </row>
    <row r="1055" spans="1:28" ht="14.25" customHeight="1" x14ac:dyDescent="0.3">
      <c r="A1055" s="10"/>
      <c r="B1055" s="10"/>
      <c r="C1055" s="10"/>
      <c r="D1055" s="10"/>
      <c r="E1055" s="10"/>
      <c r="F1055" s="10"/>
      <c r="G1055" s="10"/>
      <c r="H1055" s="10"/>
      <c r="I1055" s="10"/>
      <c r="J1055" s="10"/>
      <c r="K1055" s="10"/>
      <c r="L1055" s="10"/>
      <c r="M1055" s="10"/>
      <c r="N1055" s="10"/>
      <c r="O1055" s="10"/>
      <c r="P1055" s="10"/>
      <c r="Q1055" s="10"/>
      <c r="R1055" s="10"/>
      <c r="S1055" s="10"/>
      <c r="T1055" s="10"/>
      <c r="U1055" s="10"/>
      <c r="V1055" s="10"/>
      <c r="W1055" s="10"/>
      <c r="X1055" s="10"/>
      <c r="Y1055" s="10"/>
      <c r="Z1055" s="10"/>
      <c r="AA1055" s="10"/>
      <c r="AB1055" s="10"/>
    </row>
    <row r="1056" spans="1:28" ht="14.25" customHeight="1" x14ac:dyDescent="0.3">
      <c r="A1056" s="10"/>
      <c r="B1056" s="10"/>
      <c r="C1056" s="10"/>
      <c r="D1056" s="10"/>
      <c r="E1056" s="10"/>
      <c r="F1056" s="10"/>
      <c r="G1056" s="10"/>
      <c r="H1056" s="10"/>
      <c r="I1056" s="10"/>
      <c r="J1056" s="10"/>
      <c r="K1056" s="10"/>
      <c r="L1056" s="10"/>
      <c r="M1056" s="10"/>
      <c r="N1056" s="10"/>
      <c r="O1056" s="10"/>
      <c r="P1056" s="10"/>
      <c r="Q1056" s="10"/>
      <c r="R1056" s="10"/>
      <c r="S1056" s="10"/>
      <c r="T1056" s="10"/>
      <c r="U1056" s="10"/>
      <c r="V1056" s="10"/>
      <c r="W1056" s="10"/>
      <c r="X1056" s="10"/>
      <c r="Y1056" s="10"/>
      <c r="Z1056" s="10"/>
      <c r="AA1056" s="10"/>
      <c r="AB1056" s="10"/>
    </row>
    <row r="1057" spans="1:28" ht="14.25" customHeight="1" x14ac:dyDescent="0.3">
      <c r="A1057" s="10"/>
      <c r="B1057" s="10"/>
      <c r="C1057" s="10"/>
      <c r="D1057" s="10"/>
      <c r="E1057" s="10"/>
      <c r="F1057" s="10"/>
      <c r="G1057" s="10"/>
      <c r="H1057" s="10"/>
      <c r="I1057" s="10"/>
      <c r="J1057" s="10"/>
      <c r="K1057" s="10"/>
      <c r="L1057" s="10"/>
      <c r="M1057" s="10"/>
      <c r="N1057" s="10"/>
      <c r="O1057" s="10"/>
      <c r="P1057" s="10"/>
      <c r="Q1057" s="10"/>
      <c r="R1057" s="10"/>
      <c r="S1057" s="10"/>
      <c r="T1057" s="10"/>
      <c r="U1057" s="10"/>
      <c r="V1057" s="10"/>
      <c r="W1057" s="10"/>
      <c r="X1057" s="10"/>
      <c r="Y1057" s="10"/>
      <c r="Z1057" s="10"/>
      <c r="AA1057" s="10"/>
      <c r="AB1057" s="10"/>
    </row>
    <row r="1058" spans="1:28" ht="14.25" customHeight="1" x14ac:dyDescent="0.3">
      <c r="A1058" s="10"/>
      <c r="B1058" s="10"/>
      <c r="C1058" s="10"/>
      <c r="D1058" s="10"/>
      <c r="E1058" s="10"/>
      <c r="F1058" s="10"/>
      <c r="G1058" s="10"/>
      <c r="H1058" s="10"/>
      <c r="I1058" s="10"/>
      <c r="J1058" s="10"/>
      <c r="K1058" s="10"/>
      <c r="L1058" s="10"/>
      <c r="M1058" s="10"/>
      <c r="N1058" s="10"/>
      <c r="O1058" s="10"/>
      <c r="P1058" s="10"/>
      <c r="Q1058" s="10"/>
      <c r="R1058" s="10"/>
      <c r="S1058" s="10"/>
      <c r="T1058" s="10"/>
      <c r="U1058" s="10"/>
      <c r="V1058" s="10"/>
      <c r="W1058" s="10"/>
      <c r="X1058" s="10"/>
      <c r="Y1058" s="10"/>
      <c r="Z1058" s="10"/>
      <c r="AA1058" s="10"/>
      <c r="AB1058" s="10"/>
    </row>
    <row r="1059" spans="1:28" ht="14.25" customHeight="1" x14ac:dyDescent="0.3">
      <c r="A1059" s="10"/>
      <c r="B1059" s="10"/>
      <c r="C1059" s="10"/>
      <c r="D1059" s="10"/>
      <c r="E1059" s="10"/>
      <c r="F1059" s="10"/>
      <c r="G1059" s="10"/>
      <c r="H1059" s="10"/>
      <c r="I1059" s="10"/>
      <c r="J1059" s="10"/>
      <c r="K1059" s="10"/>
      <c r="L1059" s="10"/>
      <c r="M1059" s="10"/>
      <c r="N1059" s="10"/>
      <c r="O1059" s="10"/>
      <c r="P1059" s="10"/>
      <c r="Q1059" s="10"/>
      <c r="R1059" s="10"/>
      <c r="S1059" s="10"/>
      <c r="T1059" s="10"/>
      <c r="U1059" s="10"/>
      <c r="V1059" s="10"/>
      <c r="W1059" s="10"/>
      <c r="X1059" s="10"/>
      <c r="Y1059" s="10"/>
      <c r="Z1059" s="10"/>
      <c r="AA1059" s="10"/>
      <c r="AB1059" s="10"/>
    </row>
    <row r="1060" spans="1:28" ht="14.25" customHeight="1" x14ac:dyDescent="0.3">
      <c r="A1060" s="10"/>
      <c r="B1060" s="10"/>
      <c r="C1060" s="10"/>
      <c r="D1060" s="10"/>
      <c r="E1060" s="10"/>
      <c r="F1060" s="10"/>
      <c r="G1060" s="10"/>
      <c r="H1060" s="10"/>
      <c r="I1060" s="10"/>
      <c r="J1060" s="10"/>
      <c r="K1060" s="10"/>
      <c r="L1060" s="10"/>
      <c r="M1060" s="10"/>
      <c r="N1060" s="10"/>
      <c r="O1060" s="10"/>
      <c r="P1060" s="10"/>
      <c r="Q1060" s="10"/>
      <c r="R1060" s="10"/>
      <c r="S1060" s="10"/>
      <c r="T1060" s="10"/>
      <c r="U1060" s="10"/>
      <c r="V1060" s="10"/>
      <c r="W1060" s="10"/>
      <c r="X1060" s="10"/>
      <c r="Y1060" s="10"/>
      <c r="Z1060" s="10"/>
      <c r="AA1060" s="10"/>
      <c r="AB1060" s="10"/>
    </row>
    <row r="1061" spans="1:28" ht="14.25" customHeight="1" x14ac:dyDescent="0.3">
      <c r="A1061" s="10"/>
      <c r="B1061" s="10"/>
      <c r="C1061" s="10"/>
      <c r="D1061" s="10"/>
      <c r="E1061" s="10"/>
      <c r="F1061" s="10"/>
      <c r="G1061" s="10"/>
      <c r="H1061" s="10"/>
      <c r="I1061" s="10"/>
      <c r="J1061" s="10"/>
      <c r="K1061" s="10"/>
      <c r="L1061" s="10"/>
      <c r="M1061" s="10"/>
      <c r="N1061" s="10"/>
      <c r="O1061" s="10"/>
      <c r="P1061" s="10"/>
      <c r="Q1061" s="10"/>
      <c r="R1061" s="10"/>
      <c r="S1061" s="10"/>
      <c r="T1061" s="10"/>
      <c r="U1061" s="10"/>
      <c r="V1061" s="10"/>
      <c r="W1061" s="10"/>
      <c r="X1061" s="10"/>
      <c r="Y1061" s="10"/>
      <c r="Z1061" s="10"/>
      <c r="AA1061" s="10"/>
      <c r="AB1061" s="10"/>
    </row>
    <row r="1062" spans="1:28" ht="14.25" customHeight="1" x14ac:dyDescent="0.3">
      <c r="A1062" s="10"/>
      <c r="B1062" s="10"/>
      <c r="C1062" s="10"/>
      <c r="D1062" s="10"/>
      <c r="E1062" s="10"/>
      <c r="F1062" s="10"/>
      <c r="G1062" s="10"/>
      <c r="H1062" s="10"/>
      <c r="I1062" s="10"/>
      <c r="J1062" s="10"/>
      <c r="K1062" s="10"/>
      <c r="L1062" s="10"/>
      <c r="M1062" s="10"/>
      <c r="N1062" s="10"/>
      <c r="O1062" s="10"/>
      <c r="P1062" s="10"/>
      <c r="Q1062" s="10"/>
      <c r="R1062" s="10"/>
      <c r="S1062" s="10"/>
      <c r="T1062" s="10"/>
      <c r="U1062" s="10"/>
      <c r="V1062" s="10"/>
      <c r="W1062" s="10"/>
      <c r="X1062" s="10"/>
      <c r="Y1062" s="10"/>
      <c r="Z1062" s="10"/>
      <c r="AA1062" s="10"/>
      <c r="AB1062" s="10"/>
    </row>
    <row r="1063" spans="1:28" ht="14.25" customHeight="1" x14ac:dyDescent="0.3">
      <c r="A1063" s="10"/>
      <c r="B1063" s="10"/>
      <c r="C1063" s="10"/>
      <c r="D1063" s="10"/>
      <c r="E1063" s="10"/>
      <c r="F1063" s="10"/>
      <c r="G1063" s="10"/>
      <c r="H1063" s="10"/>
      <c r="I1063" s="10"/>
      <c r="J1063" s="10"/>
      <c r="K1063" s="10"/>
      <c r="L1063" s="10"/>
      <c r="M1063" s="10"/>
      <c r="N1063" s="10"/>
      <c r="O1063" s="10"/>
      <c r="P1063" s="10"/>
      <c r="Q1063" s="10"/>
      <c r="R1063" s="10"/>
      <c r="S1063" s="10"/>
      <c r="T1063" s="10"/>
      <c r="U1063" s="10"/>
      <c r="V1063" s="10"/>
      <c r="W1063" s="10"/>
      <c r="X1063" s="10"/>
      <c r="Y1063" s="10"/>
      <c r="Z1063" s="10"/>
      <c r="AA1063" s="10"/>
      <c r="AB1063" s="10"/>
    </row>
    <row r="1064" spans="1:28" ht="14.25" customHeight="1" x14ac:dyDescent="0.3">
      <c r="A1064" s="10"/>
      <c r="B1064" s="10"/>
      <c r="C1064" s="10"/>
      <c r="D1064" s="10"/>
      <c r="E1064" s="10"/>
      <c r="F1064" s="10"/>
      <c r="G1064" s="10"/>
      <c r="H1064" s="10"/>
      <c r="I1064" s="10"/>
      <c r="J1064" s="10"/>
      <c r="K1064" s="10"/>
      <c r="L1064" s="10"/>
      <c r="M1064" s="10"/>
      <c r="N1064" s="10"/>
      <c r="O1064" s="10"/>
      <c r="P1064" s="10"/>
      <c r="Q1064" s="10"/>
      <c r="R1064" s="10"/>
      <c r="S1064" s="10"/>
      <c r="T1064" s="10"/>
      <c r="U1064" s="10"/>
      <c r="V1064" s="10"/>
      <c r="W1064" s="10"/>
      <c r="X1064" s="10"/>
      <c r="Y1064" s="10"/>
      <c r="Z1064" s="10"/>
      <c r="AA1064" s="10"/>
      <c r="AB1064" s="10"/>
    </row>
    <row r="1065" spans="1:28" ht="14.25" customHeight="1" x14ac:dyDescent="0.3">
      <c r="A1065" s="10"/>
      <c r="B1065" s="10"/>
      <c r="C1065" s="10"/>
      <c r="D1065" s="10"/>
      <c r="E1065" s="10"/>
      <c r="F1065" s="10"/>
      <c r="G1065" s="10"/>
      <c r="H1065" s="10"/>
      <c r="I1065" s="10"/>
      <c r="J1065" s="10"/>
      <c r="K1065" s="10"/>
      <c r="L1065" s="10"/>
      <c r="M1065" s="10"/>
      <c r="N1065" s="10"/>
      <c r="O1065" s="10"/>
      <c r="P1065" s="10"/>
      <c r="Q1065" s="10"/>
      <c r="R1065" s="10"/>
      <c r="S1065" s="10"/>
      <c r="T1065" s="10"/>
      <c r="U1065" s="10"/>
      <c r="V1065" s="10"/>
      <c r="W1065" s="10"/>
      <c r="X1065" s="10"/>
      <c r="Y1065" s="10"/>
      <c r="Z1065" s="10"/>
      <c r="AA1065" s="10"/>
      <c r="AB1065" s="10"/>
    </row>
    <row r="1066" spans="1:28" ht="14.25" customHeight="1" x14ac:dyDescent="0.3">
      <c r="A1066" s="10"/>
      <c r="B1066" s="10"/>
      <c r="C1066" s="10"/>
      <c r="D1066" s="10"/>
      <c r="E1066" s="10"/>
      <c r="F1066" s="10"/>
      <c r="G1066" s="10"/>
      <c r="H1066" s="10"/>
      <c r="I1066" s="10"/>
      <c r="J1066" s="10"/>
      <c r="K1066" s="10"/>
      <c r="L1066" s="10"/>
      <c r="M1066" s="10"/>
      <c r="N1066" s="10"/>
      <c r="O1066" s="10"/>
      <c r="P1066" s="10"/>
      <c r="Q1066" s="10"/>
      <c r="R1066" s="10"/>
      <c r="S1066" s="10"/>
      <c r="T1066" s="10"/>
      <c r="U1066" s="10"/>
      <c r="V1066" s="10"/>
      <c r="W1066" s="10"/>
      <c r="X1066" s="10"/>
      <c r="Y1066" s="10"/>
      <c r="Z1066" s="10"/>
      <c r="AA1066" s="10"/>
      <c r="AB1066" s="10"/>
    </row>
    <row r="1067" spans="1:28" ht="14.25" customHeight="1" x14ac:dyDescent="0.3">
      <c r="A1067" s="10"/>
      <c r="B1067" s="10"/>
      <c r="C1067" s="10"/>
      <c r="D1067" s="10"/>
      <c r="E1067" s="10"/>
      <c r="F1067" s="10"/>
      <c r="G1067" s="10"/>
      <c r="H1067" s="10"/>
      <c r="I1067" s="10"/>
      <c r="J1067" s="10"/>
      <c r="K1067" s="10"/>
      <c r="L1067" s="10"/>
      <c r="M1067" s="10"/>
      <c r="N1067" s="10"/>
      <c r="O1067" s="10"/>
      <c r="P1067" s="10"/>
      <c r="Q1067" s="10"/>
      <c r="R1067" s="10"/>
      <c r="S1067" s="10"/>
      <c r="T1067" s="10"/>
      <c r="U1067" s="10"/>
      <c r="V1067" s="10"/>
      <c r="W1067" s="10"/>
      <c r="X1067" s="10"/>
      <c r="Y1067" s="10"/>
      <c r="Z1067" s="10"/>
      <c r="AA1067" s="10"/>
      <c r="AB1067" s="10"/>
    </row>
    <row r="1068" spans="1:28" ht="14.25" customHeight="1" x14ac:dyDescent="0.3">
      <c r="A1068" s="10"/>
      <c r="B1068" s="10"/>
      <c r="C1068" s="10"/>
      <c r="D1068" s="10"/>
      <c r="E1068" s="10"/>
      <c r="F1068" s="10"/>
      <c r="G1068" s="10"/>
      <c r="H1068" s="10"/>
      <c r="I1068" s="10"/>
      <c r="J1068" s="10"/>
      <c r="K1068" s="10"/>
      <c r="L1068" s="10"/>
      <c r="M1068" s="10"/>
      <c r="N1068" s="10"/>
      <c r="O1068" s="10"/>
      <c r="P1068" s="10"/>
      <c r="Q1068" s="10"/>
      <c r="R1068" s="10"/>
      <c r="S1068" s="10"/>
      <c r="T1068" s="10"/>
      <c r="U1068" s="10"/>
      <c r="V1068" s="10"/>
      <c r="W1068" s="10"/>
      <c r="X1068" s="10"/>
      <c r="Y1068" s="10"/>
      <c r="Z1068" s="10"/>
      <c r="AA1068" s="10"/>
      <c r="AB1068" s="10"/>
    </row>
    <row r="1069" spans="1:28" ht="14.25" customHeight="1" x14ac:dyDescent="0.3">
      <c r="A1069" s="10"/>
      <c r="B1069" s="10"/>
      <c r="C1069" s="10"/>
      <c r="D1069" s="10"/>
      <c r="E1069" s="10"/>
      <c r="F1069" s="10"/>
      <c r="G1069" s="10"/>
      <c r="H1069" s="10"/>
      <c r="I1069" s="10"/>
      <c r="J1069" s="10"/>
      <c r="K1069" s="10"/>
      <c r="L1069" s="10"/>
      <c r="M1069" s="10"/>
      <c r="N1069" s="10"/>
      <c r="O1069" s="10"/>
      <c r="P1069" s="10"/>
      <c r="Q1069" s="10"/>
      <c r="R1069" s="10"/>
      <c r="S1069" s="10"/>
      <c r="T1069" s="10"/>
      <c r="U1069" s="10"/>
      <c r="V1069" s="10"/>
      <c r="W1069" s="10"/>
      <c r="X1069" s="10"/>
      <c r="Y1069" s="10"/>
      <c r="Z1069" s="10"/>
      <c r="AA1069" s="10"/>
      <c r="AB1069" s="10"/>
    </row>
    <row r="1070" spans="1:28" ht="14.25" customHeight="1" x14ac:dyDescent="0.3">
      <c r="A1070" s="10"/>
      <c r="B1070" s="10"/>
      <c r="C1070" s="10"/>
      <c r="D1070" s="10"/>
      <c r="E1070" s="10"/>
      <c r="F1070" s="10"/>
      <c r="G1070" s="10"/>
      <c r="H1070" s="10"/>
      <c r="I1070" s="10"/>
      <c r="J1070" s="10"/>
      <c r="K1070" s="10"/>
      <c r="L1070" s="10"/>
      <c r="M1070" s="10"/>
      <c r="N1070" s="10"/>
      <c r="O1070" s="10"/>
      <c r="P1070" s="10"/>
      <c r="Q1070" s="10"/>
      <c r="R1070" s="10"/>
      <c r="S1070" s="10"/>
      <c r="T1070" s="10"/>
      <c r="U1070" s="10"/>
      <c r="V1070" s="10"/>
      <c r="W1070" s="10"/>
      <c r="X1070" s="10"/>
      <c r="Y1070" s="10"/>
      <c r="Z1070" s="10"/>
      <c r="AA1070" s="10"/>
      <c r="AB1070" s="10"/>
    </row>
    <row r="1071" spans="1:28" ht="14.25" customHeight="1" x14ac:dyDescent="0.3">
      <c r="A1071" s="10"/>
      <c r="B1071" s="10"/>
      <c r="C1071" s="10"/>
      <c r="D1071" s="10"/>
      <c r="E1071" s="10"/>
      <c r="F1071" s="10"/>
      <c r="G1071" s="10"/>
      <c r="H1071" s="10"/>
      <c r="I1071" s="10"/>
      <c r="J1071" s="10"/>
      <c r="K1071" s="10"/>
      <c r="L1071" s="10"/>
      <c r="M1071" s="10"/>
      <c r="N1071" s="10"/>
      <c r="O1071" s="10"/>
      <c r="P1071" s="10"/>
      <c r="Q1071" s="10"/>
      <c r="R1071" s="10"/>
      <c r="S1071" s="10"/>
      <c r="T1071" s="10"/>
      <c r="U1071" s="10"/>
      <c r="V1071" s="10"/>
      <c r="W1071" s="10"/>
      <c r="X1071" s="10"/>
      <c r="Y1071" s="10"/>
      <c r="Z1071" s="10"/>
      <c r="AA1071" s="10"/>
      <c r="AB1071" s="10"/>
    </row>
    <row r="1072" spans="1:28" ht="14.25" customHeight="1" x14ac:dyDescent="0.3">
      <c r="A1072" s="10"/>
      <c r="B1072" s="10"/>
      <c r="C1072" s="10"/>
      <c r="D1072" s="10"/>
      <c r="E1072" s="10"/>
      <c r="F1072" s="10"/>
      <c r="G1072" s="10"/>
      <c r="H1072" s="10"/>
      <c r="I1072" s="10"/>
      <c r="J1072" s="10"/>
      <c r="K1072" s="10"/>
      <c r="L1072" s="10"/>
      <c r="M1072" s="10"/>
      <c r="N1072" s="10"/>
      <c r="O1072" s="10"/>
      <c r="P1072" s="10"/>
      <c r="Q1072" s="10"/>
      <c r="R1072" s="10"/>
      <c r="S1072" s="10"/>
      <c r="T1072" s="10"/>
      <c r="U1072" s="10"/>
      <c r="V1072" s="10"/>
      <c r="W1072" s="10"/>
      <c r="X1072" s="10"/>
      <c r="Y1072" s="10"/>
      <c r="Z1072" s="10"/>
      <c r="AA1072" s="10"/>
      <c r="AB1072" s="10"/>
    </row>
    <row r="1073" spans="1:28" ht="14.25" customHeight="1" x14ac:dyDescent="0.3">
      <c r="A1073" s="10"/>
      <c r="B1073" s="10"/>
      <c r="C1073" s="10"/>
      <c r="D1073" s="10"/>
      <c r="E1073" s="10"/>
      <c r="F1073" s="10"/>
      <c r="G1073" s="10"/>
      <c r="H1073" s="10"/>
      <c r="I1073" s="10"/>
      <c r="J1073" s="10"/>
      <c r="K1073" s="10"/>
      <c r="L1073" s="10"/>
      <c r="M1073" s="10"/>
      <c r="N1073" s="10"/>
      <c r="O1073" s="10"/>
      <c r="P1073" s="10"/>
      <c r="Q1073" s="10"/>
      <c r="R1073" s="10"/>
      <c r="S1073" s="10"/>
      <c r="T1073" s="10"/>
      <c r="U1073" s="10"/>
      <c r="V1073" s="10"/>
      <c r="W1073" s="10"/>
      <c r="X1073" s="10"/>
      <c r="Y1073" s="10"/>
      <c r="Z1073" s="10"/>
      <c r="AA1073" s="10"/>
      <c r="AB1073" s="10"/>
    </row>
    <row r="1074" spans="1:28" ht="14.25" customHeight="1" x14ac:dyDescent="0.3">
      <c r="A1074" s="10"/>
      <c r="B1074" s="10"/>
      <c r="C1074" s="10"/>
      <c r="D1074" s="10"/>
      <c r="E1074" s="10"/>
      <c r="F1074" s="10"/>
      <c r="G1074" s="10"/>
      <c r="H1074" s="10"/>
      <c r="I1074" s="10"/>
      <c r="J1074" s="10"/>
      <c r="K1074" s="10"/>
      <c r="L1074" s="10"/>
      <c r="M1074" s="10"/>
      <c r="N1074" s="10"/>
      <c r="O1074" s="10"/>
      <c r="P1074" s="10"/>
      <c r="Q1074" s="10"/>
      <c r="R1074" s="10"/>
      <c r="S1074" s="10"/>
      <c r="T1074" s="10"/>
      <c r="U1074" s="10"/>
      <c r="V1074" s="10"/>
      <c r="W1074" s="10"/>
      <c r="X1074" s="10"/>
      <c r="Y1074" s="10"/>
      <c r="Z1074" s="10"/>
      <c r="AA1074" s="10"/>
      <c r="AB1074" s="10"/>
    </row>
    <row r="1075" spans="1:28" ht="14.25" customHeight="1" x14ac:dyDescent="0.3">
      <c r="A1075" s="10"/>
      <c r="B1075" s="10"/>
      <c r="C1075" s="10"/>
      <c r="D1075" s="10"/>
      <c r="E1075" s="10"/>
      <c r="F1075" s="10"/>
      <c r="G1075" s="10"/>
      <c r="H1075" s="10"/>
      <c r="I1075" s="10"/>
      <c r="J1075" s="10"/>
      <c r="K1075" s="10"/>
      <c r="L1075" s="10"/>
      <c r="M1075" s="10"/>
      <c r="N1075" s="10"/>
      <c r="O1075" s="10"/>
      <c r="P1075" s="10"/>
      <c r="Q1075" s="10"/>
      <c r="R1075" s="10"/>
      <c r="S1075" s="10"/>
      <c r="T1075" s="10"/>
      <c r="U1075" s="10"/>
      <c r="V1075" s="10"/>
      <c r="W1075" s="10"/>
      <c r="X1075" s="10"/>
      <c r="Y1075" s="10"/>
      <c r="Z1075" s="10"/>
      <c r="AA1075" s="10"/>
      <c r="AB1075" s="10"/>
    </row>
    <row r="1076" spans="1:28" ht="14.25" customHeight="1" x14ac:dyDescent="0.3">
      <c r="A1076" s="10"/>
      <c r="B1076" s="10"/>
      <c r="C1076" s="10"/>
      <c r="D1076" s="10"/>
      <c r="E1076" s="10"/>
      <c r="F1076" s="10"/>
      <c r="G1076" s="10"/>
      <c r="H1076" s="10"/>
      <c r="I1076" s="10"/>
      <c r="J1076" s="10"/>
      <c r="K1076" s="10"/>
      <c r="L1076" s="10"/>
      <c r="M1076" s="10"/>
      <c r="N1076" s="10"/>
      <c r="O1076" s="10"/>
      <c r="P1076" s="10"/>
      <c r="Q1076" s="10"/>
      <c r="R1076" s="10"/>
      <c r="S1076" s="10"/>
      <c r="T1076" s="10"/>
      <c r="U1076" s="10"/>
      <c r="V1076" s="10"/>
      <c r="W1076" s="10"/>
      <c r="X1076" s="10"/>
      <c r="Y1076" s="10"/>
      <c r="Z1076" s="10"/>
      <c r="AA1076" s="10"/>
      <c r="AB1076" s="10"/>
    </row>
    <row r="1077" spans="1:28" ht="14.25" customHeight="1" x14ac:dyDescent="0.3">
      <c r="A1077" s="10"/>
      <c r="B1077" s="10"/>
      <c r="C1077" s="10"/>
      <c r="D1077" s="10"/>
      <c r="E1077" s="10"/>
      <c r="F1077" s="10"/>
      <c r="G1077" s="10"/>
      <c r="H1077" s="10"/>
      <c r="I1077" s="10"/>
      <c r="J1077" s="10"/>
      <c r="K1077" s="10"/>
      <c r="L1077" s="10"/>
      <c r="M1077" s="10"/>
      <c r="N1077" s="10"/>
      <c r="O1077" s="10"/>
      <c r="P1077" s="10"/>
      <c r="Q1077" s="10"/>
      <c r="R1077" s="10"/>
      <c r="S1077" s="10"/>
      <c r="T1077" s="10"/>
      <c r="U1077" s="10"/>
      <c r="V1077" s="10"/>
      <c r="W1077" s="10"/>
      <c r="X1077" s="10"/>
      <c r="Y1077" s="10"/>
      <c r="Z1077" s="10"/>
      <c r="AA1077" s="10"/>
      <c r="AB1077" s="10"/>
    </row>
    <row r="1078" spans="1:28" ht="14.25" customHeight="1" x14ac:dyDescent="0.3">
      <c r="A1078" s="10"/>
      <c r="B1078" s="10"/>
      <c r="C1078" s="10"/>
      <c r="D1078" s="10"/>
      <c r="E1078" s="10"/>
      <c r="F1078" s="10"/>
      <c r="G1078" s="10"/>
      <c r="H1078" s="10"/>
      <c r="I1078" s="10"/>
      <c r="J1078" s="10"/>
      <c r="K1078" s="10"/>
      <c r="L1078" s="10"/>
      <c r="M1078" s="10"/>
      <c r="N1078" s="10"/>
      <c r="O1078" s="10"/>
      <c r="P1078" s="10"/>
      <c r="Q1078" s="10"/>
      <c r="R1078" s="10"/>
      <c r="S1078" s="10"/>
      <c r="T1078" s="10"/>
      <c r="U1078" s="10"/>
      <c r="V1078" s="10"/>
      <c r="W1078" s="10"/>
      <c r="X1078" s="10"/>
      <c r="Y1078" s="10"/>
      <c r="Z1078" s="10"/>
      <c r="AA1078" s="10"/>
      <c r="AB1078" s="10"/>
    </row>
    <row r="1079" spans="1:28" ht="14.25" customHeight="1" x14ac:dyDescent="0.3">
      <c r="A1079" s="10"/>
      <c r="B1079" s="10"/>
      <c r="C1079" s="10"/>
      <c r="D1079" s="10"/>
      <c r="E1079" s="10"/>
      <c r="F1079" s="10"/>
      <c r="G1079" s="10"/>
      <c r="H1079" s="10"/>
      <c r="I1079" s="10"/>
      <c r="J1079" s="10"/>
      <c r="K1079" s="10"/>
      <c r="L1079" s="10"/>
      <c r="M1079" s="10"/>
      <c r="N1079" s="10"/>
      <c r="O1079" s="10"/>
      <c r="P1079" s="10"/>
      <c r="Q1079" s="10"/>
      <c r="R1079" s="10"/>
      <c r="S1079" s="10"/>
      <c r="T1079" s="10"/>
      <c r="U1079" s="10"/>
      <c r="V1079" s="10"/>
      <c r="W1079" s="10"/>
      <c r="X1079" s="10"/>
      <c r="Y1079" s="10"/>
      <c r="Z1079" s="10"/>
      <c r="AA1079" s="10"/>
      <c r="AB1079" s="10"/>
    </row>
    <row r="1080" spans="1:28" ht="14.25" customHeight="1" x14ac:dyDescent="0.3">
      <c r="A1080" s="10"/>
      <c r="B1080" s="10"/>
      <c r="C1080" s="10"/>
      <c r="D1080" s="10"/>
      <c r="E1080" s="10"/>
      <c r="F1080" s="10"/>
      <c r="G1080" s="10"/>
      <c r="H1080" s="10"/>
      <c r="I1080" s="10"/>
      <c r="J1080" s="10"/>
      <c r="K1080" s="10"/>
      <c r="L1080" s="10"/>
      <c r="M1080" s="10"/>
      <c r="N1080" s="10"/>
      <c r="O1080" s="10"/>
      <c r="P1080" s="10"/>
      <c r="Q1080" s="10"/>
      <c r="R1080" s="10"/>
      <c r="S1080" s="10"/>
      <c r="T1080" s="10"/>
      <c r="U1080" s="10"/>
      <c r="V1080" s="10"/>
      <c r="W1080" s="10"/>
      <c r="X1080" s="10"/>
      <c r="Y1080" s="10"/>
      <c r="Z1080" s="10"/>
      <c r="AA1080" s="10"/>
      <c r="AB1080" s="10"/>
    </row>
    <row r="1081" spans="1:28" ht="14.25" customHeight="1" x14ac:dyDescent="0.3">
      <c r="A1081" s="10"/>
      <c r="B1081" s="10"/>
      <c r="C1081" s="10"/>
      <c r="D1081" s="10"/>
      <c r="E1081" s="10"/>
      <c r="F1081" s="10"/>
      <c r="G1081" s="10"/>
      <c r="H1081" s="10"/>
      <c r="I1081" s="10"/>
      <c r="J1081" s="10"/>
      <c r="K1081" s="10"/>
      <c r="L1081" s="10"/>
      <c r="M1081" s="10"/>
      <c r="N1081" s="10"/>
      <c r="O1081" s="10"/>
      <c r="P1081" s="10"/>
      <c r="Q1081" s="10"/>
      <c r="R1081" s="10"/>
      <c r="S1081" s="10"/>
      <c r="T1081" s="10"/>
      <c r="U1081" s="10"/>
      <c r="V1081" s="10"/>
      <c r="W1081" s="10"/>
      <c r="X1081" s="10"/>
      <c r="Y1081" s="10"/>
      <c r="Z1081" s="10"/>
      <c r="AA1081" s="10"/>
      <c r="AB1081" s="10"/>
    </row>
    <row r="1082" spans="1:28" ht="14.25" customHeight="1" x14ac:dyDescent="0.3">
      <c r="A1082" s="10"/>
      <c r="B1082" s="10"/>
      <c r="C1082" s="10"/>
      <c r="D1082" s="10"/>
      <c r="E1082" s="10"/>
      <c r="F1082" s="10"/>
      <c r="G1082" s="10"/>
      <c r="H1082" s="10"/>
      <c r="I1082" s="10"/>
      <c r="J1082" s="10"/>
      <c r="K1082" s="10"/>
      <c r="L1082" s="10"/>
      <c r="M1082" s="10"/>
      <c r="N1082" s="10"/>
      <c r="O1082" s="10"/>
      <c r="P1082" s="10"/>
      <c r="Q1082" s="10"/>
      <c r="R1082" s="10"/>
      <c r="S1082" s="10"/>
      <c r="T1082" s="10"/>
      <c r="U1082" s="10"/>
      <c r="V1082" s="10"/>
      <c r="W1082" s="10"/>
      <c r="X1082" s="10"/>
      <c r="Y1082" s="10"/>
      <c r="Z1082" s="10"/>
      <c r="AA1082" s="10"/>
      <c r="AB1082" s="10"/>
    </row>
    <row r="1083" spans="1:28" ht="14.25" customHeight="1" x14ac:dyDescent="0.3">
      <c r="A1083" s="10"/>
      <c r="B1083" s="10"/>
      <c r="C1083" s="10"/>
      <c r="D1083" s="10"/>
      <c r="E1083" s="10"/>
      <c r="F1083" s="10"/>
      <c r="G1083" s="10"/>
      <c r="H1083" s="10"/>
      <c r="I1083" s="10"/>
      <c r="J1083" s="10"/>
      <c r="K1083" s="10"/>
      <c r="L1083" s="10"/>
      <c r="M1083" s="10"/>
      <c r="N1083" s="10"/>
      <c r="O1083" s="10"/>
      <c r="P1083" s="10"/>
      <c r="Q1083" s="10"/>
      <c r="R1083" s="10"/>
      <c r="S1083" s="10"/>
      <c r="T1083" s="10"/>
      <c r="U1083" s="10"/>
      <c r="V1083" s="10"/>
      <c r="W1083" s="10"/>
      <c r="X1083" s="10"/>
      <c r="Y1083" s="10"/>
      <c r="Z1083" s="10"/>
      <c r="AA1083" s="10"/>
      <c r="AB1083" s="10"/>
    </row>
    <row r="1084" spans="1:28" ht="14.25" customHeight="1" x14ac:dyDescent="0.3">
      <c r="A1084" s="10"/>
      <c r="B1084" s="10"/>
      <c r="C1084" s="10"/>
      <c r="D1084" s="10"/>
      <c r="E1084" s="10"/>
      <c r="F1084" s="10"/>
      <c r="G1084" s="10"/>
      <c r="H1084" s="10"/>
      <c r="I1084" s="10"/>
      <c r="J1084" s="10"/>
      <c r="K1084" s="10"/>
      <c r="L1084" s="10"/>
      <c r="M1084" s="10"/>
      <c r="N1084" s="10"/>
      <c r="O1084" s="10"/>
      <c r="P1084" s="10"/>
      <c r="Q1084" s="10"/>
      <c r="R1084" s="10"/>
      <c r="S1084" s="10"/>
      <c r="T1084" s="10"/>
      <c r="U1084" s="10"/>
      <c r="V1084" s="10"/>
      <c r="W1084" s="10"/>
      <c r="X1084" s="10"/>
      <c r="Y1084" s="10"/>
      <c r="Z1084" s="10"/>
      <c r="AA1084" s="10"/>
      <c r="AB1084" s="10"/>
    </row>
    <row r="1085" spans="1:28" ht="14.25" customHeight="1" x14ac:dyDescent="0.3">
      <c r="A1085" s="10"/>
      <c r="B1085" s="10"/>
      <c r="C1085" s="10"/>
      <c r="D1085" s="10"/>
      <c r="E1085" s="10"/>
      <c r="F1085" s="10"/>
      <c r="G1085" s="10"/>
      <c r="H1085" s="10"/>
      <c r="I1085" s="10"/>
      <c r="J1085" s="10"/>
      <c r="K1085" s="10"/>
      <c r="L1085" s="10"/>
      <c r="M1085" s="10"/>
      <c r="N1085" s="10"/>
      <c r="O1085" s="10"/>
      <c r="P1085" s="10"/>
      <c r="Q1085" s="10"/>
      <c r="R1085" s="10"/>
      <c r="S1085" s="10"/>
      <c r="T1085" s="10"/>
      <c r="U1085" s="10"/>
      <c r="V1085" s="10"/>
      <c r="W1085" s="10"/>
      <c r="X1085" s="10"/>
      <c r="Y1085" s="10"/>
      <c r="Z1085" s="10"/>
      <c r="AA1085" s="10"/>
      <c r="AB1085" s="10"/>
    </row>
    <row r="1086" spans="1:28" ht="14.25" customHeight="1" x14ac:dyDescent="0.3">
      <c r="A1086" s="10"/>
      <c r="B1086" s="10"/>
      <c r="C1086" s="10"/>
      <c r="D1086" s="10"/>
      <c r="E1086" s="10"/>
      <c r="F1086" s="10"/>
      <c r="G1086" s="10"/>
      <c r="H1086" s="10"/>
      <c r="I1086" s="10"/>
      <c r="J1086" s="10"/>
      <c r="K1086" s="10"/>
      <c r="L1086" s="10"/>
      <c r="M1086" s="10"/>
      <c r="N1086" s="10"/>
      <c r="O1086" s="10"/>
      <c r="P1086" s="10"/>
      <c r="Q1086" s="10"/>
      <c r="R1086" s="10"/>
      <c r="S1086" s="10"/>
      <c r="T1086" s="10"/>
      <c r="U1086" s="10"/>
      <c r="V1086" s="10"/>
      <c r="W1086" s="10"/>
      <c r="X1086" s="10"/>
      <c r="Y1086" s="10"/>
      <c r="Z1086" s="10"/>
      <c r="AA1086" s="10"/>
      <c r="AB1086" s="10"/>
    </row>
    <row r="1087" spans="1:28" ht="14.25" customHeight="1" x14ac:dyDescent="0.3">
      <c r="A1087" s="10"/>
      <c r="B1087" s="10"/>
      <c r="C1087" s="10"/>
      <c r="D1087" s="10"/>
      <c r="E1087" s="10"/>
      <c r="F1087" s="10"/>
      <c r="G1087" s="10"/>
      <c r="H1087" s="10"/>
      <c r="I1087" s="10"/>
      <c r="J1087" s="10"/>
      <c r="K1087" s="10"/>
      <c r="L1087" s="10"/>
      <c r="M1087" s="10"/>
      <c r="N1087" s="10"/>
      <c r="O1087" s="10"/>
      <c r="P1087" s="10"/>
      <c r="Q1087" s="10"/>
      <c r="R1087" s="10"/>
      <c r="S1087" s="10"/>
      <c r="T1087" s="10"/>
      <c r="U1087" s="10"/>
      <c r="V1087" s="10"/>
      <c r="W1087" s="10"/>
      <c r="X1087" s="10"/>
      <c r="Y1087" s="10"/>
      <c r="Z1087" s="10"/>
      <c r="AA1087" s="10"/>
      <c r="AB1087" s="10"/>
    </row>
    <row r="1088" spans="1:28" ht="14.25" customHeight="1" x14ac:dyDescent="0.3">
      <c r="A1088" s="10"/>
      <c r="B1088" s="10"/>
      <c r="C1088" s="10"/>
      <c r="D1088" s="10"/>
      <c r="E1088" s="10"/>
      <c r="F1088" s="10"/>
      <c r="G1088" s="10"/>
      <c r="H1088" s="10"/>
      <c r="I1088" s="10"/>
      <c r="J1088" s="10"/>
      <c r="K1088" s="10"/>
      <c r="L1088" s="10"/>
      <c r="M1088" s="10"/>
      <c r="N1088" s="10"/>
      <c r="O1088" s="10"/>
      <c r="P1088" s="10"/>
      <c r="Q1088" s="10"/>
      <c r="R1088" s="10"/>
      <c r="S1088" s="10"/>
      <c r="T1088" s="10"/>
      <c r="U1088" s="10"/>
      <c r="V1088" s="10"/>
      <c r="W1088" s="10"/>
      <c r="X1088" s="10"/>
      <c r="Y1088" s="10"/>
      <c r="Z1088" s="10"/>
      <c r="AA1088" s="10"/>
      <c r="AB1088" s="10"/>
    </row>
    <row r="1089" spans="1:28" ht="14.25" customHeight="1" x14ac:dyDescent="0.3">
      <c r="A1089" s="10"/>
      <c r="B1089" s="10"/>
      <c r="C1089" s="10"/>
      <c r="D1089" s="10"/>
      <c r="E1089" s="10"/>
      <c r="F1089" s="10"/>
      <c r="G1089" s="10"/>
      <c r="H1089" s="10"/>
      <c r="I1089" s="10"/>
      <c r="J1089" s="10"/>
      <c r="K1089" s="10"/>
      <c r="L1089" s="10"/>
      <c r="M1089" s="10"/>
      <c r="N1089" s="10"/>
      <c r="O1089" s="10"/>
      <c r="P1089" s="10"/>
      <c r="Q1089" s="10"/>
      <c r="R1089" s="10"/>
      <c r="S1089" s="10"/>
      <c r="T1089" s="10"/>
      <c r="U1089" s="10"/>
      <c r="V1089" s="10"/>
      <c r="W1089" s="10"/>
      <c r="X1089" s="10"/>
      <c r="Y1089" s="10"/>
      <c r="Z1089" s="10"/>
      <c r="AA1089" s="10"/>
      <c r="AB1089" s="10"/>
    </row>
    <row r="1090" spans="1:28" ht="14.25" customHeight="1" x14ac:dyDescent="0.3">
      <c r="A1090" s="10"/>
      <c r="B1090" s="10"/>
      <c r="C1090" s="10"/>
      <c r="D1090" s="10"/>
      <c r="E1090" s="10"/>
      <c r="F1090" s="10"/>
      <c r="G1090" s="10"/>
      <c r="H1090" s="10"/>
      <c r="I1090" s="10"/>
      <c r="J1090" s="10"/>
      <c r="K1090" s="10"/>
      <c r="L1090" s="10"/>
      <c r="M1090" s="10"/>
      <c r="N1090" s="10"/>
      <c r="O1090" s="10"/>
      <c r="P1090" s="10"/>
      <c r="Q1090" s="10"/>
      <c r="R1090" s="10"/>
      <c r="S1090" s="10"/>
      <c r="T1090" s="10"/>
      <c r="U1090" s="10"/>
      <c r="V1090" s="10"/>
      <c r="W1090" s="10"/>
      <c r="X1090" s="10"/>
      <c r="Y1090" s="10"/>
      <c r="Z1090" s="10"/>
      <c r="AA1090" s="10"/>
      <c r="AB1090" s="10"/>
    </row>
    <row r="1091" spans="1:28" ht="14.25" customHeight="1" x14ac:dyDescent="0.3">
      <c r="A1091" s="10"/>
      <c r="B1091" s="10"/>
      <c r="C1091" s="10"/>
      <c r="D1091" s="10"/>
      <c r="E1091" s="10"/>
      <c r="F1091" s="10"/>
      <c r="G1091" s="10"/>
      <c r="H1091" s="10"/>
      <c r="I1091" s="10"/>
      <c r="J1091" s="10"/>
      <c r="K1091" s="10"/>
      <c r="L1091" s="10"/>
      <c r="M1091" s="10"/>
      <c r="N1091" s="10"/>
      <c r="O1091" s="10"/>
      <c r="P1091" s="10"/>
      <c r="Q1091" s="10"/>
      <c r="R1091" s="10"/>
      <c r="S1091" s="10"/>
      <c r="T1091" s="10"/>
      <c r="U1091" s="10"/>
      <c r="V1091" s="10"/>
      <c r="W1091" s="10"/>
      <c r="X1091" s="10"/>
      <c r="Y1091" s="10"/>
      <c r="Z1091" s="10"/>
      <c r="AA1091" s="10"/>
      <c r="AB1091" s="10"/>
    </row>
    <row r="1092" spans="1:28" ht="14.25" customHeight="1" x14ac:dyDescent="0.3">
      <c r="A1092" s="10"/>
      <c r="B1092" s="10"/>
      <c r="C1092" s="10"/>
      <c r="D1092" s="10"/>
      <c r="E1092" s="10"/>
      <c r="F1092" s="10"/>
      <c r="G1092" s="10"/>
      <c r="H1092" s="10"/>
      <c r="I1092" s="10"/>
      <c r="J1092" s="10"/>
      <c r="K1092" s="10"/>
      <c r="L1092" s="10"/>
      <c r="M1092" s="10"/>
      <c r="N1092" s="10"/>
      <c r="O1092" s="10"/>
      <c r="P1092" s="10"/>
      <c r="Q1092" s="10"/>
      <c r="R1092" s="10"/>
      <c r="S1092" s="10"/>
      <c r="T1092" s="10"/>
      <c r="U1092" s="10"/>
      <c r="V1092" s="10"/>
      <c r="W1092" s="10"/>
      <c r="X1092" s="10"/>
      <c r="Y1092" s="10"/>
      <c r="Z1092" s="10"/>
      <c r="AA1092" s="10"/>
      <c r="AB1092" s="10"/>
    </row>
  </sheetData>
  <mergeCells count="1136">
    <mergeCell ref="A75:B76"/>
    <mergeCell ref="C75:D76"/>
    <mergeCell ref="E75:N75"/>
    <mergeCell ref="E76:F76"/>
    <mergeCell ref="G76:H76"/>
    <mergeCell ref="I76:J76"/>
    <mergeCell ref="K76:L76"/>
    <mergeCell ref="M76:N76"/>
    <mergeCell ref="M90:N90"/>
    <mergeCell ref="K90:L90"/>
    <mergeCell ref="I90:J90"/>
    <mergeCell ref="G90:H90"/>
    <mergeCell ref="E90:F90"/>
    <mergeCell ref="E93:F93"/>
    <mergeCell ref="G93:H93"/>
    <mergeCell ref="I93:J93"/>
    <mergeCell ref="K93:L93"/>
    <mergeCell ref="M87:N87"/>
    <mergeCell ref="E88:F88"/>
    <mergeCell ref="G88:H88"/>
    <mergeCell ref="I88:J88"/>
    <mergeCell ref="K88:L88"/>
    <mergeCell ref="M88:N88"/>
    <mergeCell ref="E96:F96"/>
    <mergeCell ref="G96:H96"/>
    <mergeCell ref="I96:J96"/>
    <mergeCell ref="K96:L96"/>
    <mergeCell ref="M96:N96"/>
    <mergeCell ref="E95:F95"/>
    <mergeCell ref="G95:H95"/>
    <mergeCell ref="I95:J95"/>
    <mergeCell ref="K95:L95"/>
    <mergeCell ref="M95:N95"/>
    <mergeCell ref="E94:F94"/>
    <mergeCell ref="G94:H94"/>
    <mergeCell ref="I94:J94"/>
    <mergeCell ref="K94:L94"/>
    <mergeCell ref="M94:N94"/>
    <mergeCell ref="I86:J86"/>
    <mergeCell ref="K86:L86"/>
    <mergeCell ref="M86:N86"/>
    <mergeCell ref="G83:H83"/>
    <mergeCell ref="I83:J83"/>
    <mergeCell ref="K83:L83"/>
    <mergeCell ref="M83:N83"/>
    <mergeCell ref="E84:F84"/>
    <mergeCell ref="G84:H84"/>
    <mergeCell ref="I84:J84"/>
    <mergeCell ref="K84:L84"/>
    <mergeCell ref="M84:N84"/>
    <mergeCell ref="M93:N93"/>
    <mergeCell ref="E91:F91"/>
    <mergeCell ref="G91:H91"/>
    <mergeCell ref="I91:J91"/>
    <mergeCell ref="K91:L91"/>
    <mergeCell ref="M91:N91"/>
    <mergeCell ref="E92:F92"/>
    <mergeCell ref="G92:H92"/>
    <mergeCell ref="I92:J92"/>
    <mergeCell ref="K92:L92"/>
    <mergeCell ref="M92:N92"/>
    <mergeCell ref="E89:F89"/>
    <mergeCell ref="G89:H89"/>
    <mergeCell ref="I89:J89"/>
    <mergeCell ref="K89:L89"/>
    <mergeCell ref="M89:N89"/>
    <mergeCell ref="E87:F87"/>
    <mergeCell ref="G87:H87"/>
    <mergeCell ref="I87:J87"/>
    <mergeCell ref="K87:L87"/>
    <mergeCell ref="K82:L82"/>
    <mergeCell ref="M82:N82"/>
    <mergeCell ref="I134:J134"/>
    <mergeCell ref="K134:L134"/>
    <mergeCell ref="M134:N134"/>
    <mergeCell ref="E135:F135"/>
    <mergeCell ref="G135:H135"/>
    <mergeCell ref="I135:J135"/>
    <mergeCell ref="M78:N78"/>
    <mergeCell ref="E79:F79"/>
    <mergeCell ref="G79:H79"/>
    <mergeCell ref="I79:J79"/>
    <mergeCell ref="K79:L79"/>
    <mergeCell ref="M79:N79"/>
    <mergeCell ref="E80:F80"/>
    <mergeCell ref="G80:H80"/>
    <mergeCell ref="I80:J80"/>
    <mergeCell ref="K80:L80"/>
    <mergeCell ref="M80:N80"/>
    <mergeCell ref="I109:J109"/>
    <mergeCell ref="K109:L109"/>
    <mergeCell ref="M109:N109"/>
    <mergeCell ref="E110:F110"/>
    <mergeCell ref="G110:H110"/>
    <mergeCell ref="I110:J110"/>
    <mergeCell ref="E85:F85"/>
    <mergeCell ref="G85:H85"/>
    <mergeCell ref="I85:J85"/>
    <mergeCell ref="K85:L85"/>
    <mergeCell ref="M85:N85"/>
    <mergeCell ref="E86:F86"/>
    <mergeCell ref="G86:H86"/>
    <mergeCell ref="K110:L110"/>
    <mergeCell ref="M110:N110"/>
    <mergeCell ref="E111:F111"/>
    <mergeCell ref="G111:H111"/>
    <mergeCell ref="I111:J111"/>
    <mergeCell ref="K111:L111"/>
    <mergeCell ref="M111:N111"/>
    <mergeCell ref="E112:F112"/>
    <mergeCell ref="E83:F83"/>
    <mergeCell ref="M70:N70"/>
    <mergeCell ref="A50:B51"/>
    <mergeCell ref="C50:D51"/>
    <mergeCell ref="E50:N50"/>
    <mergeCell ref="E51:F51"/>
    <mergeCell ref="G51:H51"/>
    <mergeCell ref="I51:J51"/>
    <mergeCell ref="K51:L51"/>
    <mergeCell ref="M51:N51"/>
    <mergeCell ref="E53:F53"/>
    <mergeCell ref="G53:H53"/>
    <mergeCell ref="I53:J53"/>
    <mergeCell ref="K53:L53"/>
    <mergeCell ref="M53:N53"/>
    <mergeCell ref="E59:F59"/>
    <mergeCell ref="G59:H59"/>
    <mergeCell ref="G60:H60"/>
    <mergeCell ref="I60:J60"/>
    <mergeCell ref="K60:L60"/>
    <mergeCell ref="M69:N69"/>
    <mergeCell ref="E70:F70"/>
    <mergeCell ref="G70:H70"/>
    <mergeCell ref="I70:J70"/>
    <mergeCell ref="E46:F46"/>
    <mergeCell ref="G46:H46"/>
    <mergeCell ref="I46:J46"/>
    <mergeCell ref="K46:L46"/>
    <mergeCell ref="M46:N46"/>
    <mergeCell ref="E44:F44"/>
    <mergeCell ref="G44:H44"/>
    <mergeCell ref="I44:J44"/>
    <mergeCell ref="K44:L44"/>
    <mergeCell ref="M44:N44"/>
    <mergeCell ref="E45:F45"/>
    <mergeCell ref="G45:H45"/>
    <mergeCell ref="I45:J45"/>
    <mergeCell ref="K45:L45"/>
    <mergeCell ref="M45:N45"/>
    <mergeCell ref="E42:F42"/>
    <mergeCell ref="G42:H42"/>
    <mergeCell ref="I42:J42"/>
    <mergeCell ref="K42:L42"/>
    <mergeCell ref="M42:N42"/>
    <mergeCell ref="E43:F43"/>
    <mergeCell ref="G43:H43"/>
    <mergeCell ref="I43:J43"/>
    <mergeCell ref="K43:L43"/>
    <mergeCell ref="M43:N43"/>
    <mergeCell ref="E40:F40"/>
    <mergeCell ref="G40:H40"/>
    <mergeCell ref="I40:J40"/>
    <mergeCell ref="K40:L40"/>
    <mergeCell ref="M40:N40"/>
    <mergeCell ref="E41:F41"/>
    <mergeCell ref="G41:H41"/>
    <mergeCell ref="I41:J41"/>
    <mergeCell ref="K41:L41"/>
    <mergeCell ref="M41:N41"/>
    <mergeCell ref="E38:F38"/>
    <mergeCell ref="G38:H38"/>
    <mergeCell ref="I38:J38"/>
    <mergeCell ref="K38:L38"/>
    <mergeCell ref="M38:N38"/>
    <mergeCell ref="E39:F39"/>
    <mergeCell ref="G39:H39"/>
    <mergeCell ref="I39:J39"/>
    <mergeCell ref="K39:L39"/>
    <mergeCell ref="M39:N39"/>
    <mergeCell ref="M29:N29"/>
    <mergeCell ref="E30:F30"/>
    <mergeCell ref="G30:H30"/>
    <mergeCell ref="I30:J30"/>
    <mergeCell ref="K30:L30"/>
    <mergeCell ref="M30:N30"/>
    <mergeCell ref="E31:F31"/>
    <mergeCell ref="G31:H31"/>
    <mergeCell ref="I31:J31"/>
    <mergeCell ref="K31:L31"/>
    <mergeCell ref="M31:N31"/>
    <mergeCell ref="E36:F36"/>
    <mergeCell ref="G36:H36"/>
    <mergeCell ref="I36:J36"/>
    <mergeCell ref="K36:L36"/>
    <mergeCell ref="M36:N36"/>
    <mergeCell ref="E37:F37"/>
    <mergeCell ref="G37:H37"/>
    <mergeCell ref="I37:J37"/>
    <mergeCell ref="K37:L37"/>
    <mergeCell ref="M37:N37"/>
    <mergeCell ref="E34:F34"/>
    <mergeCell ref="G34:H34"/>
    <mergeCell ref="I34:J34"/>
    <mergeCell ref="K34:L34"/>
    <mergeCell ref="M34:N34"/>
    <mergeCell ref="E35:F35"/>
    <mergeCell ref="G35:H35"/>
    <mergeCell ref="I35:J35"/>
    <mergeCell ref="K35:L35"/>
    <mergeCell ref="M35:N35"/>
    <mergeCell ref="E109:F109"/>
    <mergeCell ref="G109:H109"/>
    <mergeCell ref="E25:N25"/>
    <mergeCell ref="E26:F26"/>
    <mergeCell ref="G26:H26"/>
    <mergeCell ref="I26:J26"/>
    <mergeCell ref="K26:L26"/>
    <mergeCell ref="M26:N26"/>
    <mergeCell ref="E27:F27"/>
    <mergeCell ref="G27:H27"/>
    <mergeCell ref="I27:J27"/>
    <mergeCell ref="K27:L27"/>
    <mergeCell ref="M27:N27"/>
    <mergeCell ref="E28:F28"/>
    <mergeCell ref="G28:H28"/>
    <mergeCell ref="I28:J28"/>
    <mergeCell ref="K28:L28"/>
    <mergeCell ref="M28:N28"/>
    <mergeCell ref="E29:F29"/>
    <mergeCell ref="G29:H29"/>
    <mergeCell ref="E32:F32"/>
    <mergeCell ref="G32:H32"/>
    <mergeCell ref="I32:J32"/>
    <mergeCell ref="K32:L32"/>
    <mergeCell ref="M32:N32"/>
    <mergeCell ref="E33:F33"/>
    <mergeCell ref="G33:H33"/>
    <mergeCell ref="I33:J33"/>
    <mergeCell ref="K33:L33"/>
    <mergeCell ref="M33:N33"/>
    <mergeCell ref="I29:J29"/>
    <mergeCell ref="K29:L29"/>
    <mergeCell ref="M150:N150"/>
    <mergeCell ref="E147:F147"/>
    <mergeCell ref="G147:H147"/>
    <mergeCell ref="I147:J147"/>
    <mergeCell ref="K147:L147"/>
    <mergeCell ref="M147:N147"/>
    <mergeCell ref="E148:F148"/>
    <mergeCell ref="G148:H148"/>
    <mergeCell ref="I148:J148"/>
    <mergeCell ref="K148:L148"/>
    <mergeCell ref="M148:N148"/>
    <mergeCell ref="M136:N136"/>
    <mergeCell ref="E137:F137"/>
    <mergeCell ref="G137:H137"/>
    <mergeCell ref="I137:J137"/>
    <mergeCell ref="K137:L137"/>
    <mergeCell ref="M137:N137"/>
    <mergeCell ref="E138:F138"/>
    <mergeCell ref="G138:H138"/>
    <mergeCell ref="I138:J138"/>
    <mergeCell ref="K138:L138"/>
    <mergeCell ref="M138:N138"/>
    <mergeCell ref="I150:J150"/>
    <mergeCell ref="K150:L150"/>
    <mergeCell ref="K54:L54"/>
    <mergeCell ref="I59:J59"/>
    <mergeCell ref="K59:L59"/>
    <mergeCell ref="M59:N59"/>
    <mergeCell ref="G54:H54"/>
    <mergeCell ref="I54:J54"/>
    <mergeCell ref="E57:F57"/>
    <mergeCell ref="E58:F58"/>
    <mergeCell ref="I57:J57"/>
    <mergeCell ref="K57:L57"/>
    <mergeCell ref="G58:H58"/>
    <mergeCell ref="I58:J58"/>
    <mergeCell ref="G57:H57"/>
    <mergeCell ref="M63:N63"/>
    <mergeCell ref="E63:F63"/>
    <mergeCell ref="G63:H63"/>
    <mergeCell ref="I63:J63"/>
    <mergeCell ref="M54:N54"/>
    <mergeCell ref="M55:N55"/>
    <mergeCell ref="E55:F55"/>
    <mergeCell ref="G55:H55"/>
    <mergeCell ref="I55:J55"/>
    <mergeCell ref="K55:L55"/>
    <mergeCell ref="K58:L58"/>
    <mergeCell ref="E54:F54"/>
    <mergeCell ref="A25:B26"/>
    <mergeCell ref="C25:D26"/>
    <mergeCell ref="G167:H167"/>
    <mergeCell ref="I167:J167"/>
    <mergeCell ref="K167:L167"/>
    <mergeCell ref="K173:L173"/>
    <mergeCell ref="I169:J169"/>
    <mergeCell ref="E169:F169"/>
    <mergeCell ref="K171:L171"/>
    <mergeCell ref="E173:F173"/>
    <mergeCell ref="E133:F133"/>
    <mergeCell ref="G133:H133"/>
    <mergeCell ref="I133:J133"/>
    <mergeCell ref="K133:L133"/>
    <mergeCell ref="E136:F136"/>
    <mergeCell ref="G136:H136"/>
    <mergeCell ref="I136:J136"/>
    <mergeCell ref="K136:L136"/>
    <mergeCell ref="E150:F150"/>
    <mergeCell ref="G150:H150"/>
    <mergeCell ref="E164:F164"/>
    <mergeCell ref="G164:H164"/>
    <mergeCell ref="I164:J164"/>
    <mergeCell ref="I142:J142"/>
    <mergeCell ref="E140:F140"/>
    <mergeCell ref="G140:H140"/>
    <mergeCell ref="I140:J140"/>
    <mergeCell ref="K140:L140"/>
    <mergeCell ref="E141:F141"/>
    <mergeCell ref="G141:H141"/>
    <mergeCell ref="I141:J141"/>
    <mergeCell ref="K135:L135"/>
    <mergeCell ref="A15:B15"/>
    <mergeCell ref="J15:K17"/>
    <mergeCell ref="A16:B16"/>
    <mergeCell ref="C16:D16"/>
    <mergeCell ref="A17:B17"/>
    <mergeCell ref="A7:C7"/>
    <mergeCell ref="A8:C8"/>
    <mergeCell ref="A9:C9"/>
    <mergeCell ref="A10:C10"/>
    <mergeCell ref="A11:C11"/>
    <mergeCell ref="D12:E12"/>
    <mergeCell ref="D13:E13"/>
    <mergeCell ref="M180:N180"/>
    <mergeCell ref="I176:J176"/>
    <mergeCell ref="K176:L176"/>
    <mergeCell ref="M176:N176"/>
    <mergeCell ref="E165:F165"/>
    <mergeCell ref="M167:N167"/>
    <mergeCell ref="I166:J166"/>
    <mergeCell ref="K166:L166"/>
    <mergeCell ref="E177:F177"/>
    <mergeCell ref="G177:H177"/>
    <mergeCell ref="I177:J177"/>
    <mergeCell ref="K177:L177"/>
    <mergeCell ref="E174:F174"/>
    <mergeCell ref="K178:L178"/>
    <mergeCell ref="G174:H174"/>
    <mergeCell ref="I174:J174"/>
    <mergeCell ref="E175:F175"/>
    <mergeCell ref="G175:H175"/>
    <mergeCell ref="I175:J175"/>
    <mergeCell ref="K175:L175"/>
    <mergeCell ref="M164:N164"/>
    <mergeCell ref="K160:L160"/>
    <mergeCell ref="K181:L181"/>
    <mergeCell ref="E168:F168"/>
    <mergeCell ref="G168:H168"/>
    <mergeCell ref="I168:J168"/>
    <mergeCell ref="E176:F176"/>
    <mergeCell ref="G176:H176"/>
    <mergeCell ref="G162:H162"/>
    <mergeCell ref="I162:J162"/>
    <mergeCell ref="E162:F162"/>
    <mergeCell ref="E161:F161"/>
    <mergeCell ref="G161:H161"/>
    <mergeCell ref="I161:J161"/>
    <mergeCell ref="E171:F171"/>
    <mergeCell ref="M175:N175"/>
    <mergeCell ref="K174:L174"/>
    <mergeCell ref="M174:N174"/>
    <mergeCell ref="M178:N178"/>
    <mergeCell ref="M177:N177"/>
    <mergeCell ref="E178:F178"/>
    <mergeCell ref="G178:H178"/>
    <mergeCell ref="I178:J178"/>
    <mergeCell ref="M181:N181"/>
    <mergeCell ref="M163:N163"/>
    <mergeCell ref="M161:N161"/>
    <mergeCell ref="M162:N162"/>
    <mergeCell ref="K164:L164"/>
    <mergeCell ref="K163:L163"/>
    <mergeCell ref="K161:L161"/>
    <mergeCell ref="K162:L162"/>
    <mergeCell ref="F2:N2"/>
    <mergeCell ref="F3:N3"/>
    <mergeCell ref="F4:N4"/>
    <mergeCell ref="F5:N5"/>
    <mergeCell ref="G189:H189"/>
    <mergeCell ref="K182:L182"/>
    <mergeCell ref="M182:N182"/>
    <mergeCell ref="M160:N160"/>
    <mergeCell ref="G160:H160"/>
    <mergeCell ref="I160:J160"/>
    <mergeCell ref="G165:H165"/>
    <mergeCell ref="I165:J165"/>
    <mergeCell ref="K165:L165"/>
    <mergeCell ref="M165:N165"/>
    <mergeCell ref="G166:H166"/>
    <mergeCell ref="M166:N166"/>
    <mergeCell ref="M131:N131"/>
    <mergeCell ref="G131:H131"/>
    <mergeCell ref="I131:J131"/>
    <mergeCell ref="E131:F131"/>
    <mergeCell ref="E130:F130"/>
    <mergeCell ref="G130:H130"/>
    <mergeCell ref="G173:H173"/>
    <mergeCell ref="I173:J173"/>
    <mergeCell ref="M139:N139"/>
    <mergeCell ref="E143:F143"/>
    <mergeCell ref="G143:H143"/>
    <mergeCell ref="I143:J143"/>
    <mergeCell ref="K143:L143"/>
    <mergeCell ref="M143:N143"/>
    <mergeCell ref="E142:F142"/>
    <mergeCell ref="G142:H142"/>
    <mergeCell ref="E166:F166"/>
    <mergeCell ref="E167:F167"/>
    <mergeCell ref="G169:H169"/>
    <mergeCell ref="M171:N171"/>
    <mergeCell ref="G171:H171"/>
    <mergeCell ref="I171:J171"/>
    <mergeCell ref="E172:F172"/>
    <mergeCell ref="G172:H172"/>
    <mergeCell ref="I172:J172"/>
    <mergeCell ref="E170:F170"/>
    <mergeCell ref="G170:H170"/>
    <mergeCell ref="I170:J170"/>
    <mergeCell ref="K170:L170"/>
    <mergeCell ref="M170:N170"/>
    <mergeCell ref="K172:L172"/>
    <mergeCell ref="M172:N172"/>
    <mergeCell ref="K184:L184"/>
    <mergeCell ref="K180:L180"/>
    <mergeCell ref="A206:B206"/>
    <mergeCell ref="J206:K206"/>
    <mergeCell ref="A210:B211"/>
    <mergeCell ref="C210:D211"/>
    <mergeCell ref="E210:N210"/>
    <mergeCell ref="M211:N211"/>
    <mergeCell ref="E211:F211"/>
    <mergeCell ref="G211:H211"/>
    <mergeCell ref="E191:F191"/>
    <mergeCell ref="G191:H191"/>
    <mergeCell ref="I191:J191"/>
    <mergeCell ref="I211:J211"/>
    <mergeCell ref="K211:L211"/>
    <mergeCell ref="K191:L191"/>
    <mergeCell ref="M191:N191"/>
    <mergeCell ref="G197:H197"/>
    <mergeCell ref="I197:J197"/>
    <mergeCell ref="K197:L197"/>
    <mergeCell ref="M197:N197"/>
    <mergeCell ref="E198:F198"/>
    <mergeCell ref="G198:H198"/>
    <mergeCell ref="I198:J198"/>
    <mergeCell ref="K198:L198"/>
    <mergeCell ref="K194:L194"/>
    <mergeCell ref="G193:H193"/>
    <mergeCell ref="I193:J193"/>
    <mergeCell ref="K193:L193"/>
    <mergeCell ref="M193:N193"/>
    <mergeCell ref="E194:F194"/>
    <mergeCell ref="G194:H194"/>
    <mergeCell ref="I194:J194"/>
    <mergeCell ref="M194:N194"/>
    <mergeCell ref="E214:F214"/>
    <mergeCell ref="G214:H214"/>
    <mergeCell ref="I214:J214"/>
    <mergeCell ref="K214:L214"/>
    <mergeCell ref="E156:F156"/>
    <mergeCell ref="G156:H156"/>
    <mergeCell ref="I156:J156"/>
    <mergeCell ref="K156:L156"/>
    <mergeCell ref="M156:N156"/>
    <mergeCell ref="K157:L157"/>
    <mergeCell ref="M157:N157"/>
    <mergeCell ref="E157:F157"/>
    <mergeCell ref="G157:H157"/>
    <mergeCell ref="I157:J157"/>
    <mergeCell ref="E159:F159"/>
    <mergeCell ref="K158:L158"/>
    <mergeCell ref="M158:N158"/>
    <mergeCell ref="G159:H159"/>
    <mergeCell ref="M159:N159"/>
    <mergeCell ref="M214:N214"/>
    <mergeCell ref="K192:L192"/>
    <mergeCell ref="M192:N192"/>
    <mergeCell ref="G192:H192"/>
    <mergeCell ref="I192:J192"/>
    <mergeCell ref="I205:J205"/>
    <mergeCell ref="E192:F192"/>
    <mergeCell ref="K205:L205"/>
    <mergeCell ref="M198:N198"/>
    <mergeCell ref="E180:F180"/>
    <mergeCell ref="G180:H180"/>
    <mergeCell ref="E181:F181"/>
    <mergeCell ref="E182:F182"/>
    <mergeCell ref="G216:H216"/>
    <mergeCell ref="I216:J216"/>
    <mergeCell ref="K216:L216"/>
    <mergeCell ref="M216:N216"/>
    <mergeCell ref="I215:J215"/>
    <mergeCell ref="K215:L215"/>
    <mergeCell ref="K217:L217"/>
    <mergeCell ref="M217:N217"/>
    <mergeCell ref="K218:L218"/>
    <mergeCell ref="M218:N218"/>
    <mergeCell ref="K219:L219"/>
    <mergeCell ref="M219:N219"/>
    <mergeCell ref="E217:F217"/>
    <mergeCell ref="G217:H217"/>
    <mergeCell ref="I217:J217"/>
    <mergeCell ref="E218:F218"/>
    <mergeCell ref="G218:H218"/>
    <mergeCell ref="I218:J218"/>
    <mergeCell ref="G219:H219"/>
    <mergeCell ref="I219:J219"/>
    <mergeCell ref="E219:F219"/>
    <mergeCell ref="G215:H215"/>
    <mergeCell ref="M215:N215"/>
    <mergeCell ref="M234:N234"/>
    <mergeCell ref="K235:L235"/>
    <mergeCell ref="M235:N235"/>
    <mergeCell ref="K230:L230"/>
    <mergeCell ref="M230:N230"/>
    <mergeCell ref="K231:L231"/>
    <mergeCell ref="M231:N231"/>
    <mergeCell ref="E228:F228"/>
    <mergeCell ref="E229:F229"/>
    <mergeCell ref="G229:H229"/>
    <mergeCell ref="I229:J229"/>
    <mergeCell ref="K229:L229"/>
    <mergeCell ref="M229:N229"/>
    <mergeCell ref="E230:F230"/>
    <mergeCell ref="G230:H230"/>
    <mergeCell ref="I230:J230"/>
    <mergeCell ref="E231:F231"/>
    <mergeCell ref="G231:H231"/>
    <mergeCell ref="I231:J231"/>
    <mergeCell ref="I228:J228"/>
    <mergeCell ref="K228:L228"/>
    <mergeCell ref="K274:L274"/>
    <mergeCell ref="M274:N274"/>
    <mergeCell ref="E232:F232"/>
    <mergeCell ref="E233:F233"/>
    <mergeCell ref="G233:H233"/>
    <mergeCell ref="I233:J233"/>
    <mergeCell ref="K233:L233"/>
    <mergeCell ref="M233:N233"/>
    <mergeCell ref="E234:F234"/>
    <mergeCell ref="G234:H234"/>
    <mergeCell ref="I234:J234"/>
    <mergeCell ref="E235:F235"/>
    <mergeCell ref="G235:H235"/>
    <mergeCell ref="I235:J235"/>
    <mergeCell ref="E274:F274"/>
    <mergeCell ref="G274:H274"/>
    <mergeCell ref="I274:J274"/>
    <mergeCell ref="K234:L234"/>
    <mergeCell ref="K232:L232"/>
    <mergeCell ref="M232:N232"/>
    <mergeCell ref="E236:F236"/>
    <mergeCell ref="G236:H236"/>
    <mergeCell ref="I236:J236"/>
    <mergeCell ref="K236:L236"/>
    <mergeCell ref="G232:H232"/>
    <mergeCell ref="I232:J232"/>
    <mergeCell ref="E239:F239"/>
    <mergeCell ref="G239:H239"/>
    <mergeCell ref="I239:J239"/>
    <mergeCell ref="K239:L239"/>
    <mergeCell ref="M239:N239"/>
    <mergeCell ref="E240:F240"/>
    <mergeCell ref="E227:F227"/>
    <mergeCell ref="G227:H227"/>
    <mergeCell ref="I227:J227"/>
    <mergeCell ref="K227:L227"/>
    <mergeCell ref="M227:N227"/>
    <mergeCell ref="G228:H228"/>
    <mergeCell ref="M228:N228"/>
    <mergeCell ref="K225:L225"/>
    <mergeCell ref="M225:N225"/>
    <mergeCell ref="G225:H225"/>
    <mergeCell ref="I225:J225"/>
    <mergeCell ref="E226:F226"/>
    <mergeCell ref="G226:H226"/>
    <mergeCell ref="I226:J226"/>
    <mergeCell ref="K226:L226"/>
    <mergeCell ref="M226:N226"/>
    <mergeCell ref="E224:F224"/>
    <mergeCell ref="G224:H224"/>
    <mergeCell ref="I224:J224"/>
    <mergeCell ref="K224:L224"/>
    <mergeCell ref="M224:N224"/>
    <mergeCell ref="E225:F225"/>
    <mergeCell ref="K221:L221"/>
    <mergeCell ref="M221:N221"/>
    <mergeCell ref="K222:L222"/>
    <mergeCell ref="M222:N222"/>
    <mergeCell ref="K223:L223"/>
    <mergeCell ref="M223:N223"/>
    <mergeCell ref="G221:H221"/>
    <mergeCell ref="I221:J221"/>
    <mergeCell ref="E222:F222"/>
    <mergeCell ref="G222:H222"/>
    <mergeCell ref="I222:J222"/>
    <mergeCell ref="G223:H223"/>
    <mergeCell ref="I223:J223"/>
    <mergeCell ref="E221:F221"/>
    <mergeCell ref="E223:F223"/>
    <mergeCell ref="G212:H212"/>
    <mergeCell ref="I212:J212"/>
    <mergeCell ref="E213:F213"/>
    <mergeCell ref="G213:H213"/>
    <mergeCell ref="I213:J213"/>
    <mergeCell ref="K213:L213"/>
    <mergeCell ref="M213:N213"/>
    <mergeCell ref="K212:L212"/>
    <mergeCell ref="M212:N212"/>
    <mergeCell ref="E212:F212"/>
    <mergeCell ref="E220:F220"/>
    <mergeCell ref="G220:H220"/>
    <mergeCell ref="I220:J220"/>
    <mergeCell ref="K220:L220"/>
    <mergeCell ref="M220:N220"/>
    <mergeCell ref="E215:F215"/>
    <mergeCell ref="E216:F216"/>
    <mergeCell ref="E205:F205"/>
    <mergeCell ref="G205:H205"/>
    <mergeCell ref="M205:N205"/>
    <mergeCell ref="E183:F183"/>
    <mergeCell ref="G183:H183"/>
    <mergeCell ref="I183:J183"/>
    <mergeCell ref="K183:L183"/>
    <mergeCell ref="M183:N183"/>
    <mergeCell ref="G184:H184"/>
    <mergeCell ref="M184:N184"/>
    <mergeCell ref="K188:L188"/>
    <mergeCell ref="M188:N188"/>
    <mergeCell ref="E184:F184"/>
    <mergeCell ref="E185:F185"/>
    <mergeCell ref="G185:H185"/>
    <mergeCell ref="I185:J185"/>
    <mergeCell ref="K185:L185"/>
    <mergeCell ref="M185:N185"/>
    <mergeCell ref="G190:H190"/>
    <mergeCell ref="I190:J190"/>
    <mergeCell ref="E189:F189"/>
    <mergeCell ref="I189:J189"/>
    <mergeCell ref="E190:F190"/>
    <mergeCell ref="E186:F186"/>
    <mergeCell ref="G186:H186"/>
    <mergeCell ref="I186:J186"/>
    <mergeCell ref="E187:F187"/>
    <mergeCell ref="G187:H187"/>
    <mergeCell ref="I187:J187"/>
    <mergeCell ref="G188:H188"/>
    <mergeCell ref="I188:J188"/>
    <mergeCell ref="E188:F188"/>
    <mergeCell ref="K196:L196"/>
    <mergeCell ref="M196:N196"/>
    <mergeCell ref="E197:F197"/>
    <mergeCell ref="E179:F179"/>
    <mergeCell ref="G179:H179"/>
    <mergeCell ref="I179:J179"/>
    <mergeCell ref="K179:L179"/>
    <mergeCell ref="M179:N179"/>
    <mergeCell ref="G182:H182"/>
    <mergeCell ref="I182:J182"/>
    <mergeCell ref="G181:H181"/>
    <mergeCell ref="I181:J181"/>
    <mergeCell ref="I180:J180"/>
    <mergeCell ref="E195:F195"/>
    <mergeCell ref="G195:H195"/>
    <mergeCell ref="I195:J195"/>
    <mergeCell ref="K195:L195"/>
    <mergeCell ref="M195:N195"/>
    <mergeCell ref="E196:F196"/>
    <mergeCell ref="G196:H196"/>
    <mergeCell ref="I196:J196"/>
    <mergeCell ref="M190:N190"/>
    <mergeCell ref="K189:L189"/>
    <mergeCell ref="M189:N189"/>
    <mergeCell ref="K186:L186"/>
    <mergeCell ref="I184:J184"/>
    <mergeCell ref="M186:N186"/>
    <mergeCell ref="K187:L187"/>
    <mergeCell ref="M187:N187"/>
    <mergeCell ref="I107:J107"/>
    <mergeCell ref="K107:L107"/>
    <mergeCell ref="M107:N107"/>
    <mergeCell ref="E108:F108"/>
    <mergeCell ref="G108:H108"/>
    <mergeCell ref="I108:J108"/>
    <mergeCell ref="K108:L108"/>
    <mergeCell ref="M108:N108"/>
    <mergeCell ref="I146:J146"/>
    <mergeCell ref="K144:L144"/>
    <mergeCell ref="E132:F132"/>
    <mergeCell ref="G132:H132"/>
    <mergeCell ref="I132:J132"/>
    <mergeCell ref="K132:L132"/>
    <mergeCell ref="K70:L70"/>
    <mergeCell ref="E127:F127"/>
    <mergeCell ref="I129:J129"/>
    <mergeCell ref="G129:H129"/>
    <mergeCell ref="E129:F129"/>
    <mergeCell ref="E78:F78"/>
    <mergeCell ref="G78:H78"/>
    <mergeCell ref="I78:J78"/>
    <mergeCell ref="K78:L78"/>
    <mergeCell ref="E81:F81"/>
    <mergeCell ref="M135:N135"/>
    <mergeCell ref="M132:N132"/>
    <mergeCell ref="M140:N140"/>
    <mergeCell ref="K141:L141"/>
    <mergeCell ref="M141:N141"/>
    <mergeCell ref="E145:F145"/>
    <mergeCell ref="G145:H145"/>
    <mergeCell ref="I145:J145"/>
    <mergeCell ref="M236:N236"/>
    <mergeCell ref="E237:F237"/>
    <mergeCell ref="G237:H237"/>
    <mergeCell ref="I237:J237"/>
    <mergeCell ref="K237:L237"/>
    <mergeCell ref="M237:N237"/>
    <mergeCell ref="E238:F238"/>
    <mergeCell ref="G238:H238"/>
    <mergeCell ref="I238:J238"/>
    <mergeCell ref="K238:L238"/>
    <mergeCell ref="M238:N238"/>
    <mergeCell ref="I159:J159"/>
    <mergeCell ref="K159:L159"/>
    <mergeCell ref="E160:F160"/>
    <mergeCell ref="K142:L142"/>
    <mergeCell ref="M142:N142"/>
    <mergeCell ref="E144:F144"/>
    <mergeCell ref="E146:F146"/>
    <mergeCell ref="K146:L146"/>
    <mergeCell ref="M146:N146"/>
    <mergeCell ref="G144:H144"/>
    <mergeCell ref="I144:J144"/>
    <mergeCell ref="G201:H201"/>
    <mergeCell ref="I201:J201"/>
    <mergeCell ref="K201:L201"/>
    <mergeCell ref="M201:N201"/>
    <mergeCell ref="E204:F204"/>
    <mergeCell ref="G204:H204"/>
    <mergeCell ref="I204:J204"/>
    <mergeCell ref="K204:L204"/>
    <mergeCell ref="E193:F193"/>
    <mergeCell ref="K190:L190"/>
    <mergeCell ref="G240:H240"/>
    <mergeCell ref="I240:J240"/>
    <mergeCell ref="K240:L240"/>
    <mergeCell ref="M240:N240"/>
    <mergeCell ref="E241:F241"/>
    <mergeCell ref="G241:H241"/>
    <mergeCell ref="I241:J241"/>
    <mergeCell ref="K241:L241"/>
    <mergeCell ref="M241:N241"/>
    <mergeCell ref="E242:F242"/>
    <mergeCell ref="G242:H242"/>
    <mergeCell ref="I242:J242"/>
    <mergeCell ref="K242:L242"/>
    <mergeCell ref="M242:N242"/>
    <mergeCell ref="E243:F243"/>
    <mergeCell ref="G243:H243"/>
    <mergeCell ref="I243:J243"/>
    <mergeCell ref="K243:L243"/>
    <mergeCell ref="M243:N243"/>
    <mergeCell ref="E244:F244"/>
    <mergeCell ref="G244:H244"/>
    <mergeCell ref="I244:J244"/>
    <mergeCell ref="K244:L244"/>
    <mergeCell ref="M244:N244"/>
    <mergeCell ref="E245:F245"/>
    <mergeCell ref="G245:H245"/>
    <mergeCell ref="I245:J245"/>
    <mergeCell ref="K245:L245"/>
    <mergeCell ref="M245:N245"/>
    <mergeCell ref="E246:F246"/>
    <mergeCell ref="G246:H246"/>
    <mergeCell ref="I246:J246"/>
    <mergeCell ref="K246:L246"/>
    <mergeCell ref="M246:N246"/>
    <mergeCell ref="E247:F247"/>
    <mergeCell ref="G247:H247"/>
    <mergeCell ref="I247:J247"/>
    <mergeCell ref="K247:L247"/>
    <mergeCell ref="M247:N247"/>
    <mergeCell ref="E248:F248"/>
    <mergeCell ref="G248:H248"/>
    <mergeCell ref="I248:J248"/>
    <mergeCell ref="K248:L248"/>
    <mergeCell ref="M248:N248"/>
    <mergeCell ref="E249:F249"/>
    <mergeCell ref="G249:H249"/>
    <mergeCell ref="I249:J249"/>
    <mergeCell ref="K249:L249"/>
    <mergeCell ref="M249:N249"/>
    <mergeCell ref="E250:F250"/>
    <mergeCell ref="G250:H250"/>
    <mergeCell ref="I250:J250"/>
    <mergeCell ref="K250:L250"/>
    <mergeCell ref="M250:N250"/>
    <mergeCell ref="E251:F251"/>
    <mergeCell ref="G251:H251"/>
    <mergeCell ref="I251:J251"/>
    <mergeCell ref="K251:L251"/>
    <mergeCell ref="M251:N251"/>
    <mergeCell ref="E252:F252"/>
    <mergeCell ref="G252:H252"/>
    <mergeCell ref="I252:J252"/>
    <mergeCell ref="K252:L252"/>
    <mergeCell ref="M252:N252"/>
    <mergeCell ref="E253:F253"/>
    <mergeCell ref="G253:H253"/>
    <mergeCell ref="I253:J253"/>
    <mergeCell ref="K253:L253"/>
    <mergeCell ref="M253:N253"/>
    <mergeCell ref="E254:F254"/>
    <mergeCell ref="G254:H254"/>
    <mergeCell ref="I254:J254"/>
    <mergeCell ref="K254:L254"/>
    <mergeCell ref="M254:N254"/>
    <mergeCell ref="E255:F255"/>
    <mergeCell ref="G255:H255"/>
    <mergeCell ref="I255:J255"/>
    <mergeCell ref="K255:L255"/>
    <mergeCell ref="M255:N255"/>
    <mergeCell ref="E256:F256"/>
    <mergeCell ref="G256:H256"/>
    <mergeCell ref="I256:J256"/>
    <mergeCell ref="K256:L256"/>
    <mergeCell ref="M256:N256"/>
    <mergeCell ref="E257:F257"/>
    <mergeCell ref="G257:H257"/>
    <mergeCell ref="I257:J257"/>
    <mergeCell ref="K257:L257"/>
    <mergeCell ref="M257:N257"/>
    <mergeCell ref="E258:F258"/>
    <mergeCell ref="G258:H258"/>
    <mergeCell ref="I258:J258"/>
    <mergeCell ref="K258:L258"/>
    <mergeCell ref="M258:N258"/>
    <mergeCell ref="E259:F259"/>
    <mergeCell ref="G259:H259"/>
    <mergeCell ref="I259:J259"/>
    <mergeCell ref="K259:L259"/>
    <mergeCell ref="M259:N259"/>
    <mergeCell ref="E260:F260"/>
    <mergeCell ref="G260:H260"/>
    <mergeCell ref="I260:J260"/>
    <mergeCell ref="K260:L260"/>
    <mergeCell ref="M260:N260"/>
    <mergeCell ref="E261:F261"/>
    <mergeCell ref="G261:H261"/>
    <mergeCell ref="I261:J261"/>
    <mergeCell ref="K261:L261"/>
    <mergeCell ref="M261:N261"/>
    <mergeCell ref="E262:F262"/>
    <mergeCell ref="G262:H262"/>
    <mergeCell ref="I262:J262"/>
    <mergeCell ref="K262:L262"/>
    <mergeCell ref="M262:N262"/>
    <mergeCell ref="E263:F263"/>
    <mergeCell ref="G263:H263"/>
    <mergeCell ref="I263:J263"/>
    <mergeCell ref="K263:L263"/>
    <mergeCell ref="M263:N263"/>
    <mergeCell ref="G265:H265"/>
    <mergeCell ref="I265:J265"/>
    <mergeCell ref="K265:L265"/>
    <mergeCell ref="M265:N265"/>
    <mergeCell ref="E266:F266"/>
    <mergeCell ref="G266:H266"/>
    <mergeCell ref="I266:J266"/>
    <mergeCell ref="K266:L266"/>
    <mergeCell ref="M266:N266"/>
    <mergeCell ref="E272:F272"/>
    <mergeCell ref="G272:H272"/>
    <mergeCell ref="I272:J272"/>
    <mergeCell ref="K272:L272"/>
    <mergeCell ref="M272:N272"/>
    <mergeCell ref="E269:F269"/>
    <mergeCell ref="G269:H269"/>
    <mergeCell ref="I269:J269"/>
    <mergeCell ref="K269:L269"/>
    <mergeCell ref="M269:N269"/>
    <mergeCell ref="E270:F270"/>
    <mergeCell ref="G270:H270"/>
    <mergeCell ref="I270:J270"/>
    <mergeCell ref="K270:L270"/>
    <mergeCell ref="M270:N270"/>
    <mergeCell ref="E271:F271"/>
    <mergeCell ref="G271:H271"/>
    <mergeCell ref="I271:J271"/>
    <mergeCell ref="K267:L267"/>
    <mergeCell ref="M267:N267"/>
    <mergeCell ref="E268:F268"/>
    <mergeCell ref="G268:H268"/>
    <mergeCell ref="I268:J268"/>
    <mergeCell ref="K268:L268"/>
    <mergeCell ref="M268:N268"/>
    <mergeCell ref="E265:F265"/>
    <mergeCell ref="I65:J65"/>
    <mergeCell ref="I130:J130"/>
    <mergeCell ref="K130:L130"/>
    <mergeCell ref="M130:N130"/>
    <mergeCell ref="K131:L131"/>
    <mergeCell ref="E66:F66"/>
    <mergeCell ref="I66:J66"/>
    <mergeCell ref="K66:L66"/>
    <mergeCell ref="M173:N173"/>
    <mergeCell ref="K168:L168"/>
    <mergeCell ref="M168:N168"/>
    <mergeCell ref="K169:L169"/>
    <mergeCell ref="M169:N169"/>
    <mergeCell ref="E158:F158"/>
    <mergeCell ref="G158:H158"/>
    <mergeCell ref="I158:J158"/>
    <mergeCell ref="E163:F163"/>
    <mergeCell ref="G163:H163"/>
    <mergeCell ref="I163:J163"/>
    <mergeCell ref="E264:F264"/>
    <mergeCell ref="G264:H264"/>
    <mergeCell ref="I264:J264"/>
    <mergeCell ref="K264:L264"/>
    <mergeCell ref="M264:N264"/>
    <mergeCell ref="E106:F106"/>
    <mergeCell ref="G106:H106"/>
    <mergeCell ref="I106:J106"/>
    <mergeCell ref="K106:L106"/>
    <mergeCell ref="M106:N106"/>
    <mergeCell ref="E273:F273"/>
    <mergeCell ref="G273:H273"/>
    <mergeCell ref="I273:J273"/>
    <mergeCell ref="K273:L273"/>
    <mergeCell ref="M273:N273"/>
    <mergeCell ref="E199:F199"/>
    <mergeCell ref="G199:H199"/>
    <mergeCell ref="I199:J199"/>
    <mergeCell ref="K199:L199"/>
    <mergeCell ref="M199:N199"/>
    <mergeCell ref="E200:F200"/>
    <mergeCell ref="G200:H200"/>
    <mergeCell ref="I200:J200"/>
    <mergeCell ref="K200:L200"/>
    <mergeCell ref="M200:N200"/>
    <mergeCell ref="E201:F201"/>
    <mergeCell ref="M204:N204"/>
    <mergeCell ref="E202:F202"/>
    <mergeCell ref="G202:H202"/>
    <mergeCell ref="I202:J202"/>
    <mergeCell ref="K202:L202"/>
    <mergeCell ref="M202:N202"/>
    <mergeCell ref="E203:F203"/>
    <mergeCell ref="G203:H203"/>
    <mergeCell ref="I203:J203"/>
    <mergeCell ref="K203:L203"/>
    <mergeCell ref="M203:N203"/>
    <mergeCell ref="K271:L271"/>
    <mergeCell ref="M271:N271"/>
    <mergeCell ref="E267:F267"/>
    <mergeCell ref="G267:H267"/>
    <mergeCell ref="I267:J267"/>
    <mergeCell ref="E107:F107"/>
    <mergeCell ref="G107:H107"/>
    <mergeCell ref="M58:N58"/>
    <mergeCell ref="K56:L56"/>
    <mergeCell ref="M56:N56"/>
    <mergeCell ref="I56:J56"/>
    <mergeCell ref="M57:N57"/>
    <mergeCell ref="E56:F56"/>
    <mergeCell ref="K65:L65"/>
    <mergeCell ref="K61:L61"/>
    <mergeCell ref="M61:N61"/>
    <mergeCell ref="G61:H61"/>
    <mergeCell ref="G62:H62"/>
    <mergeCell ref="I62:J62"/>
    <mergeCell ref="K62:L62"/>
    <mergeCell ref="M62:N62"/>
    <mergeCell ref="E60:F60"/>
    <mergeCell ref="E61:F61"/>
    <mergeCell ref="E62:F62"/>
    <mergeCell ref="M60:N60"/>
    <mergeCell ref="K63:L63"/>
    <mergeCell ref="I61:J61"/>
    <mergeCell ref="E65:F65"/>
    <mergeCell ref="G65:H65"/>
    <mergeCell ref="K67:L67"/>
    <mergeCell ref="M67:N67"/>
    <mergeCell ref="G67:H67"/>
    <mergeCell ref="G56:H56"/>
    <mergeCell ref="M65:N65"/>
    <mergeCell ref="G66:H66"/>
    <mergeCell ref="M66:N66"/>
    <mergeCell ref="I64:J64"/>
    <mergeCell ref="M64:N64"/>
    <mergeCell ref="E64:F64"/>
    <mergeCell ref="E105:F105"/>
    <mergeCell ref="G105:H105"/>
    <mergeCell ref="I105:J105"/>
    <mergeCell ref="K105:L105"/>
    <mergeCell ref="M105:N105"/>
    <mergeCell ref="I67:J67"/>
    <mergeCell ref="K68:L68"/>
    <mergeCell ref="M68:N68"/>
    <mergeCell ref="E68:F68"/>
    <mergeCell ref="G68:H68"/>
    <mergeCell ref="E67:F67"/>
    <mergeCell ref="K71:L71"/>
    <mergeCell ref="M71:N71"/>
    <mergeCell ref="E71:F71"/>
    <mergeCell ref="G71:H71"/>
    <mergeCell ref="I71:J71"/>
    <mergeCell ref="I68:J68"/>
    <mergeCell ref="E69:F69"/>
    <mergeCell ref="G69:H69"/>
    <mergeCell ref="I69:J69"/>
    <mergeCell ref="K69:L69"/>
    <mergeCell ref="K64:L64"/>
    <mergeCell ref="G64:H64"/>
    <mergeCell ref="G81:H81"/>
    <mergeCell ref="I81:J81"/>
    <mergeCell ref="K81:L81"/>
    <mergeCell ref="M81:N81"/>
    <mergeCell ref="E82:F82"/>
    <mergeCell ref="G82:H82"/>
    <mergeCell ref="I82:J82"/>
    <mergeCell ref="A100:B101"/>
    <mergeCell ref="C100:D101"/>
    <mergeCell ref="E100:N100"/>
    <mergeCell ref="E101:F101"/>
    <mergeCell ref="G101:H101"/>
    <mergeCell ref="I101:J101"/>
    <mergeCell ref="K101:L101"/>
    <mergeCell ref="M101:N101"/>
    <mergeCell ref="E103:F103"/>
    <mergeCell ref="G103:H103"/>
    <mergeCell ref="I103:J103"/>
    <mergeCell ref="K103:L103"/>
    <mergeCell ref="M103:N103"/>
    <mergeCell ref="E104:F104"/>
    <mergeCell ref="G104:H104"/>
    <mergeCell ref="I104:J104"/>
    <mergeCell ref="K104:L104"/>
    <mergeCell ref="M104:N104"/>
    <mergeCell ref="M119:N119"/>
    <mergeCell ref="G112:H112"/>
    <mergeCell ref="I112:J112"/>
    <mergeCell ref="K112:L112"/>
    <mergeCell ref="M112:N112"/>
    <mergeCell ref="E113:F113"/>
    <mergeCell ref="G113:H113"/>
    <mergeCell ref="I113:J113"/>
    <mergeCell ref="K113:L113"/>
    <mergeCell ref="M113:N113"/>
    <mergeCell ref="E114:F114"/>
    <mergeCell ref="G114:H114"/>
    <mergeCell ref="I114:J114"/>
    <mergeCell ref="K114:L114"/>
    <mergeCell ref="M114:N114"/>
    <mergeCell ref="E115:F115"/>
    <mergeCell ref="G115:H115"/>
    <mergeCell ref="I115:J115"/>
    <mergeCell ref="K115:L115"/>
    <mergeCell ref="M115:N115"/>
    <mergeCell ref="A125:B126"/>
    <mergeCell ref="C125:D126"/>
    <mergeCell ref="E125:N125"/>
    <mergeCell ref="E126:F126"/>
    <mergeCell ref="G126:H126"/>
    <mergeCell ref="I126:J126"/>
    <mergeCell ref="K126:L126"/>
    <mergeCell ref="M126:N126"/>
    <mergeCell ref="E128:F128"/>
    <mergeCell ref="G128:H128"/>
    <mergeCell ref="I128:J128"/>
    <mergeCell ref="K128:L128"/>
    <mergeCell ref="M128:N128"/>
    <mergeCell ref="E116:F116"/>
    <mergeCell ref="G116:H116"/>
    <mergeCell ref="I116:J116"/>
    <mergeCell ref="K116:L116"/>
    <mergeCell ref="M116:N116"/>
    <mergeCell ref="E117:F117"/>
    <mergeCell ref="G117:H117"/>
    <mergeCell ref="I117:J117"/>
    <mergeCell ref="K117:L117"/>
    <mergeCell ref="M117:N117"/>
    <mergeCell ref="E118:F118"/>
    <mergeCell ref="G118:H118"/>
    <mergeCell ref="I118:J118"/>
    <mergeCell ref="K118:L118"/>
    <mergeCell ref="M118:N118"/>
    <mergeCell ref="E119:F119"/>
    <mergeCell ref="G119:H119"/>
    <mergeCell ref="I119:J119"/>
    <mergeCell ref="K119:L119"/>
    <mergeCell ref="K129:L129"/>
    <mergeCell ref="M129:N129"/>
    <mergeCell ref="M144:N144"/>
    <mergeCell ref="K145:L145"/>
    <mergeCell ref="M145:N145"/>
    <mergeCell ref="E149:F149"/>
    <mergeCell ref="G149:H149"/>
    <mergeCell ref="I149:J149"/>
    <mergeCell ref="K149:L149"/>
    <mergeCell ref="M149:N149"/>
    <mergeCell ref="E120:F120"/>
    <mergeCell ref="G120:H120"/>
    <mergeCell ref="I120:J120"/>
    <mergeCell ref="K120:L120"/>
    <mergeCell ref="M120:N120"/>
    <mergeCell ref="K121:L121"/>
    <mergeCell ref="M121:N121"/>
    <mergeCell ref="G127:H127"/>
    <mergeCell ref="I127:J127"/>
    <mergeCell ref="K127:L127"/>
    <mergeCell ref="M127:N127"/>
    <mergeCell ref="E121:F121"/>
    <mergeCell ref="G121:H121"/>
    <mergeCell ref="I121:J121"/>
    <mergeCell ref="G146:H146"/>
    <mergeCell ref="K139:L139"/>
    <mergeCell ref="I139:J139"/>
    <mergeCell ref="G139:H139"/>
    <mergeCell ref="E139:F139"/>
    <mergeCell ref="M133:N133"/>
    <mergeCell ref="E134:F134"/>
    <mergeCell ref="G134:H134"/>
  </mergeCells>
  <phoneticPr fontId="37" type="noConversion"/>
  <pageMargins left="1.1023622047244095" right="0.35433070866141736" top="0.6692913385826772" bottom="0.39370078740157483" header="0" footer="0"/>
  <pageSetup paperSize="9" scale="77" fitToHeight="0"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D268C00C-3587-46A2-9FF8-7104B571FE80}">
          <x14:formula1>
            <xm:f>'Database '!$A$2:$A$3</xm:f>
          </x14:formula1>
          <xm:sqref>B27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49D64-234D-4EEB-9EB9-92A98D3B3F4C}">
  <dimension ref="A4:V127"/>
  <sheetViews>
    <sheetView topLeftCell="A117" workbookViewId="0">
      <selection activeCell="A102" sqref="A102:N127"/>
    </sheetView>
  </sheetViews>
  <sheetFormatPr defaultRowHeight="14.4" x14ac:dyDescent="0.3"/>
  <cols>
    <col min="3" max="3" width="13.77734375" bestFit="1" customWidth="1"/>
    <col min="4" max="4" width="8.88671875" customWidth="1"/>
    <col min="16" max="16" width="10.77734375" bestFit="1" customWidth="1"/>
    <col min="21" max="21" width="10.44140625" bestFit="1" customWidth="1"/>
    <col min="22" max="22" width="9.44140625" bestFit="1" customWidth="1"/>
  </cols>
  <sheetData>
    <row r="4" spans="1:17" x14ac:dyDescent="0.3">
      <c r="A4" s="789" t="s">
        <v>27</v>
      </c>
      <c r="B4" s="790"/>
      <c r="C4" s="789" t="s">
        <v>28</v>
      </c>
      <c r="D4" s="790"/>
      <c r="E4" s="793" t="s">
        <v>29</v>
      </c>
      <c r="F4" s="794"/>
      <c r="G4" s="794"/>
      <c r="H4" s="794"/>
      <c r="I4" s="794"/>
      <c r="J4" s="794"/>
      <c r="K4" s="794"/>
      <c r="L4" s="794"/>
      <c r="M4" s="794"/>
      <c r="N4" s="780"/>
    </row>
    <row r="5" spans="1:17" x14ac:dyDescent="0.3">
      <c r="A5" s="815"/>
      <c r="B5" s="792"/>
      <c r="C5" s="791"/>
      <c r="D5" s="792"/>
      <c r="E5" s="793" t="s">
        <v>30</v>
      </c>
      <c r="F5" s="780"/>
      <c r="G5" s="793" t="s">
        <v>31</v>
      </c>
      <c r="H5" s="780"/>
      <c r="I5" s="793" t="s">
        <v>32</v>
      </c>
      <c r="J5" s="780"/>
      <c r="K5" s="793" t="s">
        <v>33</v>
      </c>
      <c r="L5" s="780"/>
      <c r="M5" s="793" t="s">
        <v>34</v>
      </c>
      <c r="N5" s="780"/>
      <c r="P5" t="s">
        <v>648</v>
      </c>
    </row>
    <row r="6" spans="1:17" x14ac:dyDescent="0.3">
      <c r="A6" s="616">
        <v>600</v>
      </c>
      <c r="B6" s="623" t="s">
        <v>35</v>
      </c>
      <c r="C6" s="614"/>
      <c r="D6" s="613"/>
      <c r="E6" s="801"/>
      <c r="F6" s="822"/>
      <c r="G6" s="801"/>
      <c r="H6" s="822"/>
      <c r="I6" s="801"/>
      <c r="J6" s="822"/>
      <c r="K6" s="801"/>
      <c r="L6" s="822"/>
      <c r="M6" s="801"/>
      <c r="N6" s="822"/>
      <c r="P6" s="566" t="s">
        <v>638</v>
      </c>
      <c r="Q6" s="566" t="s">
        <v>639</v>
      </c>
    </row>
    <row r="7" spans="1:17" x14ac:dyDescent="0.3">
      <c r="A7" s="615">
        <v>-60</v>
      </c>
      <c r="B7" s="526">
        <f>IF(P7&lt;=0.1,(ABS(SUM(AVERAGE(E7:N7),A7)/2)), "Non EMF")</f>
        <v>0</v>
      </c>
      <c r="C7" s="40">
        <f>IF(0.1*A6 &lt;329.9999, 0.1*A6,0.1*A6/1000)</f>
        <v>60</v>
      </c>
      <c r="D7" s="41" t="str">
        <f>IF(P7&lt;=0.329999,"mV",
IF(P7&lt;=3.29999, "V1",
IF(P7&lt;=32.9999,"V2",
IF(P7&lt;=329.9999,"V3",
IF(P7&lt;=1020,"V4",
"Number Out of Range"
)))))</f>
        <v>mV</v>
      </c>
      <c r="E7" s="779">
        <v>60</v>
      </c>
      <c r="F7" s="795"/>
      <c r="G7" s="779">
        <v>60</v>
      </c>
      <c r="H7" s="795"/>
      <c r="I7" s="779">
        <v>60</v>
      </c>
      <c r="J7" s="795"/>
      <c r="K7" s="779">
        <v>60</v>
      </c>
      <c r="L7" s="795"/>
      <c r="M7" s="779">
        <v>60</v>
      </c>
      <c r="N7" s="795"/>
      <c r="P7" s="566">
        <f>IF(B6="mV",A6*0.1/1000)</f>
        <v>0.06</v>
      </c>
      <c r="Q7" s="566" t="s">
        <v>36</v>
      </c>
    </row>
    <row r="8" spans="1:17" x14ac:dyDescent="0.3">
      <c r="A8" s="27"/>
      <c r="B8" s="526" t="str">
        <f t="shared" ref="B8:B25" si="0">IF(P8&lt;=0.1,(ABS(SUM(AVERAGE(E8:N8),A8)/2)), "Non EMF")</f>
        <v>Non EMF</v>
      </c>
      <c r="C8" s="40">
        <f>IF(0.5*A6 &lt;329.9999, 0.5*A6,0.1*A6/1000)</f>
        <v>300</v>
      </c>
      <c r="D8" s="41" t="str">
        <f t="shared" ref="D8:D9" si="1">IF(P8&lt;=0.329999,"mV",
IF(P8&lt;=3.29999, "V1",
IF(P8&lt;=32.9999,"V2",
IF(P8&lt;=329.9999,"V3",
IF(P8&lt;=1020,"V4",
"Number Out of Range"
)))))</f>
        <v>mV</v>
      </c>
      <c r="E8" s="779">
        <v>299.89999999999998</v>
      </c>
      <c r="F8" s="795"/>
      <c r="G8" s="779">
        <v>299.89999999999998</v>
      </c>
      <c r="H8" s="795"/>
      <c r="I8" s="779">
        <v>299.89999999999998</v>
      </c>
      <c r="J8" s="795"/>
      <c r="K8" s="779">
        <v>299.89999999999998</v>
      </c>
      <c r="L8" s="795"/>
      <c r="M8" s="779">
        <v>299.89999999999998</v>
      </c>
      <c r="N8" s="795"/>
      <c r="P8" s="566">
        <f>IF(B6="mV",A6*0.5/1000)</f>
        <v>0.3</v>
      </c>
      <c r="Q8" s="566" t="s">
        <v>36</v>
      </c>
    </row>
    <row r="9" spans="1:17" x14ac:dyDescent="0.3">
      <c r="A9" s="619"/>
      <c r="B9" s="526" t="str">
        <f t="shared" si="0"/>
        <v>Non EMF</v>
      </c>
      <c r="C9" s="40">
        <f>IF(0.9*A6&lt;329.9999,0.9*A6,(0.9*A6)/1000)</f>
        <v>0.54</v>
      </c>
      <c r="D9" s="41" t="str">
        <f t="shared" si="1"/>
        <v>V1</v>
      </c>
      <c r="E9" s="779">
        <v>539.9</v>
      </c>
      <c r="F9" s="795"/>
      <c r="G9" s="779">
        <v>539.9</v>
      </c>
      <c r="H9" s="795"/>
      <c r="I9" s="779">
        <v>539.9</v>
      </c>
      <c r="J9" s="795"/>
      <c r="K9" s="779">
        <v>539.9</v>
      </c>
      <c r="L9" s="795"/>
      <c r="M9" s="779">
        <v>539.9</v>
      </c>
      <c r="N9" s="795"/>
      <c r="P9" s="566">
        <f>IF(B6="mV",A6*0.9/1000)</f>
        <v>0.54</v>
      </c>
      <c r="Q9" s="566" t="s">
        <v>36</v>
      </c>
    </row>
    <row r="10" spans="1:17" x14ac:dyDescent="0.3">
      <c r="A10" s="621">
        <v>6</v>
      </c>
      <c r="B10" s="623" t="s">
        <v>36</v>
      </c>
      <c r="C10" s="612"/>
      <c r="D10" s="613"/>
      <c r="E10" s="788"/>
      <c r="F10" s="786"/>
      <c r="G10" s="788"/>
      <c r="H10" s="786"/>
      <c r="I10" s="788"/>
      <c r="J10" s="786"/>
      <c r="K10" s="788"/>
      <c r="L10" s="786"/>
      <c r="M10" s="788"/>
      <c r="N10" s="786"/>
      <c r="P10" s="566"/>
      <c r="Q10" s="566"/>
    </row>
    <row r="11" spans="1:17" x14ac:dyDescent="0.3">
      <c r="A11" s="620"/>
      <c r="B11" s="526" t="str">
        <f t="shared" si="0"/>
        <v>Non EMF</v>
      </c>
      <c r="C11" s="42">
        <f>0.1*A10</f>
        <v>0.60000000000000009</v>
      </c>
      <c r="D11" s="41" t="str">
        <f>IF(P11&lt;=0.329999,"mV",
IF(P11&lt;=3.29999, "V1",
IF(P11&lt;=32.9999,"V2",
IF(P11&lt;=329.9999,"V3",
IF(P11&lt;=1020,"V4",
"Number Out of Range"
)))))</f>
        <v>V1</v>
      </c>
      <c r="E11" s="823">
        <v>0.6</v>
      </c>
      <c r="F11" s="825"/>
      <c r="G11" s="823">
        <v>0.6</v>
      </c>
      <c r="H11" s="825"/>
      <c r="I11" s="823">
        <v>0.6</v>
      </c>
      <c r="J11" s="825"/>
      <c r="K11" s="823">
        <v>0.6</v>
      </c>
      <c r="L11" s="825"/>
      <c r="M11" s="823">
        <v>0.6</v>
      </c>
      <c r="N11" s="825"/>
      <c r="P11" s="566">
        <f>A10*0.1</f>
        <v>0.60000000000000009</v>
      </c>
      <c r="Q11" s="566" t="s">
        <v>36</v>
      </c>
    </row>
    <row r="12" spans="1:17" x14ac:dyDescent="0.3">
      <c r="A12" s="44"/>
      <c r="B12" s="526" t="str">
        <f t="shared" si="0"/>
        <v>Non EMF</v>
      </c>
      <c r="C12" s="42">
        <f>0.5*A10</f>
        <v>3</v>
      </c>
      <c r="D12" s="41" t="str">
        <f t="shared" ref="D12:D13" si="2">IF(P12&lt;=0.329999,"mV",
IF(P12&lt;=3.29999, "V1",
IF(P12&lt;=32.9999,"V2",
IF(P12&lt;=329.9999,"V3",
IF(P12&lt;=1020,"V4",
"Number Out of Range"
)))))</f>
        <v>V1</v>
      </c>
      <c r="E12" s="823">
        <v>2.9990000000000001</v>
      </c>
      <c r="F12" s="826"/>
      <c r="G12" s="823">
        <v>2.9990000000000001</v>
      </c>
      <c r="H12" s="826"/>
      <c r="I12" s="823">
        <v>2.9990000000000001</v>
      </c>
      <c r="J12" s="826"/>
      <c r="K12" s="823">
        <v>2.9990000000000001</v>
      </c>
      <c r="L12" s="826"/>
      <c r="M12" s="823">
        <v>2.9990000000000001</v>
      </c>
      <c r="N12" s="826"/>
      <c r="P12" s="566">
        <f>0.5*A10</f>
        <v>3</v>
      </c>
      <c r="Q12" s="566" t="s">
        <v>36</v>
      </c>
    </row>
    <row r="13" spans="1:17" x14ac:dyDescent="0.3">
      <c r="A13" s="44"/>
      <c r="B13" s="526" t="str">
        <f t="shared" si="0"/>
        <v>Non EMF</v>
      </c>
      <c r="C13" s="43">
        <f>0.9*A10</f>
        <v>5.4</v>
      </c>
      <c r="D13" s="41" t="str">
        <f t="shared" si="2"/>
        <v>V2</v>
      </c>
      <c r="E13" s="823">
        <v>5.399</v>
      </c>
      <c r="F13" s="825"/>
      <c r="G13" s="823">
        <v>5.399</v>
      </c>
      <c r="H13" s="825"/>
      <c r="I13" s="823">
        <v>5.399</v>
      </c>
      <c r="J13" s="825"/>
      <c r="K13" s="823">
        <v>5.399</v>
      </c>
      <c r="L13" s="825"/>
      <c r="M13" s="823">
        <v>5.399</v>
      </c>
      <c r="N13" s="825"/>
      <c r="P13" s="566">
        <f>0.9*A10</f>
        <v>5.4</v>
      </c>
      <c r="Q13" s="566" t="s">
        <v>36</v>
      </c>
    </row>
    <row r="14" spans="1:17" x14ac:dyDescent="0.3">
      <c r="A14" s="617">
        <v>60</v>
      </c>
      <c r="B14" s="623" t="s">
        <v>36</v>
      </c>
      <c r="C14" s="612"/>
      <c r="D14" s="613"/>
      <c r="E14" s="788"/>
      <c r="F14" s="786"/>
      <c r="G14" s="788"/>
      <c r="H14" s="786"/>
      <c r="I14" s="788"/>
      <c r="J14" s="786"/>
      <c r="K14" s="788"/>
      <c r="L14" s="786"/>
      <c r="M14" s="788"/>
      <c r="N14" s="786"/>
      <c r="P14" s="566"/>
      <c r="Q14" s="566"/>
    </row>
    <row r="15" spans="1:17" x14ac:dyDescent="0.3">
      <c r="A15" s="51"/>
      <c r="B15" s="526" t="str">
        <f t="shared" si="0"/>
        <v>Non EMF</v>
      </c>
      <c r="C15" s="43">
        <f>0.1*A14</f>
        <v>6</v>
      </c>
      <c r="D15" s="41" t="str">
        <f>IF(P15&lt;=0.329999,"mV",
IF(P15&lt;=3.29999, "V1",
IF(P15&lt;=32.9999,"V2",
IF(P15&lt;=329.9999,"V3",
IF(P15&lt;=1020,"V4",
"Number Out of Range"
)))))</f>
        <v>V2</v>
      </c>
      <c r="E15" s="827">
        <v>6</v>
      </c>
      <c r="F15" s="826"/>
      <c r="G15" s="827">
        <v>6</v>
      </c>
      <c r="H15" s="826"/>
      <c r="I15" s="827">
        <v>6</v>
      </c>
      <c r="J15" s="826"/>
      <c r="K15" s="827">
        <v>6</v>
      </c>
      <c r="L15" s="826"/>
      <c r="M15" s="827">
        <v>6</v>
      </c>
      <c r="N15" s="826"/>
      <c r="P15" s="566">
        <f>0.1*A14</f>
        <v>6</v>
      </c>
      <c r="Q15" s="566" t="s">
        <v>36</v>
      </c>
    </row>
    <row r="16" spans="1:17" x14ac:dyDescent="0.3">
      <c r="A16" s="27"/>
      <c r="B16" s="526" t="str">
        <f t="shared" si="0"/>
        <v>Non EMF</v>
      </c>
      <c r="C16" s="43">
        <f>0.5*A14</f>
        <v>30</v>
      </c>
      <c r="D16" s="41" t="str">
        <f t="shared" ref="D16:D17" si="3">IF(P16&lt;=0.329999,"mV",
IF(P16&lt;=3.29999, "V1",
IF(P16&lt;=32.9999,"V2",
IF(P16&lt;=329.9999,"V3",
IF(P16&lt;=1020,"V4",
"Number Out of Range"
)))))</f>
        <v>V2</v>
      </c>
      <c r="E16" s="827">
        <v>30</v>
      </c>
      <c r="F16" s="826"/>
      <c r="G16" s="827">
        <v>30</v>
      </c>
      <c r="H16" s="826"/>
      <c r="I16" s="827">
        <v>30</v>
      </c>
      <c r="J16" s="826"/>
      <c r="K16" s="827">
        <v>30</v>
      </c>
      <c r="L16" s="826"/>
      <c r="M16" s="827">
        <v>30</v>
      </c>
      <c r="N16" s="826"/>
      <c r="P16" s="566">
        <f>0.5*A14</f>
        <v>30</v>
      </c>
      <c r="Q16" s="566" t="s">
        <v>36</v>
      </c>
    </row>
    <row r="17" spans="1:17" x14ac:dyDescent="0.3">
      <c r="A17" s="27"/>
      <c r="B17" s="526" t="str">
        <f t="shared" si="0"/>
        <v>Non EMF</v>
      </c>
      <c r="C17" s="40">
        <f>0.9*A14</f>
        <v>54</v>
      </c>
      <c r="D17" s="41" t="str">
        <f t="shared" si="3"/>
        <v>V3</v>
      </c>
      <c r="E17" s="827">
        <v>53.99</v>
      </c>
      <c r="F17" s="829"/>
      <c r="G17" s="827">
        <v>53.99</v>
      </c>
      <c r="H17" s="829"/>
      <c r="I17" s="827">
        <v>53.99</v>
      </c>
      <c r="J17" s="829"/>
      <c r="K17" s="827">
        <v>53.99</v>
      </c>
      <c r="L17" s="829"/>
      <c r="M17" s="827">
        <v>53.99</v>
      </c>
      <c r="N17" s="829"/>
      <c r="P17" s="566">
        <f>0.9*A14</f>
        <v>54</v>
      </c>
      <c r="Q17" s="566" t="s">
        <v>36</v>
      </c>
    </row>
    <row r="18" spans="1:17" x14ac:dyDescent="0.3">
      <c r="A18" s="618">
        <v>600</v>
      </c>
      <c r="B18" s="623" t="s">
        <v>36</v>
      </c>
      <c r="C18" s="612"/>
      <c r="D18" s="613"/>
      <c r="E18" s="788"/>
      <c r="F18" s="786"/>
      <c r="G18" s="788"/>
      <c r="H18" s="786"/>
      <c r="I18" s="788"/>
      <c r="J18" s="786"/>
      <c r="K18" s="788"/>
      <c r="L18" s="786"/>
      <c r="M18" s="788"/>
      <c r="N18" s="786"/>
      <c r="P18" s="566"/>
      <c r="Q18" s="566"/>
    </row>
    <row r="19" spans="1:17" x14ac:dyDescent="0.3">
      <c r="A19" s="27"/>
      <c r="B19" s="526" t="str">
        <f t="shared" si="0"/>
        <v>Non EMF</v>
      </c>
      <c r="C19" s="40">
        <f>0.1*A18</f>
        <v>60</v>
      </c>
      <c r="D19" s="41" t="str">
        <f>IF(P19&lt;=0.329999,"mV",
IF(P19&lt;=3.29999, "V1",
IF(P19&lt;=32.9999,"V2",
IF(P19&lt;=329.9999,"V3",
IF(P19&lt;=1020,"V4",
"Number Out of Range"
)))))</f>
        <v>V3</v>
      </c>
      <c r="E19" s="779">
        <v>60</v>
      </c>
      <c r="F19" s="780"/>
      <c r="G19" s="779">
        <v>60</v>
      </c>
      <c r="H19" s="780"/>
      <c r="I19" s="779">
        <v>60</v>
      </c>
      <c r="J19" s="780"/>
      <c r="K19" s="779">
        <v>60</v>
      </c>
      <c r="L19" s="780"/>
      <c r="M19" s="779">
        <v>60</v>
      </c>
      <c r="N19" s="780"/>
      <c r="P19" s="566">
        <f>0.1*A18</f>
        <v>60</v>
      </c>
      <c r="Q19" s="566" t="s">
        <v>36</v>
      </c>
    </row>
    <row r="20" spans="1:17" x14ac:dyDescent="0.3">
      <c r="A20" s="27"/>
      <c r="B20" s="526" t="str">
        <f t="shared" si="0"/>
        <v>Non EMF</v>
      </c>
      <c r="C20" s="40">
        <f>0.5*A18</f>
        <v>300</v>
      </c>
      <c r="D20" s="41" t="str">
        <f t="shared" ref="D20:D21" si="4">IF(P20&lt;=0.329999,"mV",
IF(P20&lt;=3.29999, "V1",
IF(P20&lt;=32.9999,"V2",
IF(P20&lt;=329.9999,"V3",
IF(P20&lt;=1020,"V4",
"Number Out of Range"
)))))</f>
        <v>V3</v>
      </c>
      <c r="E20" s="779">
        <v>299.89999999999998</v>
      </c>
      <c r="F20" s="780"/>
      <c r="G20" s="779">
        <v>299.89999999999998</v>
      </c>
      <c r="H20" s="780"/>
      <c r="I20" s="779">
        <v>299.89999999999998</v>
      </c>
      <c r="J20" s="780"/>
      <c r="K20" s="779">
        <v>299.89999999999998</v>
      </c>
      <c r="L20" s="780"/>
      <c r="M20" s="779">
        <v>299.89999999999998</v>
      </c>
      <c r="N20" s="780"/>
      <c r="P20" s="566">
        <f>0.5*A18</f>
        <v>300</v>
      </c>
      <c r="Q20" s="566" t="s">
        <v>36</v>
      </c>
    </row>
    <row r="21" spans="1:17" x14ac:dyDescent="0.3">
      <c r="A21" s="32"/>
      <c r="B21" s="526" t="str">
        <f t="shared" si="0"/>
        <v>Non EMF</v>
      </c>
      <c r="C21" s="44">
        <f>0.9*A18</f>
        <v>540</v>
      </c>
      <c r="D21" s="41" t="str">
        <f t="shared" si="4"/>
        <v>V4</v>
      </c>
      <c r="E21" s="779">
        <v>539.9</v>
      </c>
      <c r="F21" s="802"/>
      <c r="G21" s="779">
        <v>539.9</v>
      </c>
      <c r="H21" s="802"/>
      <c r="I21" s="779">
        <v>539.9</v>
      </c>
      <c r="J21" s="802"/>
      <c r="K21" s="779">
        <v>539.9</v>
      </c>
      <c r="L21" s="802"/>
      <c r="M21" s="779">
        <v>539.9</v>
      </c>
      <c r="N21" s="802"/>
      <c r="P21" s="566">
        <f>0.9*A18</f>
        <v>540</v>
      </c>
      <c r="Q21" s="566" t="s">
        <v>36</v>
      </c>
    </row>
    <row r="22" spans="1:17" x14ac:dyDescent="0.3">
      <c r="A22" s="622">
        <v>1000</v>
      </c>
      <c r="B22" s="623" t="s">
        <v>36</v>
      </c>
      <c r="C22" s="612"/>
      <c r="D22" s="613"/>
      <c r="E22" s="788"/>
      <c r="F22" s="786"/>
      <c r="G22" s="788"/>
      <c r="H22" s="786"/>
      <c r="I22" s="788"/>
      <c r="J22" s="786"/>
      <c r="K22" s="788"/>
      <c r="L22" s="786"/>
      <c r="M22" s="788"/>
      <c r="N22" s="786"/>
      <c r="P22" s="566"/>
      <c r="Q22" s="566"/>
    </row>
    <row r="23" spans="1:17" x14ac:dyDescent="0.3">
      <c r="A23" s="36"/>
      <c r="B23" s="526" t="str">
        <f t="shared" si="0"/>
        <v>Non EMF</v>
      </c>
      <c r="C23" s="40">
        <f>0.1*A22</f>
        <v>100</v>
      </c>
      <c r="D23" s="41" t="str">
        <f>IF(P23&lt;=0.329999,"mV",
IF(P23&lt;=3.29999, "V1",
IF(P23&lt;=32.9999,"V2",
IF(P23&lt;=329.9999,"V3",
IF(P23&lt;=1020,"V4",
"Number Out of Range"
)))))</f>
        <v>V3</v>
      </c>
      <c r="E23" s="803">
        <v>100</v>
      </c>
      <c r="F23" s="804"/>
      <c r="G23" s="803">
        <v>100</v>
      </c>
      <c r="H23" s="804"/>
      <c r="I23" s="803">
        <v>100</v>
      </c>
      <c r="J23" s="804"/>
      <c r="K23" s="803">
        <v>100</v>
      </c>
      <c r="L23" s="804"/>
      <c r="M23" s="803">
        <v>100</v>
      </c>
      <c r="N23" s="804"/>
      <c r="P23" s="566">
        <f>0.1*A22</f>
        <v>100</v>
      </c>
      <c r="Q23" s="566" t="s">
        <v>36</v>
      </c>
    </row>
    <row r="24" spans="1:17" x14ac:dyDescent="0.3">
      <c r="A24" s="27"/>
      <c r="B24" s="526" t="str">
        <f t="shared" si="0"/>
        <v>Non EMF</v>
      </c>
      <c r="C24" s="44">
        <f>0.5*A22</f>
        <v>500</v>
      </c>
      <c r="D24" s="41" t="str">
        <f t="shared" ref="D24:D25" si="5">IF(P24&lt;=0.329999,"mV",
IF(P24&lt;=3.29999, "V1",
IF(P24&lt;=32.9999,"V2",
IF(P24&lt;=329.9999,"V3",
IF(P24&lt;=1020,"V4",
"Number Out of Range"
)))))</f>
        <v>V4</v>
      </c>
      <c r="E24" s="803">
        <v>500</v>
      </c>
      <c r="F24" s="804"/>
      <c r="G24" s="803">
        <v>500</v>
      </c>
      <c r="H24" s="804"/>
      <c r="I24" s="803">
        <v>500</v>
      </c>
      <c r="J24" s="804"/>
      <c r="K24" s="803">
        <v>500</v>
      </c>
      <c r="L24" s="804"/>
      <c r="M24" s="803">
        <v>500</v>
      </c>
      <c r="N24" s="804"/>
      <c r="P24" s="566">
        <f>0.5*A22</f>
        <v>500</v>
      </c>
      <c r="Q24" s="566" t="s">
        <v>36</v>
      </c>
    </row>
    <row r="25" spans="1:17" x14ac:dyDescent="0.3">
      <c r="A25" s="27"/>
      <c r="B25" s="526" t="str">
        <f t="shared" si="0"/>
        <v>Non EMF</v>
      </c>
      <c r="C25" s="44">
        <f>0.9*A22</f>
        <v>900</v>
      </c>
      <c r="D25" s="41" t="str">
        <f t="shared" si="5"/>
        <v>V4</v>
      </c>
      <c r="E25" s="830">
        <v>900</v>
      </c>
      <c r="F25" s="804"/>
      <c r="G25" s="830">
        <v>900</v>
      </c>
      <c r="H25" s="804"/>
      <c r="I25" s="830">
        <v>900</v>
      </c>
      <c r="J25" s="804"/>
      <c r="K25" s="830">
        <v>900</v>
      </c>
      <c r="L25" s="804"/>
      <c r="M25" s="830">
        <v>900</v>
      </c>
      <c r="N25" s="804"/>
      <c r="P25" s="566">
        <f>0.9*A22</f>
        <v>900</v>
      </c>
      <c r="Q25" s="566" t="s">
        <v>36</v>
      </c>
    </row>
    <row r="29" spans="1:17" x14ac:dyDescent="0.3">
      <c r="A29" s="789" t="s">
        <v>27</v>
      </c>
      <c r="B29" s="790"/>
      <c r="C29" s="789" t="s">
        <v>28</v>
      </c>
      <c r="D29" s="790"/>
      <c r="E29" s="793" t="s">
        <v>29</v>
      </c>
      <c r="F29" s="794"/>
      <c r="G29" s="794"/>
      <c r="H29" s="794"/>
      <c r="I29" s="794"/>
      <c r="J29" s="794"/>
      <c r="K29" s="794"/>
      <c r="L29" s="794"/>
      <c r="M29" s="794"/>
      <c r="N29" s="780"/>
    </row>
    <row r="30" spans="1:17" x14ac:dyDescent="0.3">
      <c r="A30" s="815"/>
      <c r="B30" s="792"/>
      <c r="C30" s="791"/>
      <c r="D30" s="792"/>
      <c r="E30" s="793" t="s">
        <v>30</v>
      </c>
      <c r="F30" s="780"/>
      <c r="G30" s="793" t="s">
        <v>31</v>
      </c>
      <c r="H30" s="780"/>
      <c r="I30" s="793" t="s">
        <v>32</v>
      </c>
      <c r="J30" s="780"/>
      <c r="K30" s="793" t="s">
        <v>33</v>
      </c>
      <c r="L30" s="780"/>
      <c r="M30" s="793" t="s">
        <v>34</v>
      </c>
      <c r="N30" s="780"/>
    </row>
    <row r="31" spans="1:17" x14ac:dyDescent="0.3">
      <c r="A31" s="617">
        <v>600</v>
      </c>
      <c r="B31" s="623" t="s">
        <v>35</v>
      </c>
      <c r="C31" s="631"/>
      <c r="D31" s="632"/>
      <c r="E31" s="627"/>
      <c r="F31" s="628"/>
      <c r="G31" s="627"/>
      <c r="H31" s="628"/>
      <c r="I31" s="627"/>
      <c r="J31" s="628"/>
      <c r="K31" s="627"/>
      <c r="L31" s="628"/>
      <c r="M31" s="627"/>
      <c r="N31" s="628"/>
      <c r="P31" s="566" t="s">
        <v>638</v>
      </c>
      <c r="Q31" s="566" t="s">
        <v>639</v>
      </c>
    </row>
    <row r="32" spans="1:17" x14ac:dyDescent="0.3">
      <c r="A32" s="617">
        <v>50</v>
      </c>
      <c r="B32" s="623" t="s">
        <v>39</v>
      </c>
      <c r="C32" s="40">
        <f>IF(0.1*A31 &lt;329.9999, 0.1*A31,0.1*A31/1000)</f>
        <v>60</v>
      </c>
      <c r="D32" s="41" t="str">
        <f>IF(P32&lt;=0.329999,"mV",
IF(P32&lt;=3.29999, "V1",
IF(P32&lt;=32.9999,"V2",
IF(P32&lt;=329.9999,"V3",
IF(P32&lt;=1020,"V4",
"Number Out of Range"
)))))</f>
        <v>mV</v>
      </c>
      <c r="E32" s="779">
        <v>60.3</v>
      </c>
      <c r="F32" s="802"/>
      <c r="G32" s="779">
        <v>60.3</v>
      </c>
      <c r="H32" s="802"/>
      <c r="I32" s="779">
        <v>60.3</v>
      </c>
      <c r="J32" s="802"/>
      <c r="K32" s="779">
        <v>60.3</v>
      </c>
      <c r="L32" s="802"/>
      <c r="M32" s="779">
        <v>60.3</v>
      </c>
      <c r="N32" s="802"/>
      <c r="P32" s="566">
        <f>IF(B31="mV",A31*0.1/1000)</f>
        <v>0.06</v>
      </c>
      <c r="Q32" s="566" t="s">
        <v>36</v>
      </c>
    </row>
    <row r="33" spans="1:17" x14ac:dyDescent="0.3">
      <c r="C33" s="40">
        <f>IF(0.5*A31 &lt;329.9999, 0.5*A31,0.1*A31/1000)</f>
        <v>300</v>
      </c>
      <c r="D33" s="41" t="str">
        <f t="shared" ref="D33:D34" si="6">IF(P33&lt;=0.329999,"mV",
IF(P33&lt;=3.29999, "V1",
IF(P33&lt;=32.9999,"V2",
IF(P33&lt;=329.9999,"V3",
IF(P33&lt;=1020,"V4",
"Number Out of Range"
)))))</f>
        <v>mV</v>
      </c>
      <c r="E33" s="779">
        <v>300.10000000000002</v>
      </c>
      <c r="F33" s="802"/>
      <c r="G33" s="779">
        <v>300.10000000000002</v>
      </c>
      <c r="H33" s="802"/>
      <c r="I33" s="779">
        <v>300.10000000000002</v>
      </c>
      <c r="J33" s="802"/>
      <c r="K33" s="779">
        <v>300.10000000000002</v>
      </c>
      <c r="L33" s="802"/>
      <c r="M33" s="779">
        <v>300.10000000000002</v>
      </c>
      <c r="N33" s="802"/>
      <c r="P33" s="566">
        <f>IF(B31="mV",A31*0.5/1000)</f>
        <v>0.3</v>
      </c>
      <c r="Q33" s="566" t="s">
        <v>36</v>
      </c>
    </row>
    <row r="34" spans="1:17" x14ac:dyDescent="0.3">
      <c r="A34" s="27"/>
      <c r="B34" s="29"/>
      <c r="C34" s="40">
        <f>IF(0.9*A31&lt;329.9999,0.9*A31,(0.9*A31)/1000)</f>
        <v>0.54</v>
      </c>
      <c r="D34" s="41" t="str">
        <f t="shared" si="6"/>
        <v>V1</v>
      </c>
      <c r="E34" s="779">
        <v>539.70000000000005</v>
      </c>
      <c r="F34" s="802"/>
      <c r="G34" s="779">
        <v>539.79999999999995</v>
      </c>
      <c r="H34" s="802"/>
      <c r="I34" s="779">
        <v>539.9</v>
      </c>
      <c r="J34" s="795"/>
      <c r="K34" s="779">
        <v>540</v>
      </c>
      <c r="L34" s="795"/>
      <c r="M34" s="779">
        <v>540.1</v>
      </c>
      <c r="N34" s="795"/>
      <c r="P34" s="566">
        <f>IF(B31="mV",A31*0.9/1000)</f>
        <v>0.54</v>
      </c>
      <c r="Q34" s="566" t="s">
        <v>36</v>
      </c>
    </row>
    <row r="35" spans="1:17" x14ac:dyDescent="0.3">
      <c r="A35" s="617">
        <v>6</v>
      </c>
      <c r="B35" s="623" t="s">
        <v>36</v>
      </c>
      <c r="C35" s="612"/>
      <c r="D35" s="613"/>
      <c r="E35" s="788"/>
      <c r="F35" s="786"/>
      <c r="G35" s="788"/>
      <c r="H35" s="786"/>
      <c r="I35" s="788"/>
      <c r="J35" s="786"/>
      <c r="K35" s="788"/>
      <c r="L35" s="786"/>
      <c r="M35" s="788"/>
      <c r="N35" s="786"/>
      <c r="P35" s="566"/>
      <c r="Q35" s="566"/>
    </row>
    <row r="36" spans="1:17" x14ac:dyDescent="0.3">
      <c r="A36" s="617">
        <v>50</v>
      </c>
      <c r="B36" s="623" t="s">
        <v>39</v>
      </c>
      <c r="C36" s="43">
        <f>0.1*A35</f>
        <v>0.60000000000000009</v>
      </c>
      <c r="D36" s="41" t="str">
        <f>IF(P36&lt;=0.329999,"mV",
IF(P36&lt;=3.29999, "V1",
IF(P36&lt;=32.9999,"V2",
IF(P36&lt;=329.9999,"V3",
IF(P36&lt;=1020,"V4",
"Number Out of Range"
)))))</f>
        <v>V1</v>
      </c>
      <c r="E36" s="781">
        <v>0.60299999999999998</v>
      </c>
      <c r="F36" s="787"/>
      <c r="G36" s="781">
        <v>0.60299999999999998</v>
      </c>
      <c r="H36" s="787"/>
      <c r="I36" s="781">
        <v>0.60299999999999998</v>
      </c>
      <c r="J36" s="787"/>
      <c r="K36" s="781">
        <v>0.60299999999999998</v>
      </c>
      <c r="L36" s="787"/>
      <c r="M36" s="781">
        <v>0.60299999999999998</v>
      </c>
      <c r="N36" s="787"/>
      <c r="P36" s="566">
        <f>A35*0.1</f>
        <v>0.60000000000000009</v>
      </c>
      <c r="Q36" s="566" t="s">
        <v>36</v>
      </c>
    </row>
    <row r="37" spans="1:17" x14ac:dyDescent="0.3">
      <c r="C37" s="43">
        <f>0.5*A35</f>
        <v>3</v>
      </c>
      <c r="D37" s="41" t="str">
        <f t="shared" ref="D37:D38" si="7">IF(P37&lt;=0.329999,"mV",
IF(P37&lt;=3.29999, "V1",
IF(P37&lt;=32.9999,"V2",
IF(P37&lt;=329.9999,"V3",
IF(P37&lt;=1020,"V4",
"Number Out of Range"
)))))</f>
        <v>V1</v>
      </c>
      <c r="E37" s="781">
        <v>3.0030000000000001</v>
      </c>
      <c r="F37" s="787"/>
      <c r="G37" s="781">
        <v>3.0030000000000001</v>
      </c>
      <c r="H37" s="787"/>
      <c r="I37" s="781">
        <v>3.0030000000000001</v>
      </c>
      <c r="J37" s="787"/>
      <c r="K37" s="781">
        <v>3.0030000000000001</v>
      </c>
      <c r="L37" s="787"/>
      <c r="M37" s="781">
        <v>3.0030000000000001</v>
      </c>
      <c r="N37" s="787"/>
      <c r="P37" s="566">
        <f>0.5*A35</f>
        <v>3</v>
      </c>
      <c r="Q37" s="566" t="s">
        <v>36</v>
      </c>
    </row>
    <row r="38" spans="1:17" x14ac:dyDescent="0.3">
      <c r="A38" s="27"/>
      <c r="B38" s="29"/>
      <c r="C38" s="40">
        <f>0.9*A35</f>
        <v>5.4</v>
      </c>
      <c r="D38" s="41" t="str">
        <f t="shared" si="7"/>
        <v>V2</v>
      </c>
      <c r="E38" s="781">
        <v>5.3979999999999997</v>
      </c>
      <c r="F38" s="787"/>
      <c r="G38" s="781">
        <v>5.3979999999999997</v>
      </c>
      <c r="H38" s="787"/>
      <c r="I38" s="781">
        <v>5.3979999999999997</v>
      </c>
      <c r="J38" s="787"/>
      <c r="K38" s="781">
        <v>5.3979999999999997</v>
      </c>
      <c r="L38" s="787"/>
      <c r="M38" s="781">
        <v>5.3979999999999997</v>
      </c>
      <c r="N38" s="787"/>
      <c r="P38" s="566">
        <f>0.9*A35</f>
        <v>5.4</v>
      </c>
      <c r="Q38" s="566" t="s">
        <v>36</v>
      </c>
    </row>
    <row r="39" spans="1:17" x14ac:dyDescent="0.3">
      <c r="A39" s="617">
        <v>60</v>
      </c>
      <c r="B39" s="623" t="s">
        <v>36</v>
      </c>
      <c r="C39" s="612"/>
      <c r="D39" s="613"/>
      <c r="E39" s="788"/>
      <c r="F39" s="786"/>
      <c r="G39" s="788"/>
      <c r="H39" s="786"/>
      <c r="I39" s="788"/>
      <c r="J39" s="786"/>
      <c r="K39" s="788"/>
      <c r="L39" s="786"/>
      <c r="M39" s="788"/>
      <c r="N39" s="786"/>
      <c r="P39" s="566"/>
      <c r="Q39" s="566"/>
    </row>
    <row r="40" spans="1:17" x14ac:dyDescent="0.3">
      <c r="A40" s="617">
        <v>50</v>
      </c>
      <c r="B40" s="623" t="s">
        <v>39</v>
      </c>
      <c r="C40" s="40">
        <f>0.1*A39</f>
        <v>6</v>
      </c>
      <c r="D40" s="41" t="str">
        <f>IF(P40&lt;=0.329999,"mV",
IF(P40&lt;=3.29999, "V1",
IF(P40&lt;=32.9999,"V2",
IF(P40&lt;=329.9999,"V3",
IF(P40&lt;=1020,"V4",
"Number Out of Range"
)))))</f>
        <v>V2</v>
      </c>
      <c r="E40" s="793">
        <v>6.02</v>
      </c>
      <c r="F40" s="780"/>
      <c r="G40" s="793">
        <v>6.02</v>
      </c>
      <c r="H40" s="780"/>
      <c r="I40" s="793">
        <v>6.02</v>
      </c>
      <c r="J40" s="780"/>
      <c r="K40" s="793">
        <v>6.02</v>
      </c>
      <c r="L40" s="780"/>
      <c r="M40" s="793">
        <v>6.02</v>
      </c>
      <c r="N40" s="780"/>
      <c r="P40" s="566">
        <f>0.1*A39</f>
        <v>6</v>
      </c>
      <c r="Q40" s="566" t="s">
        <v>36</v>
      </c>
    </row>
    <row r="41" spans="1:17" x14ac:dyDescent="0.3">
      <c r="C41" s="40">
        <f>0.5*A39</f>
        <v>30</v>
      </c>
      <c r="D41" s="41" t="str">
        <f t="shared" ref="D41:D42" si="8">IF(P41&lt;=0.329999,"mV",
IF(P41&lt;=3.29999, "V1",
IF(P41&lt;=32.9999,"V2",
IF(P41&lt;=329.9999,"V3",
IF(P41&lt;=1020,"V4",
"Number Out of Range"
)))))</f>
        <v>V2</v>
      </c>
      <c r="E41" s="784">
        <v>30.03</v>
      </c>
      <c r="F41" s="783"/>
      <c r="G41" s="784">
        <v>30.03</v>
      </c>
      <c r="H41" s="783"/>
      <c r="I41" s="784">
        <v>30.03</v>
      </c>
      <c r="J41" s="783"/>
      <c r="K41" s="784">
        <v>30.03</v>
      </c>
      <c r="L41" s="783"/>
      <c r="M41" s="784">
        <v>30.03</v>
      </c>
      <c r="N41" s="783"/>
      <c r="P41" s="566">
        <f>0.5*A39</f>
        <v>30</v>
      </c>
      <c r="Q41" s="566" t="s">
        <v>36</v>
      </c>
    </row>
    <row r="42" spans="1:17" x14ac:dyDescent="0.3">
      <c r="A42" s="27"/>
      <c r="B42" s="29"/>
      <c r="C42" s="44">
        <f>0.9*A39</f>
        <v>54</v>
      </c>
      <c r="D42" s="41" t="str">
        <f t="shared" si="8"/>
        <v>V3</v>
      </c>
      <c r="E42" s="784">
        <v>53.98</v>
      </c>
      <c r="F42" s="783"/>
      <c r="G42" s="784">
        <v>53.98</v>
      </c>
      <c r="H42" s="783"/>
      <c r="I42" s="784">
        <v>53.98</v>
      </c>
      <c r="J42" s="783"/>
      <c r="K42" s="784">
        <v>53.98</v>
      </c>
      <c r="L42" s="783"/>
      <c r="M42" s="784">
        <v>53.98</v>
      </c>
      <c r="N42" s="783"/>
      <c r="P42" s="566">
        <f>0.9*A39</f>
        <v>54</v>
      </c>
      <c r="Q42" s="566" t="s">
        <v>36</v>
      </c>
    </row>
    <row r="43" spans="1:17" x14ac:dyDescent="0.3">
      <c r="A43" s="617">
        <v>600</v>
      </c>
      <c r="B43" s="623" t="s">
        <v>36</v>
      </c>
      <c r="C43" s="612"/>
      <c r="D43" s="613"/>
      <c r="E43" s="801"/>
      <c r="F43" s="786"/>
      <c r="G43" s="801"/>
      <c r="H43" s="786"/>
      <c r="I43" s="801"/>
      <c r="J43" s="786"/>
      <c r="K43" s="801"/>
      <c r="L43" s="786"/>
      <c r="M43" s="801"/>
      <c r="N43" s="786"/>
      <c r="P43" s="566"/>
      <c r="Q43" s="566"/>
    </row>
    <row r="44" spans="1:17" x14ac:dyDescent="0.3">
      <c r="A44" s="617">
        <v>50</v>
      </c>
      <c r="B44" s="623" t="s">
        <v>39</v>
      </c>
      <c r="C44" s="44">
        <f>0.1*A43</f>
        <v>60</v>
      </c>
      <c r="D44" s="41" t="str">
        <f>IF(P44&lt;=0.329999,"mV",
IF(P44&lt;=3.29999, "V1",
IF(P44&lt;=32.9999,"V2",
IF(P44&lt;=329.9999,"V3",
IF(P44&lt;=1020,"V4",
"Number Out of Range"
)))))</f>
        <v>V3</v>
      </c>
      <c r="E44" s="779">
        <v>60.2</v>
      </c>
      <c r="F44" s="802"/>
      <c r="G44" s="779">
        <v>60.2</v>
      </c>
      <c r="H44" s="802"/>
      <c r="I44" s="779">
        <v>60.2</v>
      </c>
      <c r="J44" s="802"/>
      <c r="K44" s="779">
        <v>60.2</v>
      </c>
      <c r="L44" s="802"/>
      <c r="M44" s="779">
        <v>60.2</v>
      </c>
      <c r="N44" s="802"/>
      <c r="P44" s="566">
        <f>0.1*A43</f>
        <v>60</v>
      </c>
      <c r="Q44" s="566" t="s">
        <v>36</v>
      </c>
    </row>
    <row r="45" spans="1:17" x14ac:dyDescent="0.3">
      <c r="C45" s="44">
        <f>0.5*A43</f>
        <v>300</v>
      </c>
      <c r="D45" s="41" t="str">
        <f t="shared" ref="D45:D46" si="9">IF(P45&lt;=0.329999,"mV",
IF(P45&lt;=3.29999, "V1",
IF(P45&lt;=32.9999,"V2",
IF(P45&lt;=329.9999,"V3",
IF(P45&lt;=1020,"V4",
"Number Out of Range"
)))))</f>
        <v>V3</v>
      </c>
      <c r="E45" s="779">
        <v>300.10000000000002</v>
      </c>
      <c r="F45" s="802"/>
      <c r="G45" s="779">
        <v>300.10000000000002</v>
      </c>
      <c r="H45" s="802"/>
      <c r="I45" s="779">
        <v>300.10000000000002</v>
      </c>
      <c r="J45" s="802"/>
      <c r="K45" s="779">
        <v>300.10000000000002</v>
      </c>
      <c r="L45" s="802"/>
      <c r="M45" s="779">
        <v>300.10000000000002</v>
      </c>
      <c r="N45" s="802"/>
      <c r="P45" s="566">
        <f>0.5*A43</f>
        <v>300</v>
      </c>
      <c r="Q45" s="566" t="s">
        <v>36</v>
      </c>
    </row>
    <row r="46" spans="1:17" x14ac:dyDescent="0.3">
      <c r="A46" s="27"/>
      <c r="B46" s="29"/>
      <c r="C46" s="51">
        <f>0.9*A43</f>
        <v>540</v>
      </c>
      <c r="D46" s="41" t="str">
        <f t="shared" si="9"/>
        <v>V4</v>
      </c>
      <c r="E46" s="779">
        <v>539.9</v>
      </c>
      <c r="F46" s="802"/>
      <c r="G46" s="779">
        <v>539.9</v>
      </c>
      <c r="H46" s="802"/>
      <c r="I46" s="779">
        <v>539.9</v>
      </c>
      <c r="J46" s="802"/>
      <c r="K46" s="779">
        <v>539.9</v>
      </c>
      <c r="L46" s="802"/>
      <c r="M46" s="779">
        <v>539.9</v>
      </c>
      <c r="N46" s="802"/>
      <c r="P46" s="566">
        <f>0.9*A43</f>
        <v>540</v>
      </c>
      <c r="Q46" s="566" t="s">
        <v>36</v>
      </c>
    </row>
    <row r="47" spans="1:17" x14ac:dyDescent="0.3">
      <c r="A47" s="617">
        <v>1000</v>
      </c>
      <c r="B47" s="623" t="s">
        <v>36</v>
      </c>
      <c r="C47" s="612"/>
      <c r="D47" s="633"/>
      <c r="E47" s="785"/>
      <c r="F47" s="786"/>
      <c r="G47" s="785"/>
      <c r="H47" s="786"/>
      <c r="I47" s="785"/>
      <c r="J47" s="786"/>
      <c r="K47" s="785"/>
      <c r="L47" s="786"/>
      <c r="M47" s="785"/>
      <c r="N47" s="786"/>
      <c r="P47" s="566"/>
      <c r="Q47" s="566"/>
    </row>
    <row r="48" spans="1:17" x14ac:dyDescent="0.3">
      <c r="A48" s="617">
        <v>50</v>
      </c>
      <c r="B48" s="623" t="s">
        <v>39</v>
      </c>
      <c r="C48" s="44">
        <f>0.1*A47</f>
        <v>100</v>
      </c>
      <c r="D48" s="41" t="str">
        <f>IF(P48&lt;=0.329999,"mV",
IF(P48&lt;=3.29999, "V1",
IF(P48&lt;=32.9999,"V2",
IF(P48&lt;=329.9999,"V3",
IF(P48&lt;=1020,"V4",
"Number Out of Range"
)))))</f>
        <v>V3</v>
      </c>
      <c r="E48" s="803">
        <v>101</v>
      </c>
      <c r="F48" s="804"/>
      <c r="G48" s="803">
        <v>101</v>
      </c>
      <c r="H48" s="804"/>
      <c r="I48" s="803">
        <v>101</v>
      </c>
      <c r="J48" s="804"/>
      <c r="K48" s="803">
        <v>101</v>
      </c>
      <c r="L48" s="804"/>
      <c r="M48" s="803">
        <v>101</v>
      </c>
      <c r="N48" s="804"/>
      <c r="P48" s="566">
        <f>0.1*A47</f>
        <v>100</v>
      </c>
      <c r="Q48" s="566" t="s">
        <v>36</v>
      </c>
    </row>
    <row r="49" spans="1:22" x14ac:dyDescent="0.3">
      <c r="C49" s="51">
        <f>0.5*A47</f>
        <v>500</v>
      </c>
      <c r="D49" s="41" t="str">
        <f t="shared" ref="D49:D50" si="10">IF(P49&lt;=0.329999,"mV",
IF(P49&lt;=3.29999, "V1",
IF(P49&lt;=32.9999,"V2",
IF(P49&lt;=329.9999,"V3",
IF(P49&lt;=1020,"V4",
"Number Out of Range"
)))))</f>
        <v>V4</v>
      </c>
      <c r="E49" s="803">
        <v>500</v>
      </c>
      <c r="F49" s="804"/>
      <c r="G49" s="803">
        <v>500</v>
      </c>
      <c r="H49" s="804"/>
      <c r="I49" s="803">
        <v>500</v>
      </c>
      <c r="J49" s="804"/>
      <c r="K49" s="803">
        <v>500</v>
      </c>
      <c r="L49" s="804"/>
      <c r="M49" s="803">
        <v>500</v>
      </c>
      <c r="N49" s="804"/>
      <c r="P49" s="566">
        <f>0.5*A47</f>
        <v>500</v>
      </c>
      <c r="Q49" s="566" t="s">
        <v>36</v>
      </c>
    </row>
    <row r="50" spans="1:22" x14ac:dyDescent="0.3">
      <c r="A50" s="27"/>
      <c r="B50" s="29"/>
      <c r="C50" s="51">
        <f>0.9*A47</f>
        <v>900</v>
      </c>
      <c r="D50" s="41" t="str">
        <f t="shared" si="10"/>
        <v>V4</v>
      </c>
      <c r="E50" s="803">
        <v>899</v>
      </c>
      <c r="F50" s="804"/>
      <c r="G50" s="803">
        <v>899</v>
      </c>
      <c r="H50" s="804"/>
      <c r="I50" s="803">
        <v>899</v>
      </c>
      <c r="J50" s="804"/>
      <c r="K50" s="803">
        <v>899</v>
      </c>
      <c r="L50" s="804"/>
      <c r="M50" s="803">
        <v>899</v>
      </c>
      <c r="N50" s="804"/>
      <c r="P50" s="566">
        <f>0.9*A47</f>
        <v>900</v>
      </c>
      <c r="Q50" s="566" t="s">
        <v>36</v>
      </c>
    </row>
    <row r="54" spans="1:22" x14ac:dyDescent="0.3">
      <c r="A54" s="789" t="s">
        <v>27</v>
      </c>
      <c r="B54" s="790"/>
      <c r="C54" s="789" t="s">
        <v>38</v>
      </c>
      <c r="D54" s="790"/>
      <c r="E54" s="793" t="s">
        <v>29</v>
      </c>
      <c r="F54" s="794"/>
      <c r="G54" s="794"/>
      <c r="H54" s="794"/>
      <c r="I54" s="794"/>
      <c r="J54" s="794"/>
      <c r="K54" s="794"/>
      <c r="L54" s="794"/>
      <c r="M54" s="794"/>
      <c r="N54" s="780"/>
    </row>
    <row r="55" spans="1:22" ht="16.2" customHeight="1" x14ac:dyDescent="0.3">
      <c r="A55" s="791"/>
      <c r="B55" s="792"/>
      <c r="C55" s="791"/>
      <c r="D55" s="792"/>
      <c r="E55" s="793" t="s">
        <v>30</v>
      </c>
      <c r="F55" s="780"/>
      <c r="G55" s="793" t="s">
        <v>31</v>
      </c>
      <c r="H55" s="780"/>
      <c r="I55" s="793" t="s">
        <v>32</v>
      </c>
      <c r="J55" s="780"/>
      <c r="K55" s="793" t="s">
        <v>33</v>
      </c>
      <c r="L55" s="780"/>
      <c r="M55" s="793" t="s">
        <v>34</v>
      </c>
      <c r="N55" s="780"/>
    </row>
    <row r="56" spans="1:22" ht="16.2" customHeight="1" x14ac:dyDescent="0.3">
      <c r="A56" s="617">
        <v>600</v>
      </c>
      <c r="B56" s="623" t="s">
        <v>41</v>
      </c>
      <c r="C56" s="631"/>
      <c r="D56" s="632"/>
      <c r="E56" s="627"/>
      <c r="F56" s="628"/>
      <c r="G56" s="627"/>
      <c r="H56" s="628"/>
      <c r="I56" s="627"/>
      <c r="J56" s="628"/>
      <c r="K56" s="627"/>
      <c r="L56" s="628"/>
      <c r="M56" s="627"/>
      <c r="N56" s="628"/>
      <c r="P56" s="566" t="s">
        <v>638</v>
      </c>
      <c r="Q56" s="566" t="s">
        <v>639</v>
      </c>
    </row>
    <row r="57" spans="1:22" x14ac:dyDescent="0.3">
      <c r="A57" s="617">
        <v>50</v>
      </c>
      <c r="B57" s="664" t="s">
        <v>39</v>
      </c>
      <c r="C57" s="40">
        <f>IF(0.1*A56 &lt;329.9999, 0.1*A56,0.1*A56/1000)</f>
        <v>60</v>
      </c>
      <c r="D57" s="41" t="str">
        <f>IF(P57&lt;=0.0032999,"mA1",
IF(P57&lt;=0.032999, "mA2",
IF(P57&lt;=0.32999,"mA3",
IF(P57&lt;=2.1999,"A1",
IF(P57&lt;=11,"A2",
"Number Out of Range"
)))))</f>
        <v>mA3</v>
      </c>
      <c r="E57" s="779">
        <v>60.2</v>
      </c>
      <c r="F57" s="802"/>
      <c r="G57" s="779">
        <v>60.2</v>
      </c>
      <c r="H57" s="802"/>
      <c r="I57" s="779">
        <v>60.2</v>
      </c>
      <c r="J57" s="802"/>
      <c r="K57" s="779">
        <v>60.2</v>
      </c>
      <c r="L57" s="802"/>
      <c r="M57" s="779">
        <v>60.2</v>
      </c>
      <c r="N57" s="802"/>
      <c r="P57" s="566">
        <f>IF(B56="mA",A56*0.1/1000,A56*0.1)</f>
        <v>0.06</v>
      </c>
      <c r="Q57" s="566" t="s">
        <v>42</v>
      </c>
      <c r="T57" s="187">
        <v>3.2999000000000001</v>
      </c>
      <c r="U57" s="667">
        <f>T57/1000</f>
        <v>3.2999000000000001E-3</v>
      </c>
      <c r="V57" s="666">
        <v>3.2999000000000001E-3</v>
      </c>
    </row>
    <row r="58" spans="1:22" x14ac:dyDescent="0.3">
      <c r="C58" s="40">
        <f>IF(0.5*A56 &lt;329.9999, 0.5*A56,0.1*A56/1000)</f>
        <v>300</v>
      </c>
      <c r="D58" s="41" t="str">
        <f t="shared" ref="D58:D59" si="11">IF(P58&lt;=0.0032999,"mA1",
IF(P58&lt;=0.032999, "mA2",
IF(P58&lt;=0.32999,"mA3",
IF(P58&lt;=2.1999,"A1",
IF(P58&lt;=11,"A2",
"Number Out of Range"
)))))</f>
        <v>mA3</v>
      </c>
      <c r="E58" s="779">
        <v>300.39999999999998</v>
      </c>
      <c r="F58" s="780"/>
      <c r="G58" s="779">
        <v>300.39999999999998</v>
      </c>
      <c r="H58" s="780"/>
      <c r="I58" s="779">
        <v>300.39999999999998</v>
      </c>
      <c r="J58" s="780"/>
      <c r="K58" s="779">
        <v>300.39999999999998</v>
      </c>
      <c r="L58" s="780"/>
      <c r="M58" s="779">
        <v>300.39999999999998</v>
      </c>
      <c r="N58" s="780"/>
      <c r="P58" s="566">
        <f>IF(B56="mA",A56*0.5/1000,A56*0.5)</f>
        <v>0.3</v>
      </c>
      <c r="Q58" s="566" t="s">
        <v>42</v>
      </c>
      <c r="T58" s="424"/>
      <c r="U58">
        <f t="shared" ref="U58:U71" si="12">T58/1000</f>
        <v>0</v>
      </c>
    </row>
    <row r="59" spans="1:22" x14ac:dyDescent="0.3">
      <c r="A59" s="27"/>
      <c r="B59" s="29"/>
      <c r="C59" s="40">
        <f>IF(0.9*A56&lt;329.9999,0.9*A56,(0.9*A56)/1000)</f>
        <v>0.54</v>
      </c>
      <c r="D59" s="41" t="str">
        <f t="shared" si="11"/>
        <v>A1</v>
      </c>
      <c r="E59" s="779">
        <v>540.1</v>
      </c>
      <c r="F59" s="780"/>
      <c r="G59" s="779">
        <v>540.1</v>
      </c>
      <c r="H59" s="780"/>
      <c r="I59" s="779">
        <v>540.1</v>
      </c>
      <c r="J59" s="780"/>
      <c r="K59" s="779">
        <v>540.1</v>
      </c>
      <c r="L59" s="780"/>
      <c r="M59" s="779">
        <v>540.1</v>
      </c>
      <c r="N59" s="780"/>
      <c r="P59" s="566">
        <f>IF(B56="mA", A56*0.9/1000,A56*0.9)</f>
        <v>0.54</v>
      </c>
      <c r="Q59" s="566" t="s">
        <v>42</v>
      </c>
      <c r="T59" s="424"/>
      <c r="U59">
        <f t="shared" si="12"/>
        <v>0</v>
      </c>
    </row>
    <row r="60" spans="1:22" x14ac:dyDescent="0.3">
      <c r="A60" s="617">
        <v>6</v>
      </c>
      <c r="B60" s="623" t="s">
        <v>42</v>
      </c>
      <c r="C60" s="612"/>
      <c r="D60" s="633"/>
      <c r="E60" s="785"/>
      <c r="F60" s="786"/>
      <c r="G60" s="785"/>
      <c r="H60" s="786"/>
      <c r="I60" s="785"/>
      <c r="J60" s="786"/>
      <c r="K60" s="785"/>
      <c r="L60" s="786"/>
      <c r="M60" s="785"/>
      <c r="N60" s="786"/>
      <c r="P60" s="566"/>
      <c r="Q60" s="566"/>
      <c r="T60" s="188"/>
      <c r="U60">
        <f t="shared" si="12"/>
        <v>0</v>
      </c>
    </row>
    <row r="61" spans="1:22" x14ac:dyDescent="0.3">
      <c r="A61" s="617">
        <v>50</v>
      </c>
      <c r="B61" s="623" t="s">
        <v>39</v>
      </c>
      <c r="C61" s="43">
        <f>0.1*A60</f>
        <v>0.60000000000000009</v>
      </c>
      <c r="D61" s="41" t="str">
        <f>IF(P61&lt;=0.0032999,"mA1",
IF(P61&lt;=0.032999, "mA2",
IF(P61&lt;=0.32999,"mA3",
IF(P61&lt;=2.1999,"A1",
IF(P61&lt;=11,"A2",
"Number Out of Range"
)))))</f>
        <v>A1</v>
      </c>
      <c r="E61" s="781">
        <v>0.60199999999999998</v>
      </c>
      <c r="F61" s="787"/>
      <c r="G61" s="781">
        <v>0.60199999999999998</v>
      </c>
      <c r="H61" s="787"/>
      <c r="I61" s="781">
        <v>0.60199999999999998</v>
      </c>
      <c r="J61" s="787"/>
      <c r="K61" s="781">
        <v>0.60199999999999998</v>
      </c>
      <c r="L61" s="787"/>
      <c r="M61" s="781">
        <v>0.60199999999999998</v>
      </c>
      <c r="N61" s="787"/>
      <c r="P61" s="566">
        <f>IF(B60="mA",A60*0.1/1000,A60*0.1)</f>
        <v>0.60000000000000009</v>
      </c>
      <c r="Q61" s="566" t="s">
        <v>42</v>
      </c>
      <c r="T61" s="188"/>
      <c r="U61">
        <f t="shared" si="12"/>
        <v>0</v>
      </c>
    </row>
    <row r="62" spans="1:22" x14ac:dyDescent="0.3">
      <c r="C62" s="40">
        <f>0.5*A60</f>
        <v>3</v>
      </c>
      <c r="D62" s="41" t="str">
        <f t="shared" ref="D62:D63" si="13">IF(P62&lt;=0.0032999,"mA1",
IF(P62&lt;=0.032999, "mA2",
IF(P62&lt;=0.32999,"mA3",
IF(P62&lt;=2.1999,"A1",
IF(P62&lt;=11,"A2",
"Number Out of Range"
)))))</f>
        <v>A2</v>
      </c>
      <c r="E62" s="781">
        <v>3.004</v>
      </c>
      <c r="F62" s="787"/>
      <c r="G62" s="781">
        <v>3.004</v>
      </c>
      <c r="H62" s="787"/>
      <c r="I62" s="781">
        <v>3.004</v>
      </c>
      <c r="J62" s="787"/>
      <c r="K62" s="781">
        <v>3.004</v>
      </c>
      <c r="L62" s="787"/>
      <c r="M62" s="781">
        <v>3.004</v>
      </c>
      <c r="N62" s="787"/>
      <c r="P62" s="566">
        <f>IF(B60="mA",A60*0.5/1000,A60*0.5)</f>
        <v>3</v>
      </c>
      <c r="Q62" s="566" t="s">
        <v>42</v>
      </c>
      <c r="T62" s="188"/>
      <c r="U62">
        <f t="shared" si="12"/>
        <v>0</v>
      </c>
    </row>
    <row r="63" spans="1:22" x14ac:dyDescent="0.3">
      <c r="A63" s="27"/>
      <c r="B63" s="29"/>
      <c r="C63" s="40">
        <f>0.9*A60</f>
        <v>5.4</v>
      </c>
      <c r="D63" s="41" t="str">
        <f t="shared" si="13"/>
        <v>A2</v>
      </c>
      <c r="E63" s="781">
        <v>5.4029999999999996</v>
      </c>
      <c r="F63" s="787"/>
      <c r="G63" s="781">
        <v>5.4029999999999996</v>
      </c>
      <c r="H63" s="787"/>
      <c r="I63" s="781">
        <v>5.4029999999999996</v>
      </c>
      <c r="J63" s="787"/>
      <c r="K63" s="781">
        <v>5.4029999999999996</v>
      </c>
      <c r="L63" s="787"/>
      <c r="M63" s="781">
        <v>5.4029999999999996</v>
      </c>
      <c r="N63" s="787"/>
      <c r="P63" s="566">
        <f>IF(B60="mA", A60*0.9/1000,A60*0.9)</f>
        <v>5.4</v>
      </c>
      <c r="Q63" s="566" t="s">
        <v>42</v>
      </c>
      <c r="T63" s="426"/>
      <c r="U63">
        <f t="shared" si="12"/>
        <v>0</v>
      </c>
    </row>
    <row r="64" spans="1:22" x14ac:dyDescent="0.3">
      <c r="A64" s="617">
        <v>10</v>
      </c>
      <c r="B64" s="623" t="s">
        <v>42</v>
      </c>
      <c r="C64" s="665"/>
      <c r="D64" s="633"/>
      <c r="E64" s="797"/>
      <c r="F64" s="798"/>
      <c r="G64" s="785"/>
      <c r="H64" s="786"/>
      <c r="I64" s="785"/>
      <c r="J64" s="786"/>
      <c r="K64" s="785"/>
      <c r="L64" s="786"/>
      <c r="M64" s="785"/>
      <c r="N64" s="786"/>
      <c r="P64" s="566"/>
      <c r="Q64" s="566"/>
      <c r="T64" s="188">
        <v>32.999000000000002</v>
      </c>
      <c r="U64">
        <f t="shared" si="12"/>
        <v>3.2999000000000001E-2</v>
      </c>
      <c r="V64">
        <v>3.2999000000000001E-2</v>
      </c>
    </row>
    <row r="65" spans="1:22" x14ac:dyDescent="0.3">
      <c r="A65" s="617">
        <v>50</v>
      </c>
      <c r="B65" s="623" t="s">
        <v>39</v>
      </c>
      <c r="C65" s="43">
        <f>0.1*A64</f>
        <v>1</v>
      </c>
      <c r="D65" s="41" t="str">
        <f>IF(P65&lt;=0.0032999,"mA1",
IF(P65&lt;=0.032999, "mA2",
IF(P65&lt;=0.32999,"mA3",
IF(P65&lt;=2.1999,"A1",
IF(P65&lt;=11,"A2",
"Number Out of Range"
)))))</f>
        <v>A1</v>
      </c>
      <c r="E65" s="784">
        <v>1.01</v>
      </c>
      <c r="F65" s="783"/>
      <c r="G65" s="784">
        <v>1.01</v>
      </c>
      <c r="H65" s="783"/>
      <c r="I65" s="784">
        <v>1.01</v>
      </c>
      <c r="J65" s="783"/>
      <c r="K65" s="784">
        <v>1.01</v>
      </c>
      <c r="L65" s="783"/>
      <c r="M65" s="784">
        <v>1.01</v>
      </c>
      <c r="N65" s="783"/>
      <c r="P65" s="566">
        <f>IF(B64="mA",A64*0.1/1000,A64*0.1)</f>
        <v>1</v>
      </c>
      <c r="Q65" s="566" t="s">
        <v>42</v>
      </c>
      <c r="T65" s="424"/>
      <c r="U65">
        <f>T65/1000</f>
        <v>0</v>
      </c>
    </row>
    <row r="66" spans="1:22" x14ac:dyDescent="0.3">
      <c r="C66" s="40">
        <f>0.5*A64</f>
        <v>5</v>
      </c>
      <c r="D66" s="41" t="str">
        <f t="shared" ref="D66:D67" si="14">IF(P66&lt;=0.0032999,"mA1",
IF(P66&lt;=0.032999, "mA2",
IF(P66&lt;=0.32999,"mA3",
IF(P66&lt;=2.1999,"A1",
IF(P66&lt;=11,"A2",
"Number Out of Range"
)))))</f>
        <v>A2</v>
      </c>
      <c r="E66" s="784">
        <v>5.01</v>
      </c>
      <c r="F66" s="783"/>
      <c r="G66" s="784">
        <v>5.01</v>
      </c>
      <c r="H66" s="783"/>
      <c r="I66" s="784">
        <v>5.01</v>
      </c>
      <c r="J66" s="783"/>
      <c r="K66" s="784">
        <v>5.01</v>
      </c>
      <c r="L66" s="783"/>
      <c r="M66" s="784">
        <v>5.01</v>
      </c>
      <c r="N66" s="783"/>
      <c r="P66" s="566">
        <f>IF(B64="mA",A64*0.5/1000,A64*0.5)</f>
        <v>5</v>
      </c>
      <c r="Q66" s="566" t="s">
        <v>42</v>
      </c>
      <c r="T66" s="424"/>
      <c r="U66">
        <f t="shared" si="12"/>
        <v>0</v>
      </c>
    </row>
    <row r="67" spans="1:22" x14ac:dyDescent="0.3">
      <c r="A67" s="27"/>
      <c r="B67" s="29"/>
      <c r="C67" s="40">
        <f>0.9*A64</f>
        <v>9</v>
      </c>
      <c r="D67" s="41" t="str">
        <f t="shared" si="14"/>
        <v>A2</v>
      </c>
      <c r="E67" s="784">
        <v>8.99</v>
      </c>
      <c r="F67" s="783"/>
      <c r="G67" s="784">
        <v>8.99</v>
      </c>
      <c r="H67" s="783"/>
      <c r="I67" s="784">
        <v>8.99</v>
      </c>
      <c r="J67" s="783"/>
      <c r="K67" s="784">
        <v>8.99</v>
      </c>
      <c r="L67" s="783"/>
      <c r="M67" s="784">
        <v>8.99</v>
      </c>
      <c r="N67" s="783"/>
      <c r="P67" s="566">
        <f>IF(B64="mA", A64*0.9/1000,A64*0.9)</f>
        <v>9</v>
      </c>
      <c r="Q67" s="566" t="s">
        <v>42</v>
      </c>
      <c r="T67" s="188"/>
      <c r="U67">
        <f t="shared" si="12"/>
        <v>0</v>
      </c>
    </row>
    <row r="68" spans="1:22" x14ac:dyDescent="0.3">
      <c r="A68" s="617">
        <v>0</v>
      </c>
      <c r="B68" s="623" t="s">
        <v>42</v>
      </c>
      <c r="C68" s="665"/>
      <c r="D68" s="633"/>
      <c r="E68" s="797"/>
      <c r="F68" s="798"/>
      <c r="G68" s="785"/>
      <c r="H68" s="786"/>
      <c r="I68" s="785"/>
      <c r="J68" s="786"/>
      <c r="K68" s="785"/>
      <c r="L68" s="786"/>
      <c r="M68" s="785"/>
      <c r="N68" s="786"/>
      <c r="P68" s="566"/>
      <c r="Q68" s="566"/>
      <c r="T68" s="188"/>
      <c r="U68">
        <f t="shared" si="12"/>
        <v>0</v>
      </c>
    </row>
    <row r="69" spans="1:22" x14ac:dyDescent="0.3">
      <c r="A69" s="617">
        <v>0</v>
      </c>
      <c r="B69" s="623" t="s">
        <v>39</v>
      </c>
      <c r="C69" s="43">
        <f>0.1*A$96</f>
        <v>0</v>
      </c>
      <c r="D69" s="49" t="s">
        <v>42</v>
      </c>
      <c r="E69" s="784"/>
      <c r="F69" s="783"/>
      <c r="G69" s="784"/>
      <c r="H69" s="783"/>
      <c r="I69" s="784"/>
      <c r="J69" s="783"/>
      <c r="K69" s="784"/>
      <c r="L69" s="783"/>
      <c r="M69" s="784"/>
      <c r="N69" s="783"/>
      <c r="P69" s="566">
        <f>IF(B64="mA",A64*0.1/1000,A68*0.1)</f>
        <v>0</v>
      </c>
      <c r="Q69" s="566" t="s">
        <v>42</v>
      </c>
      <c r="T69" s="188"/>
      <c r="U69">
        <f t="shared" si="12"/>
        <v>0</v>
      </c>
    </row>
    <row r="70" spans="1:22" x14ac:dyDescent="0.3">
      <c r="C70" s="40">
        <f>0.5*A$96</f>
        <v>0</v>
      </c>
      <c r="D70" s="49" t="s">
        <v>42</v>
      </c>
      <c r="E70" s="784"/>
      <c r="F70" s="783"/>
      <c r="G70" s="784"/>
      <c r="H70" s="783"/>
      <c r="I70" s="784"/>
      <c r="J70" s="783"/>
      <c r="K70" s="784"/>
      <c r="L70" s="783"/>
      <c r="M70" s="784"/>
      <c r="N70" s="783"/>
      <c r="P70" s="566">
        <f>IF(B68="mA",A68*0.5/1000,A68*0.5)</f>
        <v>0</v>
      </c>
      <c r="Q70" s="566" t="s">
        <v>42</v>
      </c>
      <c r="T70" s="426"/>
      <c r="U70">
        <f t="shared" si="12"/>
        <v>0</v>
      </c>
    </row>
    <row r="71" spans="1:22" x14ac:dyDescent="0.3">
      <c r="A71" s="27"/>
      <c r="B71" s="29"/>
      <c r="C71" s="40">
        <f>0.9*A$96</f>
        <v>0</v>
      </c>
      <c r="D71" s="49" t="s">
        <v>42</v>
      </c>
      <c r="E71" s="784"/>
      <c r="F71" s="783"/>
      <c r="G71" s="784"/>
      <c r="H71" s="783"/>
      <c r="I71" s="784"/>
      <c r="J71" s="783"/>
      <c r="K71" s="784"/>
      <c r="L71" s="783"/>
      <c r="M71" s="784"/>
      <c r="N71" s="783"/>
      <c r="P71" s="566">
        <f>IF(B68="mA", A68*0.9/1000,A68*0.9)</f>
        <v>0</v>
      </c>
      <c r="Q71" s="566" t="s">
        <v>42</v>
      </c>
      <c r="T71" s="187">
        <v>329.99</v>
      </c>
      <c r="U71">
        <f t="shared" si="12"/>
        <v>0.32999000000000001</v>
      </c>
      <c r="V71">
        <v>0.32999000000000001</v>
      </c>
    </row>
    <row r="72" spans="1:22" x14ac:dyDescent="0.3">
      <c r="A72" s="617">
        <v>0</v>
      </c>
      <c r="B72" s="623" t="s">
        <v>42</v>
      </c>
      <c r="C72" s="665"/>
      <c r="D72" s="633"/>
      <c r="E72" s="797"/>
      <c r="F72" s="798"/>
      <c r="G72" s="785"/>
      <c r="H72" s="786"/>
      <c r="I72" s="785"/>
      <c r="J72" s="786"/>
      <c r="K72" s="785"/>
      <c r="L72" s="786"/>
      <c r="M72" s="785"/>
      <c r="N72" s="786"/>
      <c r="P72" s="566"/>
      <c r="Q72" s="566"/>
    </row>
    <row r="73" spans="1:22" x14ac:dyDescent="0.3">
      <c r="A73" s="617">
        <v>0</v>
      </c>
      <c r="B73" s="623" t="s">
        <v>39</v>
      </c>
      <c r="C73" s="43">
        <f>0.1*A$96</f>
        <v>0</v>
      </c>
      <c r="D73" s="49" t="s">
        <v>42</v>
      </c>
      <c r="E73" s="784"/>
      <c r="F73" s="783"/>
      <c r="G73" s="784"/>
      <c r="H73" s="783"/>
      <c r="I73" s="784"/>
      <c r="J73" s="783"/>
      <c r="K73" s="784"/>
      <c r="L73" s="783"/>
      <c r="M73" s="784"/>
      <c r="N73" s="783"/>
      <c r="P73" s="566">
        <f>IF($B$72="mA",$A$72*0.1/1000,A72*0.1)</f>
        <v>0</v>
      </c>
      <c r="Q73" s="566" t="s">
        <v>42</v>
      </c>
    </row>
    <row r="74" spans="1:22" x14ac:dyDescent="0.3">
      <c r="C74" s="40">
        <f>0.5*A$96</f>
        <v>0</v>
      </c>
      <c r="D74" s="49" t="s">
        <v>42</v>
      </c>
      <c r="E74" s="784"/>
      <c r="F74" s="783"/>
      <c r="G74" s="784"/>
      <c r="H74" s="783"/>
      <c r="I74" s="784"/>
      <c r="J74" s="783"/>
      <c r="K74" s="784"/>
      <c r="L74" s="783"/>
      <c r="M74" s="784"/>
      <c r="N74" s="783"/>
      <c r="P74" s="566">
        <f>IF(B72="mA",A72*0.5/1000,A72*0.5)</f>
        <v>0</v>
      </c>
      <c r="Q74" s="566" t="s">
        <v>42</v>
      </c>
    </row>
    <row r="75" spans="1:22" x14ac:dyDescent="0.3">
      <c r="A75" s="27"/>
      <c r="B75" s="29"/>
      <c r="C75" s="40">
        <f>0.9*A$96</f>
        <v>0</v>
      </c>
      <c r="D75" s="49" t="s">
        <v>42</v>
      </c>
      <c r="E75" s="784"/>
      <c r="F75" s="783"/>
      <c r="G75" s="784"/>
      <c r="H75" s="783"/>
      <c r="I75" s="784"/>
      <c r="J75" s="783"/>
      <c r="K75" s="784"/>
      <c r="L75" s="783"/>
      <c r="M75" s="784"/>
      <c r="N75" s="783"/>
      <c r="P75" s="566">
        <f>IF($B$68="mA", $A$72*0.9/1000,$A$72*0.9)</f>
        <v>0</v>
      </c>
      <c r="Q75" s="566" t="s">
        <v>42</v>
      </c>
    </row>
    <row r="78" spans="1:22" x14ac:dyDescent="0.3">
      <c r="A78" s="789" t="s">
        <v>27</v>
      </c>
      <c r="B78" s="790"/>
      <c r="C78" s="789" t="s">
        <v>38</v>
      </c>
      <c r="D78" s="790"/>
      <c r="E78" s="793" t="s">
        <v>29</v>
      </c>
      <c r="F78" s="794"/>
      <c r="G78" s="794"/>
      <c r="H78" s="794"/>
      <c r="I78" s="794"/>
      <c r="J78" s="794"/>
      <c r="K78" s="794"/>
      <c r="L78" s="794"/>
      <c r="M78" s="794"/>
      <c r="N78" s="780"/>
    </row>
    <row r="79" spans="1:22" x14ac:dyDescent="0.3">
      <c r="A79" s="791"/>
      <c r="B79" s="792"/>
      <c r="C79" s="791"/>
      <c r="D79" s="792"/>
      <c r="E79" s="793" t="s">
        <v>30</v>
      </c>
      <c r="F79" s="780"/>
      <c r="G79" s="793" t="s">
        <v>31</v>
      </c>
      <c r="H79" s="780"/>
      <c r="I79" s="793" t="s">
        <v>32</v>
      </c>
      <c r="J79" s="780"/>
      <c r="K79" s="793" t="s">
        <v>33</v>
      </c>
      <c r="L79" s="780"/>
      <c r="M79" s="793" t="s">
        <v>34</v>
      </c>
      <c r="N79" s="780"/>
    </row>
    <row r="80" spans="1:22" x14ac:dyDescent="0.3">
      <c r="A80" s="617">
        <v>60</v>
      </c>
      <c r="B80" s="623" t="s">
        <v>41</v>
      </c>
      <c r="C80" s="631"/>
      <c r="D80" s="632"/>
      <c r="E80" s="627"/>
      <c r="F80" s="628"/>
      <c r="G80" s="627"/>
      <c r="H80" s="628"/>
      <c r="I80" s="627"/>
      <c r="J80" s="628"/>
      <c r="K80" s="627"/>
      <c r="L80" s="628"/>
      <c r="M80" s="627"/>
      <c r="N80" s="628"/>
      <c r="P80" s="566" t="s">
        <v>638</v>
      </c>
      <c r="Q80" s="566" t="s">
        <v>639</v>
      </c>
    </row>
    <row r="81" spans="1:17" x14ac:dyDescent="0.3">
      <c r="C81" s="40">
        <f>IF(0.1*A80 &lt;329.9999, 0.1*A80,0.1*A80/1000)</f>
        <v>6</v>
      </c>
      <c r="D81" s="41" t="str">
        <f>IF(P81&lt;=0.0032999,"mA1",
IF(P81&lt;=0.032999, "mA2",
IF(P81&lt;=0.32999,"mA3",
IF(P81&lt;=2.1999,"A1",
IF(P81&lt;=11,"A2",
"Number Out of Range"
)))))</f>
        <v>mA2</v>
      </c>
      <c r="E81" s="784">
        <v>6</v>
      </c>
      <c r="F81" s="780"/>
      <c r="G81" s="784">
        <v>6</v>
      </c>
      <c r="H81" s="780"/>
      <c r="I81" s="784">
        <v>6</v>
      </c>
      <c r="J81" s="780"/>
      <c r="K81" s="784">
        <v>6</v>
      </c>
      <c r="L81" s="780"/>
      <c r="M81" s="784">
        <v>6</v>
      </c>
      <c r="N81" s="780"/>
      <c r="P81" s="566">
        <f>IF(B80="mA",A80*0.1/1000,A80*0.1)</f>
        <v>6.0000000000000001E-3</v>
      </c>
      <c r="Q81" s="566" t="s">
        <v>42</v>
      </c>
    </row>
    <row r="82" spans="1:17" x14ac:dyDescent="0.3">
      <c r="A82" s="27"/>
      <c r="B82" s="29"/>
      <c r="C82" s="40">
        <f>IF(0.5*A80 &lt;329.9999, 0.5*A80,0.1*A80/1000)</f>
        <v>30</v>
      </c>
      <c r="D82" s="41" t="str">
        <f t="shared" ref="D82:D83" si="15">IF(P82&lt;=0.0032999,"mA1",
IF(P82&lt;=0.032999, "mA2",
IF(P82&lt;=0.32999,"mA3",
IF(P82&lt;=2.1999,"A1",
IF(P82&lt;=11,"A2",
"Number Out of Range"
)))))</f>
        <v>mA2</v>
      </c>
      <c r="E82" s="784">
        <v>29.99</v>
      </c>
      <c r="F82" s="780"/>
      <c r="G82" s="784">
        <v>29.99</v>
      </c>
      <c r="H82" s="780"/>
      <c r="I82" s="784">
        <v>29.99</v>
      </c>
      <c r="J82" s="780"/>
      <c r="K82" s="784">
        <v>29.99</v>
      </c>
      <c r="L82" s="780"/>
      <c r="M82" s="784">
        <v>29.99</v>
      </c>
      <c r="N82" s="780"/>
      <c r="P82" s="566">
        <f>IF(B80="mA",A80*0.5/1000,A80*0.5)</f>
        <v>0.03</v>
      </c>
      <c r="Q82" s="566" t="s">
        <v>42</v>
      </c>
    </row>
    <row r="83" spans="1:17" x14ac:dyDescent="0.3">
      <c r="A83" s="27"/>
      <c r="B83" s="29"/>
      <c r="C83" s="40">
        <f>IF(0.9*A80&lt;329.9999,0.9*A80,(0.9*A80)/1000)</f>
        <v>54</v>
      </c>
      <c r="D83" s="41" t="str">
        <f t="shared" si="15"/>
        <v>mA3</v>
      </c>
      <c r="E83" s="784">
        <v>53.99</v>
      </c>
      <c r="F83" s="780"/>
      <c r="G83" s="784">
        <v>53.99</v>
      </c>
      <c r="H83" s="780"/>
      <c r="I83" s="784">
        <v>53.99</v>
      </c>
      <c r="J83" s="780"/>
      <c r="K83" s="784">
        <v>53.99</v>
      </c>
      <c r="L83" s="780"/>
      <c r="M83" s="784">
        <v>53.99</v>
      </c>
      <c r="N83" s="780"/>
      <c r="P83" s="566">
        <f>IF(B80="mA", A80*0.9/1000,A80*0.9)</f>
        <v>5.3999999999999999E-2</v>
      </c>
      <c r="Q83" s="566" t="s">
        <v>42</v>
      </c>
    </row>
    <row r="84" spans="1:17" x14ac:dyDescent="0.3">
      <c r="A84" s="617">
        <v>600</v>
      </c>
      <c r="B84" s="664" t="s">
        <v>41</v>
      </c>
      <c r="C84" s="612"/>
      <c r="D84" s="633"/>
      <c r="E84" s="788"/>
      <c r="F84" s="805"/>
      <c r="G84" s="788"/>
      <c r="H84" s="805"/>
      <c r="I84" s="788"/>
      <c r="J84" s="805"/>
      <c r="K84" s="788"/>
      <c r="L84" s="805"/>
      <c r="M84" s="788"/>
      <c r="N84" s="805"/>
      <c r="P84" s="566"/>
      <c r="Q84" s="566"/>
    </row>
    <row r="85" spans="1:17" x14ac:dyDescent="0.3">
      <c r="C85" s="40">
        <f>IF(0.1*A84 &lt;329.9999, 0.1*A84,0.1*A84/1000)</f>
        <v>60</v>
      </c>
      <c r="D85" s="41" t="str">
        <f>IF(P85&lt;=0.0032999,"mA1",
IF(P85&lt;=0.032999, "mA2",
IF(P85&lt;=0.32999,"mA3",
IF(P85&lt;=2.1999,"A1",
IF(P85&lt;=11,"A2",
"Number Out of Range"
)))))</f>
        <v>mA3</v>
      </c>
      <c r="E85" s="779">
        <v>60</v>
      </c>
      <c r="F85" s="802"/>
      <c r="G85" s="779">
        <v>60</v>
      </c>
      <c r="H85" s="802"/>
      <c r="I85" s="779">
        <v>60</v>
      </c>
      <c r="J85" s="802"/>
      <c r="K85" s="779">
        <v>60</v>
      </c>
      <c r="L85" s="802"/>
      <c r="M85" s="779">
        <v>60</v>
      </c>
      <c r="N85" s="802"/>
      <c r="P85" s="566">
        <f>IF(B84="mA",A84*0.1/1000,A84*0.1)</f>
        <v>0.06</v>
      </c>
      <c r="Q85" s="566" t="s">
        <v>42</v>
      </c>
    </row>
    <row r="86" spans="1:17" x14ac:dyDescent="0.3">
      <c r="A86" s="27"/>
      <c r="B86" s="29"/>
      <c r="C86" s="40">
        <f>IF(0.5*A84 &lt;329.9999, 0.5*A84,0.1*A84/1000)</f>
        <v>300</v>
      </c>
      <c r="D86" s="41" t="str">
        <f t="shared" ref="D86:D87" si="16">IF(P86&lt;=0.0032999,"mA1",
IF(P86&lt;=0.032999, "mA2",
IF(P86&lt;=0.32999,"mA3",
IF(P86&lt;=2.1999,"A1",
IF(P86&lt;=11,"A2",
"Number Out of Range"
)))))</f>
        <v>mA3</v>
      </c>
      <c r="E86" s="779">
        <v>300.10000000000002</v>
      </c>
      <c r="F86" s="802"/>
      <c r="G86" s="779">
        <v>300.10000000000002</v>
      </c>
      <c r="H86" s="802"/>
      <c r="I86" s="779">
        <v>300.10000000000002</v>
      </c>
      <c r="J86" s="802"/>
      <c r="K86" s="779">
        <v>300.10000000000002</v>
      </c>
      <c r="L86" s="802"/>
      <c r="M86" s="779">
        <v>300.10000000000002</v>
      </c>
      <c r="N86" s="802"/>
      <c r="P86" s="566">
        <f>IF(B84="mA",A84*0.5/1000,A84*0.5)</f>
        <v>0.3</v>
      </c>
      <c r="Q86" s="566" t="s">
        <v>42</v>
      </c>
    </row>
    <row r="87" spans="1:17" x14ac:dyDescent="0.3">
      <c r="A87" s="27"/>
      <c r="B87" s="29"/>
      <c r="C87" s="40">
        <f>IF(0.9*A84&lt;329.9999,0.9*A84,(0.9*A84)/1000)</f>
        <v>0.54</v>
      </c>
      <c r="D87" s="41" t="str">
        <f t="shared" si="16"/>
        <v>A1</v>
      </c>
      <c r="E87" s="779">
        <v>540.1</v>
      </c>
      <c r="F87" s="780"/>
      <c r="G87" s="779">
        <v>540.1</v>
      </c>
      <c r="H87" s="780"/>
      <c r="I87" s="779">
        <v>540.1</v>
      </c>
      <c r="J87" s="780"/>
      <c r="K87" s="779">
        <v>540.1</v>
      </c>
      <c r="L87" s="780"/>
      <c r="M87" s="779">
        <v>540.1</v>
      </c>
      <c r="N87" s="780"/>
      <c r="P87" s="566">
        <f>IF(B84="mA", A84*0.9/1000,A84*0.9)</f>
        <v>0.54</v>
      </c>
      <c r="Q87" s="566" t="s">
        <v>42</v>
      </c>
    </row>
    <row r="88" spans="1:17" x14ac:dyDescent="0.3">
      <c r="A88" s="617">
        <v>6</v>
      </c>
      <c r="B88" s="623" t="s">
        <v>42</v>
      </c>
      <c r="C88" s="665"/>
      <c r="D88" s="633"/>
      <c r="E88" s="785"/>
      <c r="F88" s="800"/>
      <c r="G88" s="785"/>
      <c r="H88" s="800"/>
      <c r="I88" s="785"/>
      <c r="J88" s="800"/>
      <c r="K88" s="785"/>
      <c r="L88" s="800"/>
      <c r="M88" s="785"/>
      <c r="N88" s="800"/>
      <c r="P88" s="566"/>
      <c r="Q88" s="566"/>
    </row>
    <row r="89" spans="1:17" x14ac:dyDescent="0.3">
      <c r="C89" s="40">
        <f>IF(0.1*A88 &lt;329.9999, 0.1*A88,0.1*A88/1000)</f>
        <v>0.60000000000000009</v>
      </c>
      <c r="D89" s="41" t="str">
        <f>IF(P89&lt;=0.0032999,"mA1",
IF(P89&lt;=0.032999, "mA2",
IF(P89&lt;=0.32999,"mA3",
IF(P89&lt;=2.1999,"A1",
IF(P89&lt;=11,"A2",
"Number Out of Range"
)))))</f>
        <v>A1</v>
      </c>
      <c r="E89" s="781">
        <v>0.6</v>
      </c>
      <c r="F89" s="799"/>
      <c r="G89" s="781">
        <v>0.6</v>
      </c>
      <c r="H89" s="799"/>
      <c r="I89" s="781">
        <v>0.6</v>
      </c>
      <c r="J89" s="799"/>
      <c r="K89" s="781">
        <v>0.6</v>
      </c>
      <c r="L89" s="799"/>
      <c r="M89" s="781">
        <v>0.6</v>
      </c>
      <c r="N89" s="799"/>
      <c r="P89" s="566">
        <f>IF(B88="mA",A88*0.1/1000,A88*0.1)</f>
        <v>0.60000000000000009</v>
      </c>
      <c r="Q89" s="566" t="s">
        <v>42</v>
      </c>
    </row>
    <row r="90" spans="1:17" x14ac:dyDescent="0.3">
      <c r="A90" s="27"/>
      <c r="B90" s="29"/>
      <c r="C90" s="40">
        <f>IF(0.5*A88 &lt;329.9999, 0.5*A88,0.1*A88/1000)</f>
        <v>3</v>
      </c>
      <c r="D90" s="41" t="str">
        <f t="shared" ref="D90:D91" si="17">IF(P90&lt;=0.0032999,"mA1",
IF(P90&lt;=0.032999, "mA2",
IF(P90&lt;=0.32999,"mA3",
IF(P90&lt;=2.1999,"A1",
IF(P90&lt;=11,"A2",
"Number Out of Range"
)))))</f>
        <v>A2</v>
      </c>
      <c r="E90" s="781">
        <v>2.9990000000000001</v>
      </c>
      <c r="F90" s="799"/>
      <c r="G90" s="781">
        <v>2.9990000000000001</v>
      </c>
      <c r="H90" s="799"/>
      <c r="I90" s="781">
        <v>2.9990000000000001</v>
      </c>
      <c r="J90" s="799"/>
      <c r="K90" s="781">
        <v>2.9990000000000001</v>
      </c>
      <c r="L90" s="799"/>
      <c r="M90" s="781">
        <v>2.9990000000000001</v>
      </c>
      <c r="N90" s="799"/>
      <c r="P90" s="566">
        <f>IF(B88="mA",A88*0.5/1000,A88*0.5)</f>
        <v>3</v>
      </c>
      <c r="Q90" s="566" t="s">
        <v>42</v>
      </c>
    </row>
    <row r="91" spans="1:17" x14ac:dyDescent="0.3">
      <c r="A91" s="27"/>
      <c r="B91" s="29"/>
      <c r="C91" s="40">
        <f>IF(0.9*A88&lt;329.9999,0.9*A88,(0.9*A88)/1000)</f>
        <v>5.4</v>
      </c>
      <c r="D91" s="41" t="str">
        <f t="shared" si="17"/>
        <v>A2</v>
      </c>
      <c r="E91" s="781">
        <v>5.399</v>
      </c>
      <c r="F91" s="799"/>
      <c r="G91" s="781">
        <v>5.399</v>
      </c>
      <c r="H91" s="799"/>
      <c r="I91" s="781">
        <v>5.399</v>
      </c>
      <c r="J91" s="799"/>
      <c r="K91" s="781">
        <v>5.399</v>
      </c>
      <c r="L91" s="799"/>
      <c r="M91" s="781">
        <v>5.399</v>
      </c>
      <c r="N91" s="799"/>
      <c r="P91" s="566">
        <f>IF(B88="mA", A88*0.9/1000,A88*0.9)</f>
        <v>5.4</v>
      </c>
      <c r="Q91" s="566" t="s">
        <v>42</v>
      </c>
    </row>
    <row r="92" spans="1:17" x14ac:dyDescent="0.3">
      <c r="A92" s="617">
        <v>10</v>
      </c>
      <c r="B92" s="623" t="s">
        <v>42</v>
      </c>
      <c r="C92" s="665"/>
      <c r="D92" s="633"/>
      <c r="E92" s="785"/>
      <c r="F92" s="800"/>
      <c r="G92" s="785"/>
      <c r="H92" s="800"/>
      <c r="I92" s="785"/>
      <c r="J92" s="800"/>
      <c r="K92" s="785"/>
      <c r="L92" s="800"/>
      <c r="M92" s="785"/>
      <c r="N92" s="800"/>
      <c r="P92" s="566"/>
      <c r="Q92" s="566"/>
    </row>
    <row r="93" spans="1:17" x14ac:dyDescent="0.3">
      <c r="C93" s="40">
        <f>IF(0.1*A92 &lt;329.9999, 0.1*A92,0.1*A92/1000)</f>
        <v>1</v>
      </c>
      <c r="D93" s="41" t="str">
        <f>IF(P93&lt;=0.0032999,"mA1",
IF(P93&lt;=0.032999, "mA2",
IF(P93&lt;=0.32999,"mA3",
IF(P93&lt;=2.1999,"A1",
IF(P93&lt;=11,"A2",
"Number Out of Range"
)))))</f>
        <v>A1</v>
      </c>
      <c r="E93" s="784">
        <v>1</v>
      </c>
      <c r="F93" s="796"/>
      <c r="G93" s="784">
        <v>1</v>
      </c>
      <c r="H93" s="796"/>
      <c r="I93" s="784">
        <v>1</v>
      </c>
      <c r="J93" s="796"/>
      <c r="K93" s="784">
        <v>1</v>
      </c>
      <c r="L93" s="796"/>
      <c r="M93" s="784">
        <v>1</v>
      </c>
      <c r="N93" s="796"/>
      <c r="P93" s="566">
        <f>IF(B92="mA",A92*0.1/1000,A92*0.1)</f>
        <v>1</v>
      </c>
      <c r="Q93" s="566" t="s">
        <v>42</v>
      </c>
    </row>
    <row r="94" spans="1:17" x14ac:dyDescent="0.3">
      <c r="A94" s="27"/>
      <c r="B94" s="29"/>
      <c r="C94" s="40">
        <f>IF(0.5*A92 &lt;329.9999, 0.5*A92,0.1*A92/1000)</f>
        <v>5</v>
      </c>
      <c r="D94" s="41" t="str">
        <f t="shared" ref="D94:D95" si="18">IF(P94&lt;=0.0032999,"mA1",
IF(P94&lt;=0.032999, "mA2",
IF(P94&lt;=0.32999,"mA3",
IF(P94&lt;=2.1999,"A1",
IF(P94&lt;=11,"A2",
"Number Out of Range"
)))))</f>
        <v>A2</v>
      </c>
      <c r="E94" s="784">
        <v>5</v>
      </c>
      <c r="F94" s="796"/>
      <c r="G94" s="784">
        <v>5</v>
      </c>
      <c r="H94" s="796"/>
      <c r="I94" s="784">
        <v>5</v>
      </c>
      <c r="J94" s="796"/>
      <c r="K94" s="784">
        <v>5</v>
      </c>
      <c r="L94" s="796"/>
      <c r="M94" s="784">
        <v>5</v>
      </c>
      <c r="N94" s="796"/>
      <c r="P94" s="566">
        <f>IF(B92="mA",A92*0.5/1000,A92*0.5)</f>
        <v>5</v>
      </c>
      <c r="Q94" s="566" t="s">
        <v>42</v>
      </c>
    </row>
    <row r="95" spans="1:17" x14ac:dyDescent="0.3">
      <c r="A95" s="27"/>
      <c r="B95" s="29"/>
      <c r="C95" s="40">
        <f>IF(0.9*A92&lt;329.9999,0.9*A92,(0.9*A92)/1000)</f>
        <v>9</v>
      </c>
      <c r="D95" s="41" t="str">
        <f t="shared" si="18"/>
        <v>A2</v>
      </c>
      <c r="E95" s="784">
        <v>9</v>
      </c>
      <c r="F95" s="796"/>
      <c r="G95" s="784">
        <v>9</v>
      </c>
      <c r="H95" s="796"/>
      <c r="I95" s="784">
        <v>9</v>
      </c>
      <c r="J95" s="796"/>
      <c r="K95" s="784">
        <v>9</v>
      </c>
      <c r="L95" s="796"/>
      <c r="M95" s="784">
        <v>9</v>
      </c>
      <c r="N95" s="796"/>
      <c r="P95" s="566">
        <f>IF(B92="mA", A92*0.9/1000,A92*0.9)</f>
        <v>9</v>
      </c>
      <c r="Q95" s="566" t="s">
        <v>42</v>
      </c>
    </row>
    <row r="96" spans="1:17" x14ac:dyDescent="0.3">
      <c r="A96" s="617">
        <v>0</v>
      </c>
      <c r="B96" s="623" t="s">
        <v>42</v>
      </c>
      <c r="C96" s="665"/>
      <c r="D96" s="633"/>
      <c r="E96" s="797"/>
      <c r="F96" s="798"/>
      <c r="G96" s="785"/>
      <c r="H96" s="786"/>
      <c r="I96" s="785"/>
      <c r="J96" s="786"/>
      <c r="K96" s="785"/>
      <c r="L96" s="786"/>
      <c r="M96" s="785"/>
      <c r="N96" s="786"/>
      <c r="P96" s="566"/>
      <c r="Q96" s="566"/>
    </row>
    <row r="97" spans="1:17" x14ac:dyDescent="0.3">
      <c r="A97" s="27"/>
      <c r="B97" s="29"/>
      <c r="C97" s="43">
        <f>0.1*A$96</f>
        <v>0</v>
      </c>
      <c r="D97" s="49" t="s">
        <v>42</v>
      </c>
      <c r="E97" s="784"/>
      <c r="F97" s="783"/>
      <c r="G97" s="784"/>
      <c r="H97" s="783"/>
      <c r="I97" s="784"/>
      <c r="J97" s="783"/>
      <c r="K97" s="784"/>
      <c r="L97" s="783"/>
      <c r="M97" s="784"/>
      <c r="N97" s="783"/>
      <c r="P97" s="566">
        <f>IF($B$72="mA",$A$72*0.1/1000,A96*0.1)</f>
        <v>0</v>
      </c>
      <c r="Q97" s="566" t="s">
        <v>42</v>
      </c>
    </row>
    <row r="98" spans="1:17" x14ac:dyDescent="0.3">
      <c r="C98" s="40">
        <f>0.5*A$96</f>
        <v>0</v>
      </c>
      <c r="D98" s="49" t="s">
        <v>42</v>
      </c>
      <c r="E98" s="784"/>
      <c r="F98" s="783"/>
      <c r="G98" s="784"/>
      <c r="H98" s="783"/>
      <c r="I98" s="784"/>
      <c r="J98" s="783"/>
      <c r="K98" s="784"/>
      <c r="L98" s="783"/>
      <c r="M98" s="784"/>
      <c r="N98" s="783"/>
      <c r="P98" s="566">
        <f>IF(B96="mA",A96*0.5/1000,A96*0.5)</f>
        <v>0</v>
      </c>
      <c r="Q98" s="566" t="s">
        <v>42</v>
      </c>
    </row>
    <row r="99" spans="1:17" x14ac:dyDescent="0.3">
      <c r="A99" s="27"/>
      <c r="B99" s="29"/>
      <c r="C99" s="40">
        <f>0.9*A$96</f>
        <v>0</v>
      </c>
      <c r="D99" s="49" t="s">
        <v>42</v>
      </c>
      <c r="E99" s="784"/>
      <c r="F99" s="783"/>
      <c r="G99" s="784"/>
      <c r="H99" s="783"/>
      <c r="I99" s="784"/>
      <c r="J99" s="783"/>
      <c r="K99" s="784"/>
      <c r="L99" s="783"/>
      <c r="M99" s="784"/>
      <c r="N99" s="783"/>
      <c r="P99" s="566">
        <f>IF($B$68="mA", $A$72*0.9/1000,$A$72*0.9)</f>
        <v>0</v>
      </c>
      <c r="Q99" s="566" t="s">
        <v>42</v>
      </c>
    </row>
    <row r="102" spans="1:17" x14ac:dyDescent="0.3">
      <c r="A102" s="789" t="s">
        <v>27</v>
      </c>
      <c r="B102" s="790"/>
      <c r="C102" s="789" t="s">
        <v>38</v>
      </c>
      <c r="D102" s="790"/>
      <c r="E102" s="793" t="s">
        <v>29</v>
      </c>
      <c r="F102" s="794"/>
      <c r="G102" s="794"/>
      <c r="H102" s="794"/>
      <c r="I102" s="794"/>
      <c r="J102" s="794"/>
      <c r="K102" s="794"/>
      <c r="L102" s="794"/>
      <c r="M102" s="794"/>
      <c r="N102" s="780"/>
    </row>
    <row r="103" spans="1:17" x14ac:dyDescent="0.3">
      <c r="A103" s="791"/>
      <c r="B103" s="792"/>
      <c r="C103" s="791"/>
      <c r="D103" s="792"/>
      <c r="E103" s="793" t="s">
        <v>30</v>
      </c>
      <c r="F103" s="780"/>
      <c r="G103" s="793" t="s">
        <v>31</v>
      </c>
      <c r="H103" s="780"/>
      <c r="I103" s="793" t="s">
        <v>32</v>
      </c>
      <c r="J103" s="780"/>
      <c r="K103" s="793" t="s">
        <v>33</v>
      </c>
      <c r="L103" s="780"/>
      <c r="M103" s="793" t="s">
        <v>34</v>
      </c>
      <c r="N103" s="780"/>
    </row>
    <row r="104" spans="1:17" x14ac:dyDescent="0.3">
      <c r="A104" s="617">
        <v>600</v>
      </c>
      <c r="B104" s="664" t="s">
        <v>44</v>
      </c>
      <c r="C104" s="612"/>
      <c r="D104" s="633"/>
      <c r="E104" s="785"/>
      <c r="F104" s="786"/>
      <c r="G104" s="785"/>
      <c r="H104" s="786"/>
      <c r="I104" s="785"/>
      <c r="J104" s="786"/>
      <c r="K104" s="785"/>
      <c r="L104" s="786"/>
      <c r="M104" s="785"/>
      <c r="N104" s="786"/>
    </row>
    <row r="105" spans="1:17" x14ac:dyDescent="0.3">
      <c r="C105" s="44">
        <f>0.1*A104</f>
        <v>60</v>
      </c>
      <c r="D105" s="29" t="s">
        <v>44</v>
      </c>
      <c r="E105" s="779">
        <v>60.1</v>
      </c>
      <c r="F105" s="795"/>
      <c r="G105" s="779">
        <v>60.1</v>
      </c>
      <c r="H105" s="795"/>
      <c r="I105" s="779">
        <v>60.1</v>
      </c>
      <c r="J105" s="795"/>
      <c r="K105" s="779">
        <v>60.1</v>
      </c>
      <c r="L105" s="795"/>
      <c r="M105" s="779">
        <v>60.1</v>
      </c>
      <c r="N105" s="795"/>
    </row>
    <row r="106" spans="1:17" x14ac:dyDescent="0.3">
      <c r="A106" s="27"/>
      <c r="B106" s="29"/>
      <c r="C106" s="44">
        <f>0.5*A104</f>
        <v>300</v>
      </c>
      <c r="D106" s="29" t="s">
        <v>44</v>
      </c>
      <c r="E106" s="779">
        <v>301.10000000000002</v>
      </c>
      <c r="F106" s="780"/>
      <c r="G106" s="779">
        <v>301.10000000000002</v>
      </c>
      <c r="H106" s="780"/>
      <c r="I106" s="779">
        <v>301.10000000000002</v>
      </c>
      <c r="J106" s="780"/>
      <c r="K106" s="779">
        <v>301.10000000000002</v>
      </c>
      <c r="L106" s="780"/>
      <c r="M106" s="779">
        <v>301.10000000000002</v>
      </c>
      <c r="N106" s="780"/>
    </row>
    <row r="107" spans="1:17" x14ac:dyDescent="0.3">
      <c r="A107" s="27"/>
      <c r="B107" s="29"/>
      <c r="C107" s="43">
        <f>0.9*A104/1000</f>
        <v>0.54</v>
      </c>
      <c r="D107" s="29" t="s">
        <v>43</v>
      </c>
      <c r="E107" s="779">
        <v>541</v>
      </c>
      <c r="F107" s="802"/>
      <c r="G107" s="779">
        <v>541</v>
      </c>
      <c r="H107" s="802"/>
      <c r="I107" s="779">
        <v>541</v>
      </c>
      <c r="J107" s="802"/>
      <c r="K107" s="779">
        <v>541</v>
      </c>
      <c r="L107" s="802"/>
      <c r="M107" s="779">
        <v>541</v>
      </c>
      <c r="N107" s="802"/>
    </row>
    <row r="108" spans="1:17" x14ac:dyDescent="0.3">
      <c r="A108" s="617">
        <v>6</v>
      </c>
      <c r="B108" s="623" t="s">
        <v>43</v>
      </c>
      <c r="C108" s="612"/>
      <c r="D108" s="633"/>
      <c r="E108" s="785"/>
      <c r="F108" s="786"/>
      <c r="G108" s="785"/>
      <c r="H108" s="786"/>
      <c r="I108" s="785"/>
      <c r="J108" s="786"/>
      <c r="K108" s="785"/>
      <c r="L108" s="786"/>
      <c r="M108" s="785"/>
      <c r="N108" s="786"/>
    </row>
    <row r="109" spans="1:17" x14ac:dyDescent="0.3">
      <c r="C109" s="43">
        <f>0.1*A108</f>
        <v>0.60000000000000009</v>
      </c>
      <c r="D109" s="170" t="s">
        <v>43</v>
      </c>
      <c r="E109" s="781">
        <v>0.60099999999999998</v>
      </c>
      <c r="F109" s="780"/>
      <c r="G109" s="781">
        <v>0.60099999999999998</v>
      </c>
      <c r="H109" s="780"/>
      <c r="I109" s="781">
        <v>0.60099999999999998</v>
      </c>
      <c r="J109" s="780"/>
      <c r="K109" s="781">
        <v>0.60099999999999998</v>
      </c>
      <c r="L109" s="780"/>
      <c r="M109" s="781">
        <v>0.60099999999999998</v>
      </c>
      <c r="N109" s="780"/>
    </row>
    <row r="110" spans="1:17" x14ac:dyDescent="0.3">
      <c r="A110" s="27"/>
      <c r="B110" s="29"/>
      <c r="C110" s="43">
        <f>0.5*A108</f>
        <v>3</v>
      </c>
      <c r="D110" s="170" t="s">
        <v>43</v>
      </c>
      <c r="E110" s="781">
        <v>3.0009999999999999</v>
      </c>
      <c r="F110" s="780"/>
      <c r="G110" s="781">
        <v>3.0009999999999999</v>
      </c>
      <c r="H110" s="780"/>
      <c r="I110" s="781">
        <v>3.0009999999999999</v>
      </c>
      <c r="J110" s="780"/>
      <c r="K110" s="781">
        <v>3.0009999999999999</v>
      </c>
      <c r="L110" s="780"/>
      <c r="M110" s="781">
        <v>3.0009999999999999</v>
      </c>
      <c r="N110" s="780"/>
    </row>
    <row r="111" spans="1:17" x14ac:dyDescent="0.3">
      <c r="A111" s="27"/>
      <c r="B111" s="29"/>
      <c r="C111" s="40">
        <f>0.9*A108</f>
        <v>5.4</v>
      </c>
      <c r="D111" s="29" t="s">
        <v>43</v>
      </c>
      <c r="E111" s="781">
        <v>5.4</v>
      </c>
      <c r="F111" s="787"/>
      <c r="G111" s="781">
        <v>5.4</v>
      </c>
      <c r="H111" s="787"/>
      <c r="I111" s="781">
        <v>5.4</v>
      </c>
      <c r="J111" s="787"/>
      <c r="K111" s="781">
        <v>5.4</v>
      </c>
      <c r="L111" s="787"/>
      <c r="M111" s="781">
        <v>5.4</v>
      </c>
      <c r="N111" s="787"/>
    </row>
    <row r="112" spans="1:17" x14ac:dyDescent="0.3">
      <c r="A112" s="617">
        <v>60</v>
      </c>
      <c r="B112" s="623" t="s">
        <v>43</v>
      </c>
      <c r="C112" s="612"/>
      <c r="D112" s="633"/>
      <c r="E112" s="785"/>
      <c r="F112" s="786"/>
      <c r="G112" s="785"/>
      <c r="H112" s="786"/>
      <c r="I112" s="785"/>
      <c r="J112" s="786"/>
      <c r="K112" s="785"/>
      <c r="L112" s="786"/>
      <c r="M112" s="785"/>
      <c r="N112" s="786"/>
    </row>
    <row r="113" spans="1:14" x14ac:dyDescent="0.3">
      <c r="C113" s="40">
        <f>0.1*A112</f>
        <v>6</v>
      </c>
      <c r="D113" s="170" t="s">
        <v>43</v>
      </c>
      <c r="E113" s="784">
        <v>6</v>
      </c>
      <c r="F113" s="796"/>
      <c r="G113" s="784">
        <v>6</v>
      </c>
      <c r="H113" s="796"/>
      <c r="I113" s="784">
        <v>6</v>
      </c>
      <c r="J113" s="796"/>
      <c r="K113" s="784">
        <v>6</v>
      </c>
      <c r="L113" s="796"/>
      <c r="M113" s="784">
        <v>6</v>
      </c>
      <c r="N113" s="796"/>
    </row>
    <row r="114" spans="1:14" x14ac:dyDescent="0.3">
      <c r="A114" s="27"/>
      <c r="B114" s="29"/>
      <c r="C114" s="40">
        <f>0.5*A112</f>
        <v>30</v>
      </c>
      <c r="D114" s="29" t="s">
        <v>43</v>
      </c>
      <c r="E114" s="784">
        <v>30</v>
      </c>
      <c r="F114" s="780"/>
      <c r="G114" s="784">
        <v>30</v>
      </c>
      <c r="H114" s="780"/>
      <c r="I114" s="784">
        <v>30</v>
      </c>
      <c r="J114" s="780"/>
      <c r="K114" s="784">
        <v>30</v>
      </c>
      <c r="L114" s="780"/>
      <c r="M114" s="784">
        <v>30</v>
      </c>
      <c r="N114" s="780"/>
    </row>
    <row r="115" spans="1:14" x14ac:dyDescent="0.3">
      <c r="A115" s="27"/>
      <c r="B115" s="29"/>
      <c r="C115" s="44">
        <f>0.9*A112</f>
        <v>54</v>
      </c>
      <c r="D115" s="29" t="s">
        <v>43</v>
      </c>
      <c r="E115" s="784">
        <v>53.99</v>
      </c>
      <c r="F115" s="783"/>
      <c r="G115" s="784">
        <v>53.99</v>
      </c>
      <c r="H115" s="783"/>
      <c r="I115" s="784">
        <v>53.99</v>
      </c>
      <c r="J115" s="783"/>
      <c r="K115" s="784">
        <v>53.99</v>
      </c>
      <c r="L115" s="783"/>
      <c r="M115" s="784">
        <v>53.99</v>
      </c>
      <c r="N115" s="783"/>
    </row>
    <row r="116" spans="1:14" x14ac:dyDescent="0.3">
      <c r="A116" s="617">
        <v>600</v>
      </c>
      <c r="B116" s="664" t="s">
        <v>43</v>
      </c>
      <c r="C116" s="692"/>
      <c r="D116" s="633"/>
      <c r="E116" s="788"/>
      <c r="F116" s="786"/>
      <c r="G116" s="788"/>
      <c r="H116" s="786"/>
      <c r="I116" s="788"/>
      <c r="J116" s="786"/>
      <c r="K116" s="788"/>
      <c r="L116" s="786"/>
      <c r="M116" s="788"/>
      <c r="N116" s="786"/>
    </row>
    <row r="117" spans="1:14" x14ac:dyDescent="0.3">
      <c r="C117" s="44">
        <f>0.1*A116</f>
        <v>60</v>
      </c>
      <c r="D117" s="29" t="s">
        <v>43</v>
      </c>
      <c r="E117" s="779">
        <v>60</v>
      </c>
      <c r="F117" s="802"/>
      <c r="G117" s="779">
        <v>60</v>
      </c>
      <c r="H117" s="802"/>
      <c r="I117" s="779">
        <v>60</v>
      </c>
      <c r="J117" s="802"/>
      <c r="K117" s="779">
        <v>60</v>
      </c>
      <c r="L117" s="802"/>
      <c r="M117" s="779">
        <v>60</v>
      </c>
      <c r="N117" s="802"/>
    </row>
    <row r="118" spans="1:14" x14ac:dyDescent="0.3">
      <c r="A118" s="27"/>
      <c r="B118" s="29"/>
      <c r="C118" s="44">
        <f>0.5*A116</f>
        <v>300</v>
      </c>
      <c r="D118" s="29" t="s">
        <v>43</v>
      </c>
      <c r="E118" s="779">
        <v>299.89999999999998</v>
      </c>
      <c r="F118" s="780"/>
      <c r="G118" s="779">
        <v>299.89999999999998</v>
      </c>
      <c r="H118" s="780"/>
      <c r="I118" s="779">
        <v>299.89999999999998</v>
      </c>
      <c r="J118" s="780"/>
      <c r="K118" s="779">
        <v>299.89999999999998</v>
      </c>
      <c r="L118" s="780"/>
      <c r="M118" s="779">
        <v>299.89999999999998</v>
      </c>
      <c r="N118" s="780"/>
    </row>
    <row r="119" spans="1:14" x14ac:dyDescent="0.3">
      <c r="A119" s="27"/>
      <c r="B119" s="29"/>
      <c r="C119" s="43">
        <f>0.9*A116/1000</f>
        <v>0.54</v>
      </c>
      <c r="D119" s="29" t="s">
        <v>45</v>
      </c>
      <c r="E119" s="779">
        <v>539.79999999999995</v>
      </c>
      <c r="F119" s="780"/>
      <c r="G119" s="779">
        <v>539.79999999999995</v>
      </c>
      <c r="H119" s="780"/>
      <c r="I119" s="779">
        <v>539.79999999999995</v>
      </c>
      <c r="J119" s="780"/>
      <c r="K119" s="779">
        <v>539.79999999999995</v>
      </c>
      <c r="L119" s="780"/>
      <c r="M119" s="779">
        <v>539.79999999999995</v>
      </c>
      <c r="N119" s="780"/>
    </row>
    <row r="120" spans="1:14" x14ac:dyDescent="0.3">
      <c r="A120" s="617">
        <v>6</v>
      </c>
      <c r="B120" s="623" t="s">
        <v>45</v>
      </c>
      <c r="C120" s="692"/>
      <c r="D120" s="633"/>
      <c r="E120" s="788"/>
      <c r="F120" s="786"/>
      <c r="G120" s="788"/>
      <c r="H120" s="786"/>
      <c r="I120" s="788"/>
      <c r="J120" s="786"/>
      <c r="K120" s="788"/>
      <c r="L120" s="786"/>
      <c r="M120" s="788"/>
      <c r="N120" s="786"/>
    </row>
    <row r="121" spans="1:14" x14ac:dyDescent="0.3">
      <c r="C121" s="43">
        <f>0.1*A120</f>
        <v>0.60000000000000009</v>
      </c>
      <c r="D121" s="170" t="s">
        <v>45</v>
      </c>
      <c r="E121" s="781">
        <v>0.6</v>
      </c>
      <c r="F121" s="780"/>
      <c r="G121" s="781">
        <v>0.6</v>
      </c>
      <c r="H121" s="780"/>
      <c r="I121" s="781">
        <v>0.6</v>
      </c>
      <c r="J121" s="780"/>
      <c r="K121" s="781">
        <v>0.6</v>
      </c>
      <c r="L121" s="780"/>
      <c r="M121" s="781">
        <v>0.6</v>
      </c>
      <c r="N121" s="780"/>
    </row>
    <row r="122" spans="1:14" x14ac:dyDescent="0.3">
      <c r="A122" s="27"/>
      <c r="B122" s="29"/>
      <c r="C122" s="43">
        <f>0.5*A120</f>
        <v>3</v>
      </c>
      <c r="D122" s="29" t="s">
        <v>45</v>
      </c>
      <c r="E122" s="781">
        <v>2.9969999999999999</v>
      </c>
      <c r="F122" s="780"/>
      <c r="G122" s="781">
        <v>2.9969999999999999</v>
      </c>
      <c r="H122" s="780"/>
      <c r="I122" s="781">
        <v>2.9969999999999999</v>
      </c>
      <c r="J122" s="780"/>
      <c r="K122" s="781">
        <v>2.9969999999999999</v>
      </c>
      <c r="L122" s="780"/>
      <c r="M122" s="781">
        <v>2.9969999999999999</v>
      </c>
      <c r="N122" s="780"/>
    </row>
    <row r="123" spans="1:14" x14ac:dyDescent="0.3">
      <c r="A123" s="27"/>
      <c r="B123" s="29"/>
      <c r="C123" s="40">
        <f>0.9*A120</f>
        <v>5.4</v>
      </c>
      <c r="D123" s="29" t="s">
        <v>45</v>
      </c>
      <c r="E123" s="781">
        <v>5.3929999999999998</v>
      </c>
      <c r="F123" s="787"/>
      <c r="G123" s="781">
        <v>5.3929999999999998</v>
      </c>
      <c r="H123" s="787"/>
      <c r="I123" s="781">
        <v>5.3929999999999998</v>
      </c>
      <c r="J123" s="787"/>
      <c r="K123" s="781">
        <v>5.3929999999999998</v>
      </c>
      <c r="L123" s="787"/>
      <c r="M123" s="781">
        <v>5.3929999999999998</v>
      </c>
      <c r="N123" s="787"/>
    </row>
    <row r="124" spans="1:14" x14ac:dyDescent="0.3">
      <c r="A124" s="617">
        <v>60</v>
      </c>
      <c r="B124" s="623" t="s">
        <v>45</v>
      </c>
      <c r="C124" s="692"/>
      <c r="D124" s="633"/>
      <c r="E124" s="788"/>
      <c r="F124" s="786"/>
      <c r="G124" s="788"/>
      <c r="H124" s="786"/>
      <c r="I124" s="788"/>
      <c r="J124" s="786"/>
      <c r="K124" s="788"/>
      <c r="L124" s="786"/>
      <c r="M124" s="788"/>
      <c r="N124" s="786"/>
    </row>
    <row r="125" spans="1:14" x14ac:dyDescent="0.3">
      <c r="C125" s="40">
        <f>A124*0.1</f>
        <v>6</v>
      </c>
      <c r="D125" s="29" t="s">
        <v>45</v>
      </c>
      <c r="E125" s="784">
        <v>5.99</v>
      </c>
      <c r="F125" s="783"/>
      <c r="G125" s="784">
        <v>5.99</v>
      </c>
      <c r="H125" s="783"/>
      <c r="I125" s="784">
        <v>5.99</v>
      </c>
      <c r="J125" s="783"/>
      <c r="K125" s="784">
        <v>5.99</v>
      </c>
      <c r="L125" s="783"/>
      <c r="M125" s="784">
        <v>5.99</v>
      </c>
      <c r="N125" s="783"/>
    </row>
    <row r="126" spans="1:14" x14ac:dyDescent="0.3">
      <c r="A126" s="27"/>
      <c r="B126" s="29"/>
      <c r="C126" s="40">
        <v>11</v>
      </c>
      <c r="D126" s="29" t="s">
        <v>45</v>
      </c>
      <c r="E126" s="782">
        <v>10.97</v>
      </c>
      <c r="F126" s="783"/>
      <c r="G126" s="782">
        <v>10.97</v>
      </c>
      <c r="H126" s="783"/>
      <c r="I126" s="782">
        <v>10.97</v>
      </c>
      <c r="J126" s="783"/>
      <c r="K126" s="782">
        <v>10.97</v>
      </c>
      <c r="L126" s="783"/>
      <c r="M126" s="782">
        <v>10.97</v>
      </c>
      <c r="N126" s="783"/>
    </row>
    <row r="127" spans="1:14" x14ac:dyDescent="0.3">
      <c r="A127" s="27"/>
      <c r="B127" s="29"/>
      <c r="C127" s="44"/>
      <c r="D127" s="29"/>
      <c r="E127" s="784"/>
      <c r="F127" s="780"/>
      <c r="G127" s="784"/>
      <c r="H127" s="780"/>
      <c r="I127" s="784"/>
      <c r="J127" s="780"/>
      <c r="K127" s="784"/>
      <c r="L127" s="780"/>
      <c r="M127" s="784"/>
      <c r="N127" s="780"/>
    </row>
  </sheetData>
  <dataConsolidate/>
  <mergeCells count="545">
    <mergeCell ref="E66:F66"/>
    <mergeCell ref="G66:H66"/>
    <mergeCell ref="I66:J66"/>
    <mergeCell ref="K66:L66"/>
    <mergeCell ref="M66:N66"/>
    <mergeCell ref="E67:F67"/>
    <mergeCell ref="G67:H67"/>
    <mergeCell ref="I67:J67"/>
    <mergeCell ref="K67:L67"/>
    <mergeCell ref="M67:N67"/>
    <mergeCell ref="E64:F64"/>
    <mergeCell ref="G64:H64"/>
    <mergeCell ref="I64:J64"/>
    <mergeCell ref="K64:L64"/>
    <mergeCell ref="M64:N64"/>
    <mergeCell ref="E65:F65"/>
    <mergeCell ref="G65:H65"/>
    <mergeCell ref="I65:J65"/>
    <mergeCell ref="K65:L65"/>
    <mergeCell ref="M65:N65"/>
    <mergeCell ref="E62:F62"/>
    <mergeCell ref="G62:H62"/>
    <mergeCell ref="I62:J62"/>
    <mergeCell ref="K62:L62"/>
    <mergeCell ref="M62:N62"/>
    <mergeCell ref="E63:F63"/>
    <mergeCell ref="G63:H63"/>
    <mergeCell ref="I63:J63"/>
    <mergeCell ref="K63:L63"/>
    <mergeCell ref="M63:N63"/>
    <mergeCell ref="E60:F60"/>
    <mergeCell ref="G60:H60"/>
    <mergeCell ref="I60:J60"/>
    <mergeCell ref="K60:L60"/>
    <mergeCell ref="M60:N60"/>
    <mergeCell ref="E61:F61"/>
    <mergeCell ref="G61:H61"/>
    <mergeCell ref="I61:J61"/>
    <mergeCell ref="K61:L61"/>
    <mergeCell ref="M61:N61"/>
    <mergeCell ref="E58:F58"/>
    <mergeCell ref="G58:H58"/>
    <mergeCell ref="I58:J58"/>
    <mergeCell ref="K58:L58"/>
    <mergeCell ref="M58:N58"/>
    <mergeCell ref="E59:F59"/>
    <mergeCell ref="G59:H59"/>
    <mergeCell ref="I59:J59"/>
    <mergeCell ref="K59:L59"/>
    <mergeCell ref="M59:N59"/>
    <mergeCell ref="A54:B55"/>
    <mergeCell ref="C54:D55"/>
    <mergeCell ref="E54:N54"/>
    <mergeCell ref="E55:F55"/>
    <mergeCell ref="G55:H55"/>
    <mergeCell ref="I55:J55"/>
    <mergeCell ref="K55:L55"/>
    <mergeCell ref="M55:N55"/>
    <mergeCell ref="E57:F57"/>
    <mergeCell ref="G57:H57"/>
    <mergeCell ref="I57:J57"/>
    <mergeCell ref="K57:L57"/>
    <mergeCell ref="M57:N57"/>
    <mergeCell ref="A29:B30"/>
    <mergeCell ref="C29:D30"/>
    <mergeCell ref="E29:N29"/>
    <mergeCell ref="E30:F30"/>
    <mergeCell ref="G30:H30"/>
    <mergeCell ref="I30:J30"/>
    <mergeCell ref="K30:L30"/>
    <mergeCell ref="M30:N30"/>
    <mergeCell ref="A4:B5"/>
    <mergeCell ref="C4:D5"/>
    <mergeCell ref="E4:N4"/>
    <mergeCell ref="E5:F5"/>
    <mergeCell ref="G5:H5"/>
    <mergeCell ref="I5:J5"/>
    <mergeCell ref="K5:L5"/>
    <mergeCell ref="M5:N5"/>
    <mergeCell ref="E6:F6"/>
    <mergeCell ref="G6:H6"/>
    <mergeCell ref="I6:J6"/>
    <mergeCell ref="K6:L6"/>
    <mergeCell ref="M6:N6"/>
    <mergeCell ref="E7:F7"/>
    <mergeCell ref="G7:H7"/>
    <mergeCell ref="I7:J7"/>
    <mergeCell ref="K7:L7"/>
    <mergeCell ref="M7:N7"/>
    <mergeCell ref="E10:F10"/>
    <mergeCell ref="G10:H10"/>
    <mergeCell ref="I10:J10"/>
    <mergeCell ref="K10:L10"/>
    <mergeCell ref="M10:N10"/>
    <mergeCell ref="E8:F8"/>
    <mergeCell ref="G8:H8"/>
    <mergeCell ref="I8:J8"/>
    <mergeCell ref="K8:L8"/>
    <mergeCell ref="M8:N8"/>
    <mergeCell ref="E9:F9"/>
    <mergeCell ref="G9:H9"/>
    <mergeCell ref="I9:J9"/>
    <mergeCell ref="K9:L9"/>
    <mergeCell ref="M9:N9"/>
    <mergeCell ref="E13:F13"/>
    <mergeCell ref="G13:H13"/>
    <mergeCell ref="I13:J13"/>
    <mergeCell ref="K13:L13"/>
    <mergeCell ref="M13:N13"/>
    <mergeCell ref="E11:F11"/>
    <mergeCell ref="G11:H11"/>
    <mergeCell ref="I11:J11"/>
    <mergeCell ref="K11:L11"/>
    <mergeCell ref="M11:N11"/>
    <mergeCell ref="E12:F12"/>
    <mergeCell ref="G12:H12"/>
    <mergeCell ref="I12:J12"/>
    <mergeCell ref="K12:L12"/>
    <mergeCell ref="M12:N12"/>
    <mergeCell ref="E14:F14"/>
    <mergeCell ref="G14:H14"/>
    <mergeCell ref="I14:J14"/>
    <mergeCell ref="K14:L14"/>
    <mergeCell ref="M14:N14"/>
    <mergeCell ref="E15:F15"/>
    <mergeCell ref="G15:H15"/>
    <mergeCell ref="I15:J15"/>
    <mergeCell ref="K15:L15"/>
    <mergeCell ref="M15:N15"/>
    <mergeCell ref="E18:F18"/>
    <mergeCell ref="G18:H18"/>
    <mergeCell ref="I18:J18"/>
    <mergeCell ref="K18:L18"/>
    <mergeCell ref="M18:N18"/>
    <mergeCell ref="E16:F16"/>
    <mergeCell ref="G16:H16"/>
    <mergeCell ref="I16:J16"/>
    <mergeCell ref="K16:L16"/>
    <mergeCell ref="M16:N16"/>
    <mergeCell ref="E17:F17"/>
    <mergeCell ref="G17:H17"/>
    <mergeCell ref="I17:J17"/>
    <mergeCell ref="K17:L17"/>
    <mergeCell ref="M17:N17"/>
    <mergeCell ref="E21:F21"/>
    <mergeCell ref="G21:H21"/>
    <mergeCell ref="I21:J21"/>
    <mergeCell ref="K21:L21"/>
    <mergeCell ref="M21:N21"/>
    <mergeCell ref="E19:F19"/>
    <mergeCell ref="G19:H19"/>
    <mergeCell ref="I19:J19"/>
    <mergeCell ref="K19:L19"/>
    <mergeCell ref="M19:N19"/>
    <mergeCell ref="E20:F20"/>
    <mergeCell ref="G20:H20"/>
    <mergeCell ref="I20:J20"/>
    <mergeCell ref="K20:L20"/>
    <mergeCell ref="M20:N20"/>
    <mergeCell ref="E22:F22"/>
    <mergeCell ref="G22:H22"/>
    <mergeCell ref="I22:J22"/>
    <mergeCell ref="K22:L22"/>
    <mergeCell ref="M22:N22"/>
    <mergeCell ref="E23:F23"/>
    <mergeCell ref="G23:H23"/>
    <mergeCell ref="I23:J23"/>
    <mergeCell ref="K23:L23"/>
    <mergeCell ref="M23:N23"/>
    <mergeCell ref="E24:F24"/>
    <mergeCell ref="G24:H24"/>
    <mergeCell ref="I24:J24"/>
    <mergeCell ref="K24:L24"/>
    <mergeCell ref="M24:N24"/>
    <mergeCell ref="E25:F25"/>
    <mergeCell ref="G25:H25"/>
    <mergeCell ref="I25:J25"/>
    <mergeCell ref="K25:L25"/>
    <mergeCell ref="M25:N25"/>
    <mergeCell ref="E32:F32"/>
    <mergeCell ref="G32:H32"/>
    <mergeCell ref="I32:J32"/>
    <mergeCell ref="K32:L32"/>
    <mergeCell ref="M32:N32"/>
    <mergeCell ref="E33:F33"/>
    <mergeCell ref="G33:H33"/>
    <mergeCell ref="I33:J33"/>
    <mergeCell ref="K33:L33"/>
    <mergeCell ref="M33:N33"/>
    <mergeCell ref="E34:F34"/>
    <mergeCell ref="G34:H34"/>
    <mergeCell ref="I34:J34"/>
    <mergeCell ref="K34:L34"/>
    <mergeCell ref="M34:N34"/>
    <mergeCell ref="E35:F35"/>
    <mergeCell ref="G35:H35"/>
    <mergeCell ref="I35:J35"/>
    <mergeCell ref="K35:L35"/>
    <mergeCell ref="M35:N35"/>
    <mergeCell ref="E36:F36"/>
    <mergeCell ref="G36:H36"/>
    <mergeCell ref="I36:J36"/>
    <mergeCell ref="K36:L36"/>
    <mergeCell ref="M36:N36"/>
    <mergeCell ref="E37:F37"/>
    <mergeCell ref="G37:H37"/>
    <mergeCell ref="I37:J37"/>
    <mergeCell ref="K37:L37"/>
    <mergeCell ref="M37:N37"/>
    <mergeCell ref="E38:F38"/>
    <mergeCell ref="G38:H38"/>
    <mergeCell ref="I38:J38"/>
    <mergeCell ref="K38:L38"/>
    <mergeCell ref="M38:N38"/>
    <mergeCell ref="E39:F39"/>
    <mergeCell ref="G39:H39"/>
    <mergeCell ref="I39:J39"/>
    <mergeCell ref="K39:L39"/>
    <mergeCell ref="M39:N39"/>
    <mergeCell ref="E40:F40"/>
    <mergeCell ref="G40:H40"/>
    <mergeCell ref="I40:J40"/>
    <mergeCell ref="K40:L40"/>
    <mergeCell ref="M40:N40"/>
    <mergeCell ref="E41:F41"/>
    <mergeCell ref="G41:H41"/>
    <mergeCell ref="I41:J41"/>
    <mergeCell ref="K41:L41"/>
    <mergeCell ref="M41:N41"/>
    <mergeCell ref="E42:F42"/>
    <mergeCell ref="G42:H42"/>
    <mergeCell ref="I42:J42"/>
    <mergeCell ref="K42:L42"/>
    <mergeCell ref="M42:N42"/>
    <mergeCell ref="E43:F43"/>
    <mergeCell ref="G43:H43"/>
    <mergeCell ref="I43:J43"/>
    <mergeCell ref="K43:L43"/>
    <mergeCell ref="M43:N43"/>
    <mergeCell ref="E44:F44"/>
    <mergeCell ref="G44:H44"/>
    <mergeCell ref="I44:J44"/>
    <mergeCell ref="K44:L44"/>
    <mergeCell ref="M44:N44"/>
    <mergeCell ref="E45:F45"/>
    <mergeCell ref="G45:H45"/>
    <mergeCell ref="I45:J45"/>
    <mergeCell ref="K45:L45"/>
    <mergeCell ref="M45:N45"/>
    <mergeCell ref="E46:F46"/>
    <mergeCell ref="G46:H46"/>
    <mergeCell ref="I46:J46"/>
    <mergeCell ref="K46:L46"/>
    <mergeCell ref="M46:N46"/>
    <mergeCell ref="E47:F47"/>
    <mergeCell ref="G47:H47"/>
    <mergeCell ref="I47:J47"/>
    <mergeCell ref="K47:L47"/>
    <mergeCell ref="M47:N47"/>
    <mergeCell ref="E50:F50"/>
    <mergeCell ref="G50:H50"/>
    <mergeCell ref="I50:J50"/>
    <mergeCell ref="K50:L50"/>
    <mergeCell ref="M50:N50"/>
    <mergeCell ref="E48:F48"/>
    <mergeCell ref="G48:H48"/>
    <mergeCell ref="I48:J48"/>
    <mergeCell ref="K48:L48"/>
    <mergeCell ref="M48:N48"/>
    <mergeCell ref="E49:F49"/>
    <mergeCell ref="G49:H49"/>
    <mergeCell ref="I49:J49"/>
    <mergeCell ref="K49:L49"/>
    <mergeCell ref="M49:N49"/>
    <mergeCell ref="E68:F68"/>
    <mergeCell ref="G68:H68"/>
    <mergeCell ref="I68:J68"/>
    <mergeCell ref="K68:L68"/>
    <mergeCell ref="M68:N68"/>
    <mergeCell ref="E69:F69"/>
    <mergeCell ref="G69:H69"/>
    <mergeCell ref="I69:J69"/>
    <mergeCell ref="K69:L69"/>
    <mergeCell ref="M69:N69"/>
    <mergeCell ref="E70:F70"/>
    <mergeCell ref="G70:H70"/>
    <mergeCell ref="I70:J70"/>
    <mergeCell ref="K70:L70"/>
    <mergeCell ref="M70:N70"/>
    <mergeCell ref="E71:F71"/>
    <mergeCell ref="G71:H71"/>
    <mergeCell ref="I71:J71"/>
    <mergeCell ref="K71:L71"/>
    <mergeCell ref="M71:N71"/>
    <mergeCell ref="E72:F72"/>
    <mergeCell ref="G72:H72"/>
    <mergeCell ref="I72:J72"/>
    <mergeCell ref="K72:L72"/>
    <mergeCell ref="M72:N72"/>
    <mergeCell ref="E73:F73"/>
    <mergeCell ref="G73:H73"/>
    <mergeCell ref="I73:J73"/>
    <mergeCell ref="K73:L73"/>
    <mergeCell ref="M73:N73"/>
    <mergeCell ref="E74:F74"/>
    <mergeCell ref="G74:H74"/>
    <mergeCell ref="I74:J74"/>
    <mergeCell ref="K74:L74"/>
    <mergeCell ref="M74:N74"/>
    <mergeCell ref="E75:F75"/>
    <mergeCell ref="G75:H75"/>
    <mergeCell ref="I75:J75"/>
    <mergeCell ref="K75:L75"/>
    <mergeCell ref="M75:N75"/>
    <mergeCell ref="A78:B79"/>
    <mergeCell ref="C78:D79"/>
    <mergeCell ref="E78:N78"/>
    <mergeCell ref="E79:F79"/>
    <mergeCell ref="G79:H79"/>
    <mergeCell ref="I79:J79"/>
    <mergeCell ref="K79:L79"/>
    <mergeCell ref="M79:N79"/>
    <mergeCell ref="E81:F81"/>
    <mergeCell ref="G81:H81"/>
    <mergeCell ref="I81:J81"/>
    <mergeCell ref="K81:L81"/>
    <mergeCell ref="M81:N81"/>
    <mergeCell ref="E82:F82"/>
    <mergeCell ref="G82:H82"/>
    <mergeCell ref="I82:J82"/>
    <mergeCell ref="K82:L82"/>
    <mergeCell ref="M82:N82"/>
    <mergeCell ref="E83:F83"/>
    <mergeCell ref="G83:H83"/>
    <mergeCell ref="I83:J83"/>
    <mergeCell ref="K83:L83"/>
    <mergeCell ref="M83:N83"/>
    <mergeCell ref="E84:F84"/>
    <mergeCell ref="G84:H84"/>
    <mergeCell ref="I84:J84"/>
    <mergeCell ref="K84:L84"/>
    <mergeCell ref="M84:N84"/>
    <mergeCell ref="E85:F85"/>
    <mergeCell ref="G85:H85"/>
    <mergeCell ref="I85:J85"/>
    <mergeCell ref="K85:L85"/>
    <mergeCell ref="M85:N85"/>
    <mergeCell ref="E86:F86"/>
    <mergeCell ref="G86:H86"/>
    <mergeCell ref="I86:J86"/>
    <mergeCell ref="K86:L86"/>
    <mergeCell ref="M86:N86"/>
    <mergeCell ref="E87:F87"/>
    <mergeCell ref="G87:H87"/>
    <mergeCell ref="I87:J87"/>
    <mergeCell ref="K87:L87"/>
    <mergeCell ref="M87:N87"/>
    <mergeCell ref="E88:F88"/>
    <mergeCell ref="G88:H88"/>
    <mergeCell ref="I88:J88"/>
    <mergeCell ref="K88:L88"/>
    <mergeCell ref="M88:N88"/>
    <mergeCell ref="E89:F89"/>
    <mergeCell ref="G89:H89"/>
    <mergeCell ref="I89:J89"/>
    <mergeCell ref="K89:L89"/>
    <mergeCell ref="M89:N89"/>
    <mergeCell ref="E90:F90"/>
    <mergeCell ref="G90:H90"/>
    <mergeCell ref="I90:J90"/>
    <mergeCell ref="K90:L90"/>
    <mergeCell ref="M90:N90"/>
    <mergeCell ref="E91:F91"/>
    <mergeCell ref="G91:H91"/>
    <mergeCell ref="I91:J91"/>
    <mergeCell ref="K91:L91"/>
    <mergeCell ref="M91:N91"/>
    <mergeCell ref="E92:F92"/>
    <mergeCell ref="G92:H92"/>
    <mergeCell ref="I92:J92"/>
    <mergeCell ref="K92:L92"/>
    <mergeCell ref="M92:N92"/>
    <mergeCell ref="E93:F93"/>
    <mergeCell ref="G93:H93"/>
    <mergeCell ref="I93:J93"/>
    <mergeCell ref="K93:L93"/>
    <mergeCell ref="M93:N93"/>
    <mergeCell ref="E94:F94"/>
    <mergeCell ref="G94:H94"/>
    <mergeCell ref="I94:J94"/>
    <mergeCell ref="K94:L94"/>
    <mergeCell ref="M94:N94"/>
    <mergeCell ref="E95:F95"/>
    <mergeCell ref="G95:H95"/>
    <mergeCell ref="I95:J95"/>
    <mergeCell ref="K95:L95"/>
    <mergeCell ref="M95:N95"/>
    <mergeCell ref="E96:F96"/>
    <mergeCell ref="G96:H96"/>
    <mergeCell ref="I96:J96"/>
    <mergeCell ref="K96:L96"/>
    <mergeCell ref="M96:N96"/>
    <mergeCell ref="E97:F97"/>
    <mergeCell ref="G97:H97"/>
    <mergeCell ref="I97:J97"/>
    <mergeCell ref="K97:L97"/>
    <mergeCell ref="M97:N97"/>
    <mergeCell ref="E98:F98"/>
    <mergeCell ref="G98:H98"/>
    <mergeCell ref="I98:J98"/>
    <mergeCell ref="K98:L98"/>
    <mergeCell ref="M98:N98"/>
    <mergeCell ref="E99:F99"/>
    <mergeCell ref="G99:H99"/>
    <mergeCell ref="I99:J99"/>
    <mergeCell ref="K99:L99"/>
    <mergeCell ref="M99:N99"/>
    <mergeCell ref="A102:B103"/>
    <mergeCell ref="C102:D103"/>
    <mergeCell ref="E102:N102"/>
    <mergeCell ref="E103:F103"/>
    <mergeCell ref="G103:H103"/>
    <mergeCell ref="I103:J103"/>
    <mergeCell ref="K103:L103"/>
    <mergeCell ref="M103:N103"/>
    <mergeCell ref="E104:F104"/>
    <mergeCell ref="G104:H104"/>
    <mergeCell ref="I104:J104"/>
    <mergeCell ref="K104:L104"/>
    <mergeCell ref="M104:N104"/>
    <mergeCell ref="E105:F105"/>
    <mergeCell ref="G105:H105"/>
    <mergeCell ref="I105:J105"/>
    <mergeCell ref="K105:L105"/>
    <mergeCell ref="M105:N105"/>
    <mergeCell ref="E106:F106"/>
    <mergeCell ref="G106:H106"/>
    <mergeCell ref="I106:J106"/>
    <mergeCell ref="K106:L106"/>
    <mergeCell ref="M106:N106"/>
    <mergeCell ref="E107:F107"/>
    <mergeCell ref="G107:H107"/>
    <mergeCell ref="I107:J107"/>
    <mergeCell ref="K107:L107"/>
    <mergeCell ref="M107:N107"/>
    <mergeCell ref="E108:F108"/>
    <mergeCell ref="G108:H108"/>
    <mergeCell ref="I108:J108"/>
    <mergeCell ref="K108:L108"/>
    <mergeCell ref="M108:N108"/>
    <mergeCell ref="E109:F109"/>
    <mergeCell ref="G109:H109"/>
    <mergeCell ref="I109:J109"/>
    <mergeCell ref="K109:L109"/>
    <mergeCell ref="M109:N109"/>
    <mergeCell ref="E110:F110"/>
    <mergeCell ref="G110:H110"/>
    <mergeCell ref="I110:J110"/>
    <mergeCell ref="K110:L110"/>
    <mergeCell ref="M110:N110"/>
    <mergeCell ref="E111:F111"/>
    <mergeCell ref="G111:H111"/>
    <mergeCell ref="I111:J111"/>
    <mergeCell ref="K111:L111"/>
    <mergeCell ref="M111:N111"/>
    <mergeCell ref="E112:F112"/>
    <mergeCell ref="G112:H112"/>
    <mergeCell ref="I112:J112"/>
    <mergeCell ref="K112:L112"/>
    <mergeCell ref="M112:N112"/>
    <mergeCell ref="E113:F113"/>
    <mergeCell ref="G113:H113"/>
    <mergeCell ref="I113:J113"/>
    <mergeCell ref="K113:L113"/>
    <mergeCell ref="M113:N113"/>
    <mergeCell ref="E114:F114"/>
    <mergeCell ref="G114:H114"/>
    <mergeCell ref="I114:J114"/>
    <mergeCell ref="K114:L114"/>
    <mergeCell ref="M114:N114"/>
    <mergeCell ref="E115:F115"/>
    <mergeCell ref="G115:H115"/>
    <mergeCell ref="I115:J115"/>
    <mergeCell ref="K115:L115"/>
    <mergeCell ref="M115:N115"/>
    <mergeCell ref="E116:F116"/>
    <mergeCell ref="G116:H116"/>
    <mergeCell ref="I116:J116"/>
    <mergeCell ref="K116:L116"/>
    <mergeCell ref="M116:N116"/>
    <mergeCell ref="E117:F117"/>
    <mergeCell ref="G117:H117"/>
    <mergeCell ref="I117:J117"/>
    <mergeCell ref="K117:L117"/>
    <mergeCell ref="M117:N117"/>
    <mergeCell ref="E118:F118"/>
    <mergeCell ref="G118:H118"/>
    <mergeCell ref="I118:J118"/>
    <mergeCell ref="K118:L118"/>
    <mergeCell ref="M118:N118"/>
    <mergeCell ref="E119:F119"/>
    <mergeCell ref="G119:H119"/>
    <mergeCell ref="I119:J119"/>
    <mergeCell ref="K119:L119"/>
    <mergeCell ref="M119:N119"/>
    <mergeCell ref="E120:F120"/>
    <mergeCell ref="G120:H120"/>
    <mergeCell ref="I120:J120"/>
    <mergeCell ref="K120:L120"/>
    <mergeCell ref="M120:N120"/>
    <mergeCell ref="E121:F121"/>
    <mergeCell ref="G121:H121"/>
    <mergeCell ref="I121:J121"/>
    <mergeCell ref="K121:L121"/>
    <mergeCell ref="M121:N121"/>
    <mergeCell ref="E122:F122"/>
    <mergeCell ref="G122:H122"/>
    <mergeCell ref="I122:J122"/>
    <mergeCell ref="K122:L122"/>
    <mergeCell ref="M122:N122"/>
    <mergeCell ref="E123:F123"/>
    <mergeCell ref="G123:H123"/>
    <mergeCell ref="I123:J123"/>
    <mergeCell ref="K123:L123"/>
    <mergeCell ref="M123:N123"/>
    <mergeCell ref="E124:F124"/>
    <mergeCell ref="G124:H124"/>
    <mergeCell ref="I124:J124"/>
    <mergeCell ref="K124:L124"/>
    <mergeCell ref="M124:N124"/>
    <mergeCell ref="E127:F127"/>
    <mergeCell ref="G127:H127"/>
    <mergeCell ref="I127:J127"/>
    <mergeCell ref="K127:L127"/>
    <mergeCell ref="M127:N127"/>
    <mergeCell ref="E125:F125"/>
    <mergeCell ref="G125:H125"/>
    <mergeCell ref="I125:J125"/>
    <mergeCell ref="K125:L125"/>
    <mergeCell ref="M125:N125"/>
    <mergeCell ref="E126:F126"/>
    <mergeCell ref="G126:H126"/>
    <mergeCell ref="I126:J126"/>
    <mergeCell ref="K126:L126"/>
    <mergeCell ref="M126:N126"/>
  </mergeCell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86C7EA78-2A31-475C-A2F4-9C4B4E17858E}">
          <x14:formula1>
            <xm:f>'Database '!$A$2:$A$3</xm:f>
          </x14:formula1>
          <xm:sqref>B6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V1003"/>
  <sheetViews>
    <sheetView topLeftCell="C7" zoomScaleNormal="100" workbookViewId="0">
      <selection activeCell="N8" sqref="N8"/>
    </sheetView>
  </sheetViews>
  <sheetFormatPr defaultColWidth="14.44140625" defaultRowHeight="15" customHeight="1" x14ac:dyDescent="0.3"/>
  <cols>
    <col min="2" max="2" width="5.77734375" customWidth="1"/>
    <col min="3" max="3" width="11.33203125" customWidth="1"/>
    <col min="4" max="4" width="8.109375" customWidth="1"/>
    <col min="5" max="5" width="9.88671875" bestFit="1" customWidth="1"/>
    <col min="6" max="6" width="8.5546875" customWidth="1"/>
    <col min="7" max="12" width="8.6640625" customWidth="1"/>
    <col min="13" max="15" width="11.33203125" customWidth="1"/>
    <col min="16" max="16" width="6.109375" customWidth="1"/>
    <col min="17" max="17" width="7.44140625" bestFit="1" customWidth="1"/>
    <col min="18" max="18" width="3.5546875" bestFit="1" customWidth="1"/>
    <col min="19" max="19" width="7.5546875" customWidth="1"/>
    <col min="20" max="24" width="10.6640625" customWidth="1"/>
    <col min="25" max="25" width="8" bestFit="1" customWidth="1"/>
    <col min="26" max="26" width="5" customWidth="1"/>
    <col min="27" max="27" width="9.33203125" customWidth="1"/>
    <col min="28" max="28" width="3.6640625" bestFit="1" customWidth="1"/>
    <col min="29" max="29" width="8.21875" customWidth="1"/>
    <col min="30" max="30" width="4.109375" bestFit="1" customWidth="1"/>
    <col min="31" max="31" width="8.33203125" bestFit="1" customWidth="1"/>
    <col min="32" max="32" width="9.109375" bestFit="1" customWidth="1"/>
    <col min="33" max="35" width="9.109375" customWidth="1"/>
    <col min="36" max="36" width="8" customWidth="1"/>
    <col min="37" max="41" width="9.109375" customWidth="1"/>
    <col min="42" max="42" width="10.44140625" customWidth="1"/>
  </cols>
  <sheetData>
    <row r="1" spans="1:42" ht="15.75" customHeight="1" thickBot="1" x14ac:dyDescent="0.35">
      <c r="A1" s="843" t="s">
        <v>652</v>
      </c>
      <c r="B1" s="843"/>
      <c r="C1" s="836" t="s">
        <v>651</v>
      </c>
      <c r="D1" s="837"/>
      <c r="E1" s="838" t="s">
        <v>558</v>
      </c>
      <c r="F1" s="837"/>
      <c r="G1" s="53" t="s">
        <v>559</v>
      </c>
      <c r="H1" s="838" t="s">
        <v>560</v>
      </c>
      <c r="I1" s="837"/>
      <c r="J1" s="52" t="s">
        <v>561</v>
      </c>
      <c r="K1" s="53" t="s">
        <v>535</v>
      </c>
      <c r="L1" s="54" t="s">
        <v>46</v>
      </c>
      <c r="M1" s="838" t="s">
        <v>47</v>
      </c>
      <c r="N1" s="839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ht="12.75" customHeight="1" x14ac:dyDescent="0.3">
      <c r="A2" s="639">
        <f>Data!A52</f>
        <v>600</v>
      </c>
      <c r="B2" s="640" t="str">
        <f>Data!B52</f>
        <v>mV</v>
      </c>
      <c r="C2" s="637">
        <f>Data!A53</f>
        <v>50</v>
      </c>
      <c r="D2" s="113" t="str">
        <f>Data!B57</f>
        <v>Hz</v>
      </c>
      <c r="E2" s="303">
        <f>Data!C53</f>
        <v>60</v>
      </c>
      <c r="F2" s="303" t="str">
        <f>Data!D53</f>
        <v>mV</v>
      </c>
      <c r="G2" s="181">
        <f t="shared" ref="G2:G16" si="0">T25</f>
        <v>-1.1533354473858691E-2</v>
      </c>
      <c r="H2" s="257">
        <f>AVERAGE(Data!E53:N53)</f>
        <v>60.3</v>
      </c>
      <c r="I2" s="258" t="s">
        <v>35</v>
      </c>
      <c r="J2" s="116">
        <f>(E2+G2)-H2</f>
        <v>-0.31153335447385899</v>
      </c>
      <c r="K2" s="256">
        <f>N46</f>
        <v>6.512825319307658E-2</v>
      </c>
      <c r="L2" s="320">
        <f>M45</f>
        <v>1.9908144595293376</v>
      </c>
      <c r="M2" s="278">
        <f>E2/10^3*1.2</f>
        <v>7.1999999999999995E-2</v>
      </c>
      <c r="N2" s="258" t="str">
        <f>I2</f>
        <v>mV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</row>
    <row r="3" spans="1:42" ht="12.75" customHeight="1" x14ac:dyDescent="0.3">
      <c r="A3" s="641"/>
      <c r="B3" s="642"/>
      <c r="C3" s="48">
        <f>Data!A53</f>
        <v>50</v>
      </c>
      <c r="D3" s="124" t="str">
        <f>Data!B57</f>
        <v>Hz</v>
      </c>
      <c r="E3" s="130">
        <f>Data!C54</f>
        <v>300</v>
      </c>
      <c r="F3" s="130" t="str">
        <f>Data!D54</f>
        <v>mV</v>
      </c>
      <c r="G3" s="183">
        <f t="shared" si="0"/>
        <v>2.2128794071247741E-3</v>
      </c>
      <c r="H3" s="178">
        <f>AVERAGE(Data!G54:N54)</f>
        <v>300.10000000000002</v>
      </c>
      <c r="I3" s="262" t="s">
        <v>35</v>
      </c>
      <c r="J3" s="143">
        <f t="shared" ref="J3:J12" si="1">(E3+G3)-H3</f>
        <v>-9.7787120592897736E-2</v>
      </c>
      <c r="K3" s="261">
        <f>N60</f>
        <v>8.9630469531765178E-2</v>
      </c>
      <c r="L3" s="321">
        <f>M59</f>
        <v>1.977888240998998</v>
      </c>
      <c r="M3" s="129">
        <f>E3/10^3*1.2</f>
        <v>0.36</v>
      </c>
      <c r="N3" s="126" t="str">
        <f t="shared" ref="N3:N16" si="2">I3</f>
        <v>mV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</row>
    <row r="4" spans="1:42" ht="12.75" customHeight="1" thickBot="1" x14ac:dyDescent="0.35">
      <c r="A4" s="643"/>
      <c r="B4" s="644"/>
      <c r="C4" s="638">
        <f>Data!A53</f>
        <v>50</v>
      </c>
      <c r="D4" s="120" t="str">
        <f>Data!B57</f>
        <v>Hz</v>
      </c>
      <c r="E4" s="273">
        <f>Data!C55</f>
        <v>0.54</v>
      </c>
      <c r="F4" s="273" t="str">
        <f>Data!D55</f>
        <v>V1</v>
      </c>
      <c r="G4" s="182">
        <f t="shared" si="0"/>
        <v>5.8650746268656719E-3</v>
      </c>
      <c r="H4" s="265">
        <f>AVERAGE(Data!E55:N55)</f>
        <v>539.9</v>
      </c>
      <c r="I4" s="326" t="s">
        <v>35</v>
      </c>
      <c r="J4" s="299">
        <f>(E4*10^3+G84)-H4</f>
        <v>0.10000000000002274</v>
      </c>
      <c r="K4" s="678">
        <f>N74</f>
        <v>113.76669723150827</v>
      </c>
      <c r="L4" s="322">
        <f>M73</f>
        <v>1.9863726035922162</v>
      </c>
      <c r="M4" s="119">
        <f>E4/10^0*0.59</f>
        <v>0.31859999999999999</v>
      </c>
      <c r="N4" s="123" t="str">
        <f t="shared" si="2"/>
        <v>mV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</row>
    <row r="5" spans="1:42" ht="12.75" customHeight="1" thickBot="1" x14ac:dyDescent="0.35">
      <c r="A5" s="639">
        <f>Data!A56</f>
        <v>6</v>
      </c>
      <c r="B5" s="640" t="str">
        <f>Data!B56</f>
        <v>V</v>
      </c>
      <c r="C5" s="637">
        <f>Data!A57</f>
        <v>50</v>
      </c>
      <c r="D5" s="124" t="str">
        <f>Data!B57</f>
        <v>Hz</v>
      </c>
      <c r="E5" s="275">
        <f>Data!C57</f>
        <v>0.60000000000000009</v>
      </c>
      <c r="F5" s="275" t="str">
        <f>Data!D57</f>
        <v>V1</v>
      </c>
      <c r="G5" s="181">
        <f t="shared" si="0"/>
        <v>5.8722388059701492E-3</v>
      </c>
      <c r="H5" s="323">
        <f>AVERAGE(Data!E57:N57)</f>
        <v>0.60299999999999998</v>
      </c>
      <c r="I5" s="260" t="s">
        <v>36</v>
      </c>
      <c r="J5" s="305">
        <f t="shared" si="1"/>
        <v>2.8722388059702064E-3</v>
      </c>
      <c r="K5" s="256">
        <f>N88</f>
        <v>4.7445185566299265E-2</v>
      </c>
      <c r="L5" s="320">
        <f>M87</f>
        <v>2.0085631780570266</v>
      </c>
      <c r="M5" s="278">
        <f>E5/10^3*0.59</f>
        <v>3.5400000000000004E-4</v>
      </c>
      <c r="N5" s="117" t="str">
        <f t="shared" si="2"/>
        <v>V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</row>
    <row r="6" spans="1:42" ht="12.75" customHeight="1" thickBot="1" x14ac:dyDescent="0.35">
      <c r="A6" s="641"/>
      <c r="B6" s="642"/>
      <c r="C6" s="48">
        <f>Data!A57</f>
        <v>50</v>
      </c>
      <c r="D6" s="124" t="str">
        <f>Data!B61</f>
        <v>Hz</v>
      </c>
      <c r="E6" s="324">
        <f>Data!C58</f>
        <v>3</v>
      </c>
      <c r="F6" s="324" t="str">
        <f>Data!D58</f>
        <v>V1</v>
      </c>
      <c r="G6" s="183">
        <f t="shared" si="0"/>
        <v>7.6967380857324505E-4</v>
      </c>
      <c r="H6" s="323">
        <f>AVERAGE(Data!E58:N58)</f>
        <v>3.0030000000000001</v>
      </c>
      <c r="I6" s="176" t="s">
        <v>36</v>
      </c>
      <c r="J6" s="248">
        <f t="shared" si="1"/>
        <v>-2.2303261914267125E-3</v>
      </c>
      <c r="K6" s="261">
        <f>N102</f>
        <v>1.3738602547257485E-3</v>
      </c>
      <c r="L6" s="321">
        <f>M101</f>
        <v>1.9849470176556285</v>
      </c>
      <c r="M6" s="129">
        <f>E6/10^3*0.59</f>
        <v>1.7699999999999999E-3</v>
      </c>
      <c r="N6" s="128" t="str">
        <f t="shared" si="2"/>
        <v>V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18"/>
      <c r="AO6" s="1"/>
      <c r="AP6" s="118"/>
    </row>
    <row r="7" spans="1:42" ht="12.75" customHeight="1" thickBot="1" x14ac:dyDescent="0.35">
      <c r="A7" s="643"/>
      <c r="B7" s="644"/>
      <c r="C7" s="638">
        <f>Data!A57</f>
        <v>50</v>
      </c>
      <c r="D7" s="120" t="str">
        <f>Data!B57</f>
        <v>Hz</v>
      </c>
      <c r="E7" s="325">
        <f>Data!C59</f>
        <v>5.4</v>
      </c>
      <c r="F7" s="325" t="str">
        <f>Data!D59</f>
        <v>V2</v>
      </c>
      <c r="G7" s="182">
        <f t="shared" si="0"/>
        <v>-1.3608955223880594E-3</v>
      </c>
      <c r="H7" s="323">
        <f>AVERAGE(Data!E59:N59)</f>
        <v>5.3979999999999997</v>
      </c>
      <c r="I7" s="175" t="s">
        <v>36</v>
      </c>
      <c r="J7" s="309">
        <f t="shared" si="1"/>
        <v>6.3910447761283962E-4</v>
      </c>
      <c r="K7" s="600">
        <f>N116</f>
        <v>1.431759839246949E-3</v>
      </c>
      <c r="L7" s="322">
        <f>M115</f>
        <v>1.9764935255677583</v>
      </c>
      <c r="M7" s="119">
        <f>E7/10^3*0.76</f>
        <v>4.104E-3</v>
      </c>
      <c r="N7" s="123" t="str">
        <f t="shared" si="2"/>
        <v>V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</row>
    <row r="8" spans="1:42" ht="12.75" customHeight="1" thickBot="1" x14ac:dyDescent="0.35">
      <c r="A8" s="639">
        <f>Data!A60</f>
        <v>60</v>
      </c>
      <c r="B8" s="640" t="str">
        <f>Data!B60</f>
        <v>V</v>
      </c>
      <c r="C8" s="637">
        <f>Data!A61</f>
        <v>50</v>
      </c>
      <c r="D8" s="113" t="str">
        <f>Data!B61</f>
        <v>Hz</v>
      </c>
      <c r="E8" s="114">
        <f>Data!C61</f>
        <v>6</v>
      </c>
      <c r="F8" s="114" t="str">
        <f>Data!D61</f>
        <v>V2</v>
      </c>
      <c r="G8" s="181">
        <f t="shared" si="0"/>
        <v>-1.3268656716417908E-3</v>
      </c>
      <c r="H8" s="452">
        <f>AVERAGE(Data!E61:N61)</f>
        <v>6.02</v>
      </c>
      <c r="I8" s="449" t="s">
        <v>36</v>
      </c>
      <c r="J8" s="179">
        <f t="shared" si="1"/>
        <v>-2.1326865671641215E-2</v>
      </c>
      <c r="K8" s="256">
        <f>N130</f>
        <v>6.1061546122449083E-3</v>
      </c>
      <c r="L8" s="320">
        <f>M129</f>
        <v>1.9989607894999979</v>
      </c>
      <c r="M8" s="278">
        <f>E8/10^3*0.76</f>
        <v>4.5599999999999998E-3</v>
      </c>
      <c r="N8" s="117" t="str">
        <f t="shared" si="2"/>
        <v>V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</row>
    <row r="9" spans="1:42" ht="12.75" customHeight="1" thickBot="1" x14ac:dyDescent="0.35">
      <c r="A9" s="641"/>
      <c r="B9" s="642"/>
      <c r="C9" s="48">
        <f>Data!A61</f>
        <v>50</v>
      </c>
      <c r="D9" s="124" t="str">
        <f>Data!B61</f>
        <v>Hz</v>
      </c>
      <c r="E9" s="125">
        <f>Data!C62</f>
        <v>30</v>
      </c>
      <c r="F9" s="125" t="str">
        <f>Data!D62</f>
        <v>V2</v>
      </c>
      <c r="G9" s="183">
        <f t="shared" si="0"/>
        <v>-9.7451537062502678E-5</v>
      </c>
      <c r="H9" s="452">
        <f>AVERAGE(Data!E62:N62)</f>
        <v>30.03</v>
      </c>
      <c r="I9" s="176" t="s">
        <v>36</v>
      </c>
      <c r="J9" s="142">
        <f t="shared" si="1"/>
        <v>-3.0097451537063336E-2</v>
      </c>
      <c r="K9" s="261">
        <f>N144</f>
        <v>1.33512753459747E-2</v>
      </c>
      <c r="L9" s="321">
        <f>M143</f>
        <v>1.9878185920341245</v>
      </c>
      <c r="M9" s="129">
        <f>E9/10^3*0.76</f>
        <v>2.2800000000000001E-2</v>
      </c>
      <c r="N9" s="128" t="str">
        <f t="shared" si="2"/>
        <v>V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</row>
    <row r="10" spans="1:42" ht="12.75" customHeight="1" thickBot="1" x14ac:dyDescent="0.35">
      <c r="A10" s="643"/>
      <c r="B10" s="644"/>
      <c r="C10" s="638">
        <f>Data!A61</f>
        <v>50</v>
      </c>
      <c r="D10" s="120" t="str">
        <f>Data!B61</f>
        <v>Hz</v>
      </c>
      <c r="E10" s="121">
        <f>Data!C63</f>
        <v>54</v>
      </c>
      <c r="F10" s="121" t="str">
        <f>Data!D63</f>
        <v>V3</v>
      </c>
      <c r="G10" s="182">
        <f t="shared" si="0"/>
        <v>-1.6167164179104479E-2</v>
      </c>
      <c r="H10" s="452">
        <f>AVERAGE(Data!E63:N63)</f>
        <v>53.98</v>
      </c>
      <c r="I10" s="175" t="s">
        <v>36</v>
      </c>
      <c r="J10" s="180">
        <f t="shared" si="1"/>
        <v>3.8328358209014368E-3</v>
      </c>
      <c r="K10" s="600">
        <f>N158</f>
        <v>1.3969788179734172E-2</v>
      </c>
      <c r="L10" s="322">
        <f>M157</f>
        <v>1.9764539181827516</v>
      </c>
      <c r="M10" s="119">
        <f>E10/10^3*0.85</f>
        <v>4.5899999999999996E-2</v>
      </c>
      <c r="N10" s="123" t="str">
        <f t="shared" si="2"/>
        <v>V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</row>
    <row r="11" spans="1:42" ht="12.75" customHeight="1" thickBot="1" x14ac:dyDescent="0.35">
      <c r="A11" s="639">
        <f>Data!A64</f>
        <v>600</v>
      </c>
      <c r="B11" s="640" t="str">
        <f>Data!B64</f>
        <v>V</v>
      </c>
      <c r="C11" s="48">
        <f>Data!A65</f>
        <v>50</v>
      </c>
      <c r="D11" s="113" t="str">
        <f>Data!B65</f>
        <v>Hz</v>
      </c>
      <c r="E11" s="270">
        <f>Data!C65</f>
        <v>60</v>
      </c>
      <c r="F11" s="270" t="str">
        <f>Data!D65</f>
        <v>V3</v>
      </c>
      <c r="G11" s="181">
        <f t="shared" si="0"/>
        <v>-1.6014925373134328E-2</v>
      </c>
      <c r="H11" s="257">
        <f>AVERAGE(Data!E65:N65)</f>
        <v>60.2</v>
      </c>
      <c r="I11" s="327" t="s">
        <v>36</v>
      </c>
      <c r="J11" s="116">
        <f t="shared" si="1"/>
        <v>-0.2160149253731376</v>
      </c>
      <c r="K11" s="256">
        <f>N172</f>
        <v>6.1010324895349695E-2</v>
      </c>
      <c r="L11" s="320">
        <f>M171</f>
        <v>1.9990914406131797</v>
      </c>
      <c r="M11" s="129">
        <f>E11/10^3*0.85</f>
        <v>5.0999999999999997E-2</v>
      </c>
      <c r="N11" s="115" t="str">
        <f t="shared" si="2"/>
        <v>V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</row>
    <row r="12" spans="1:42" ht="12.75" customHeight="1" thickBot="1" x14ac:dyDescent="0.35">
      <c r="A12" s="641"/>
      <c r="B12" s="642"/>
      <c r="C12" s="48">
        <f>Data!A65</f>
        <v>50</v>
      </c>
      <c r="D12" s="124" t="str">
        <f>D11</f>
        <v>Hz</v>
      </c>
      <c r="E12" s="130">
        <f>Data!C66</f>
        <v>300</v>
      </c>
      <c r="F12" s="130" t="str">
        <f>Data!D66</f>
        <v>V3</v>
      </c>
      <c r="G12" s="183">
        <f t="shared" si="0"/>
        <v>-1.5260686983394715E-3</v>
      </c>
      <c r="H12" s="257">
        <f>AVERAGE(Data!E66:N66)</f>
        <v>300.10000000000002</v>
      </c>
      <c r="I12" s="176" t="s">
        <v>36</v>
      </c>
      <c r="J12" s="143">
        <f t="shared" si="1"/>
        <v>-0.10152606869837655</v>
      </c>
      <c r="K12" s="261">
        <f>N186</f>
        <v>7.1526271407161321E-2</v>
      </c>
      <c r="L12" s="321">
        <f>M185</f>
        <v>1.9843349485581401</v>
      </c>
      <c r="M12" s="129">
        <f>E12/10^3*0.85</f>
        <v>0.255</v>
      </c>
      <c r="N12" s="126" t="str">
        <f t="shared" si="2"/>
        <v>V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</row>
    <row r="13" spans="1:42" ht="12.75" customHeight="1" thickBot="1" x14ac:dyDescent="0.35">
      <c r="A13" s="643"/>
      <c r="B13" s="644"/>
      <c r="C13" s="48">
        <f>Data!A65</f>
        <v>50</v>
      </c>
      <c r="D13" s="124" t="str">
        <f>D11</f>
        <v>Hz</v>
      </c>
      <c r="E13" s="538">
        <f>Data!C67</f>
        <v>540</v>
      </c>
      <c r="F13" s="538" t="str">
        <f>Data!D67</f>
        <v>V4</v>
      </c>
      <c r="G13" s="183">
        <f t="shared" si="0"/>
        <v>-3.1194029850746263E-2</v>
      </c>
      <c r="H13" s="257">
        <f>AVERAGE(Data!E67:N67)</f>
        <v>539.9</v>
      </c>
      <c r="I13" s="176" t="s">
        <v>36</v>
      </c>
      <c r="J13" s="143">
        <f>(E13+G13)-H13</f>
        <v>6.8805970149242057E-2</v>
      </c>
      <c r="K13" s="261">
        <f>N200</f>
        <v>0.1214235069339662</v>
      </c>
      <c r="L13" s="321">
        <f>M199</f>
        <v>1.9768611263912395</v>
      </c>
      <c r="M13" s="129">
        <f>E13/10^3*0.81</f>
        <v>0.43740000000000007</v>
      </c>
      <c r="N13" s="128" t="str">
        <f t="shared" si="2"/>
        <v>V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</row>
    <row r="14" spans="1:42" ht="12.75" customHeight="1" thickBot="1" x14ac:dyDescent="0.35">
      <c r="A14" s="639">
        <f>Data!A68</f>
        <v>1000</v>
      </c>
      <c r="B14" s="640" t="str">
        <f>Data!B68</f>
        <v>V</v>
      </c>
      <c r="C14" s="645">
        <f>Data!A69</f>
        <v>50</v>
      </c>
      <c r="D14" s="645" t="str">
        <f>Data!B69</f>
        <v>Hz</v>
      </c>
      <c r="E14" s="604">
        <f>Data!C69</f>
        <v>100</v>
      </c>
      <c r="F14" s="604" t="str">
        <f>Data!D69</f>
        <v>V3</v>
      </c>
      <c r="G14" s="541">
        <f t="shared" si="0"/>
        <v>-1.5000000000000001E-2</v>
      </c>
      <c r="H14" s="589">
        <f>AVERAGE(Data!E69:N69)</f>
        <v>101</v>
      </c>
      <c r="I14" s="550" t="s">
        <v>36</v>
      </c>
      <c r="J14" s="590">
        <f>(E14+G14)-H14</f>
        <v>-1.0150000000000006</v>
      </c>
      <c r="K14" s="601">
        <f>N214</f>
        <v>0.57768218006607763</v>
      </c>
      <c r="L14" s="544">
        <f>M213</f>
        <v>2.0084650745276398</v>
      </c>
      <c r="M14" s="533">
        <f>E14/10^3*0.85</f>
        <v>8.5000000000000006E-2</v>
      </c>
      <c r="N14" s="547" t="str">
        <f t="shared" si="2"/>
        <v>V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</row>
    <row r="15" spans="1:42" ht="12.75" customHeight="1" thickBot="1" x14ac:dyDescent="0.35">
      <c r="A15" s="641"/>
      <c r="B15" s="642"/>
      <c r="C15" s="48">
        <f>Data!A69</f>
        <v>50</v>
      </c>
      <c r="D15" s="48" t="str">
        <f>Data!B69</f>
        <v>Hz</v>
      </c>
      <c r="E15" s="539">
        <f>Data!C70</f>
        <v>500</v>
      </c>
      <c r="F15" s="539" t="str">
        <f>Data!D70</f>
        <v>V4</v>
      </c>
      <c r="G15" s="542">
        <f t="shared" si="0"/>
        <v>-3.477611940298507E-2</v>
      </c>
      <c r="H15" s="589">
        <f>AVERAGE(Data!E70:N70)</f>
        <v>500</v>
      </c>
      <c r="I15" s="551" t="s">
        <v>36</v>
      </c>
      <c r="J15" s="591">
        <f t="shared" ref="J15" si="3">(E15+G15)-H15</f>
        <v>-3.4776119402977201E-2</v>
      </c>
      <c r="K15" s="602">
        <f>N228</f>
        <v>0.58726761836089214</v>
      </c>
      <c r="L15" s="545">
        <f>M227</f>
        <v>2.0053333637792705</v>
      </c>
      <c r="M15" s="534">
        <f>E15/10^3*0.81</f>
        <v>0.40500000000000003</v>
      </c>
      <c r="N15" s="548" t="str">
        <f t="shared" si="2"/>
        <v>V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</row>
    <row r="16" spans="1:42" ht="12.75" customHeight="1" thickBot="1" x14ac:dyDescent="0.35">
      <c r="A16" s="643"/>
      <c r="B16" s="644"/>
      <c r="C16" s="646">
        <f>Data!A69</f>
        <v>50</v>
      </c>
      <c r="D16" s="646" t="str">
        <f>Data!B69</f>
        <v>Hz</v>
      </c>
      <c r="E16" s="540">
        <f>Data!C71</f>
        <v>900</v>
      </c>
      <c r="F16" s="540" t="str">
        <f>Data!D71</f>
        <v>V4</v>
      </c>
      <c r="G16" s="543">
        <f t="shared" si="0"/>
        <v>1.0447761194029848E-3</v>
      </c>
      <c r="H16" s="589">
        <f>AVERAGE(Data!E71:N71)</f>
        <v>899</v>
      </c>
      <c r="I16" s="552" t="s">
        <v>36</v>
      </c>
      <c r="J16" s="592">
        <f>(E16+G16)-H16</f>
        <v>1.0010447761194428</v>
      </c>
      <c r="K16" s="603">
        <f>N242</f>
        <v>0.60372430560813439</v>
      </c>
      <c r="L16" s="546">
        <f>M241</f>
        <v>2.0007253972065508</v>
      </c>
      <c r="M16" s="536">
        <f>E16/10^3*0.81</f>
        <v>0.72900000000000009</v>
      </c>
      <c r="N16" s="549" t="str">
        <f t="shared" si="2"/>
        <v>V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</row>
    <row r="17" spans="3:42" ht="12.75" customHeight="1" x14ac:dyDescent="0.3"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</row>
    <row r="18" spans="3:42" ht="12.75" customHeight="1" x14ac:dyDescent="0.3"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</row>
    <row r="19" spans="3:42" ht="12.75" customHeight="1" x14ac:dyDescent="0.3">
      <c r="C19" s="284" t="s">
        <v>550</v>
      </c>
      <c r="D19" s="12"/>
      <c r="E19" s="12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</row>
    <row r="20" spans="3:42" ht="12.75" customHeight="1" x14ac:dyDescent="0.3"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</row>
    <row r="21" spans="3:42" ht="12.75" customHeight="1" x14ac:dyDescent="0.3">
      <c r="C21" s="48" t="s">
        <v>48</v>
      </c>
      <c r="D21" s="48"/>
      <c r="E21" s="56" t="s">
        <v>49</v>
      </c>
      <c r="F21" s="288" t="s">
        <v>552</v>
      </c>
      <c r="G21" s="48"/>
      <c r="H21" s="48"/>
      <c r="I21" s="48"/>
      <c r="J21" s="48"/>
      <c r="K21" s="48"/>
      <c r="L21" s="48"/>
      <c r="M21" s="48"/>
      <c r="N21" s="48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</row>
    <row r="22" spans="3:42" ht="12.75" customHeight="1" x14ac:dyDescent="0.3">
      <c r="C22" s="48" t="s">
        <v>50</v>
      </c>
      <c r="D22" s="48"/>
      <c r="E22" s="56" t="s">
        <v>49</v>
      </c>
      <c r="F22" s="48" t="s">
        <v>51</v>
      </c>
      <c r="G22" s="48"/>
      <c r="H22" s="48"/>
      <c r="I22" s="48"/>
      <c r="J22" s="48"/>
      <c r="K22" s="48"/>
      <c r="L22" s="48"/>
      <c r="M22" s="48"/>
      <c r="N22" s="48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</row>
    <row r="23" spans="3:42" ht="12.75" customHeight="1" x14ac:dyDescent="0.3"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1"/>
      <c r="P23" s="1"/>
      <c r="Q23" s="1" t="s">
        <v>650</v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</row>
    <row r="24" spans="3:42" ht="12.75" customHeight="1" x14ac:dyDescent="0.3">
      <c r="C24" s="840" t="s">
        <v>52</v>
      </c>
      <c r="D24" s="807"/>
      <c r="E24" s="807"/>
      <c r="F24" s="807"/>
      <c r="G24" s="8" t="s">
        <v>53</v>
      </c>
      <c r="H24" s="8"/>
      <c r="I24" s="8"/>
      <c r="J24" s="8"/>
      <c r="K24" s="8"/>
      <c r="L24" s="8"/>
      <c r="M24" s="8"/>
      <c r="N24" s="8"/>
      <c r="O24" s="285" t="s">
        <v>551</v>
      </c>
      <c r="P24" s="1"/>
      <c r="Q24" s="630" t="s">
        <v>54</v>
      </c>
      <c r="R24" s="255"/>
      <c r="S24" s="648" t="s">
        <v>653</v>
      </c>
      <c r="T24" s="647">
        <v>45506</v>
      </c>
      <c r="U24" s="57">
        <v>44655</v>
      </c>
      <c r="V24" s="132">
        <v>43854</v>
      </c>
      <c r="W24" s="57">
        <v>43283</v>
      </c>
      <c r="X24" s="555" t="s">
        <v>55</v>
      </c>
      <c r="Y24" s="553" t="s">
        <v>626</v>
      </c>
      <c r="Z24" s="1"/>
      <c r="AA24" s="841" t="s">
        <v>1</v>
      </c>
      <c r="AB24" s="780"/>
      <c r="AC24" s="841" t="s">
        <v>235</v>
      </c>
      <c r="AD24" s="780"/>
      <c r="AE24" s="60" t="s">
        <v>56</v>
      </c>
      <c r="AF24" s="409" t="s">
        <v>555</v>
      </c>
      <c r="AG24" s="60" t="s">
        <v>57</v>
      </c>
      <c r="AH24" s="60" t="s">
        <v>58</v>
      </c>
      <c r="AI24" s="59" t="s">
        <v>59</v>
      </c>
      <c r="AJ24" s="409" t="s">
        <v>554</v>
      </c>
      <c r="AK24" s="1"/>
      <c r="AL24" s="1"/>
    </row>
    <row r="25" spans="3:42" ht="12.75" customHeight="1" x14ac:dyDescent="0.3">
      <c r="C25" s="842" t="s">
        <v>60</v>
      </c>
      <c r="D25" s="809"/>
      <c r="E25" s="809"/>
      <c r="F25" s="809"/>
      <c r="G25" s="48" t="s">
        <v>61</v>
      </c>
      <c r="H25" s="48"/>
      <c r="I25" s="48"/>
      <c r="J25" s="48"/>
      <c r="K25" s="48"/>
      <c r="L25" s="48"/>
      <c r="M25" s="48"/>
      <c r="N25" s="48"/>
      <c r="O25" s="61"/>
      <c r="P25" s="1"/>
      <c r="Q25" s="100">
        <f t="shared" ref="Q25:Q39" si="4">E2</f>
        <v>60</v>
      </c>
      <c r="R25" s="63" t="str">
        <f t="shared" ref="R25:R39" si="5">F2</f>
        <v>mV</v>
      </c>
      <c r="S25" s="553">
        <f>C2</f>
        <v>50</v>
      </c>
      <c r="T25" s="636" cm="1">
        <f t="array" ref="T25">IFERROR(
_xlfn.FORECAST.LINEAR(
Q25,
INDEX($AF$25:$AF$66,
MATCH(1,
($AE$25:$AE$66&lt;=Q25)*($AF$25:$AF$66&lt;&gt;"x")*($AB$25:$AB$66=R25)*($AC$25:$AC$66=S25),
0)
):
INDEX($AF$25:$AF$66,
MATCH(1,
($AE$25:$AE$66&gt;=Q25)*($AF$25:$AF$66&lt;&gt;"x")*($AB$25:$AB$66=R25)*($AC$25:$AC$66=S25),
0)
),
INDEX($AE$25:$AE$66,
MATCH(1,
($AE$25:$AE$66&lt;=Q25)*($AF$25:$AF$66&lt;&gt;"x")*($AB$25:$AB$66=R25)*($AC$25:$AC$66=S25),
0)
):
INDEX($AE$25:$AE$66,
MATCH(1,
($AE$25:$AE$66&gt;=Q25)*($AF$25:$AF$66&lt;&gt;"x")*($AB$25:$AB$66=R25)*($AC$25:$AC$66=S25),
0)
)
),INDEX($AF$25:$AF$66,
MATCH(
MIN(IF(($AF$25:$AF$66&lt;&gt;"x")*($AB$25:$AB$66=R25)*($AC$25:$AC$66=S25),ABS($AE$25:$AE$66-Q25))),
IF(($AF$25:$AF$66&lt;&gt;"x")*($AB$25:$AB$66=R25)*($AC$25:$AC$66=S25),ABS($AE$25:$AE$66-Q25)),
0
)))</f>
        <v>-1.1533354473858691E-2</v>
      </c>
      <c r="U25" s="64" cm="1">
        <f t="array" ref="U25">IFERROR(
_xlfn.FORECAST.LINEAR(
Q25,
INDEX($AG$25:$AG$66,
MATCH(1,
($AE$25:$AE$66&lt;=Q25)*($AG$25:$AG$66&lt;&gt;"x")*($AB$25:$AB$66=R25)*($AC$25:$AC$66=S25),
0)
):
INDEX($AG$25:$AG$66,
MATCH(1,
($AE$25:$AE$66&gt;=Q25)*($AG$25:$AG$66&lt;&gt;"x")*($AB$25:$AB$66=R25)*($AC$25:$AC$66=S25),
0)
),
INDEX($AE$25:$AE$66,
MATCH(1,
($AE$25:$AE$66&lt;=Q25)*($AG$25:$AG$66&lt;&gt;"x")*($AB$25:$AB$66=R25)*($AC$25:$AC$66=S25),
0)
):
INDEX($AE$25:$AE$66,
MATCH(1,
($AE$25:$AE$66&gt;=Q25)*($AG$25:$AG$66&lt;&gt;"x")*($AB$25:$AB$66=R25)*($AC$25:$AC$66=S25),
0)
)
),INDEX($AG$25:$AG$66,
MATCH(
MIN(IF(($AG$25:$AG$66&lt;&gt;"x")*($AB$25:$AB$66=R25)*($AC$25:$AC$66=S25),ABS($AE$25:$AE$66-Q25))),
IF(($AG$25:$AG$66&lt;&gt;"x")*($AB$25:$AB$66=R25)*($AC$25:$AC$66=S25),ABS($AE$25:$AE$66-Q25)),
0
)))</f>
        <v>-1.7732268189774338E-3</v>
      </c>
      <c r="V25" s="134" cm="1">
        <f t="array" ref="V25">IFERROR(
_xlfn.FORECAST.LINEAR(
Q25,
INDEX($AH$25:$AH$66,
MATCH(1,
($AE$25:$AE$66&lt;=Q25)*($AH$25:$AH$66&lt;&gt;"x")*($AB$25:$AB$66=R25)*($AC$25:$AC$66=S25),
0)
):
INDEX($AH$25:$AH$66,
MATCH(1,
($AE$25:$AE$66&gt;=Q25)*($AH$25:$AH$66&lt;&gt;"x")*($AB$25:$AB$66=R25)*($AC$25:$AC$66=S25),
0)
),
INDEX($AE$25:$AE$66,
MATCH(1,
($AE$25:$AE$66&lt;=Q25)*($AH$25:$AH$66&lt;&gt;"x")*($AB$25:$AB$66=R25)*($AC$25:$AC$66=S25),
0)
):
INDEX($AE$25:$AE$66,
MATCH(1,
($AE$25:$AE$66&gt;=Q25)*($AH$25:$AH$66&lt;&gt;"x")*($AB$25:$AB$66=R25)*($AC$25:$AC$66=S25),
0)
)
),INDEX($AH$25:$AH$66,
MATCH(
MIN(IF(($AH$25:$AH$66&lt;&gt;"x")*($AB$25:$AB$66=R25)*($AC$25:$AC$66=S25),ABS($AE$25:$AE$66-Q25))),
IF(($AH$25:$AH$66&lt;&gt;"x")*($AB$25:$AB$66=R25)*($AC$25:$AC$66=S25),ABS($AE$25:$AE$66-Q25)),
0
)))</f>
        <v>-8.9999999999999993E-3</v>
      </c>
      <c r="W25" s="64" cm="1">
        <f t="array" ref="W25">IFERROR(
_xlfn.FORECAST.LINEAR(
Q25,
INDEX($AI$25:$AI$66,
MATCH(1,
($AE$25:$AE$66&lt;=Q25)*($AI$25:$AI$66&lt;&gt;"x")*($AB$25:$AB$66=R25)*($AC$25:$AC$66=S25),
0)
):
INDEX($AI$25:$AI$66,
MATCH(1,
($AE$25:$AE$66&gt;=Q25)*($AI$25:$AI$66&lt;&gt;"x")*($AB$25:$AB$66=R25)*($AC$25:$AC$66=S25),
0)
),
INDEX($AE$25:$AE$66,
MATCH(1,
($AE$25:$AE$66&lt;=Q25)*($AI$25:$AI$66&lt;&gt;"x")*($AB$25:$AB$66=R25)*($AC$25:$AC$66=S25),
0)
):
INDEX($AE$25:$AE$66,
MATCH(1,
($AE$25:$AE$66&gt;=Q25)*($AI$25:$AI$66&lt;&gt;"x")*($AB$25:$AB$66=R25)*($AC$25:$AC$66=S25),
0)
)
),INDEX($AI$25:$AI$66,
MATCH(
MIN(IF(($AI$25:$AI$66&lt;&gt;"x")*($AB$25:$AB$66=R25)*($AC$25:$AC$66=S25),ABS($AE$25:$AE$66-Q25))),
IF(($AI$25:$AI$66&lt;&gt;"x")*($AB$25:$AB$66=R25)*($AC$25:$AC$66=S25),ABS($AE$25:$AE$66-Q25)),
0
)))</f>
        <v>1.2999999999999999E-2</v>
      </c>
      <c r="X25" s="556">
        <f t="shared" ref="X25:X39" si="6">((((ABS(T25-U25)/(T$24-U$24))+(ABS(U25-V25)/(U$24-V$24))+(ABS(V25-W25)/(V$24-W$24)))/3)*(((T$24-U$24)+(U$24-V$24)+(V$24-W$24))/3))</f>
        <v>1.457796360902703E-2</v>
      </c>
      <c r="Y25" s="553">
        <f>AJ30</f>
        <v>2.5000000000000001E-2</v>
      </c>
      <c r="Z25" s="1"/>
      <c r="AA25" s="65">
        <v>329.99900000000002</v>
      </c>
      <c r="AB25" s="66" t="s">
        <v>35</v>
      </c>
      <c r="AC25" s="65">
        <v>40</v>
      </c>
      <c r="AD25" s="66" t="s">
        <v>39</v>
      </c>
      <c r="AE25" s="133">
        <v>100</v>
      </c>
      <c r="AF25" s="68">
        <v>-1.4999999999999999E-2</v>
      </c>
      <c r="AG25" s="133">
        <v>-7.0000000000000001E-3</v>
      </c>
      <c r="AH25" s="68">
        <v>-8.9999999999999993E-3</v>
      </c>
      <c r="AI25" s="68">
        <v>1.2999999999999999E-2</v>
      </c>
      <c r="AJ25" s="66">
        <v>2.5000000000000001E-2</v>
      </c>
      <c r="AK25" s="1"/>
      <c r="AL25" s="1"/>
    </row>
    <row r="26" spans="3:42" ht="12.75" customHeight="1" x14ac:dyDescent="0.3">
      <c r="C26" s="842" t="s">
        <v>62</v>
      </c>
      <c r="D26" s="809"/>
      <c r="E26" s="809"/>
      <c r="F26" s="809"/>
      <c r="G26" s="48" t="s">
        <v>63</v>
      </c>
      <c r="H26" s="48"/>
      <c r="I26" s="48"/>
      <c r="J26" s="48"/>
      <c r="K26" s="48"/>
      <c r="L26" s="48"/>
      <c r="M26" s="48"/>
      <c r="N26" s="48"/>
      <c r="O26" s="61"/>
      <c r="P26" s="1"/>
      <c r="Q26" s="100">
        <f t="shared" si="4"/>
        <v>300</v>
      </c>
      <c r="R26" s="63" t="str">
        <f t="shared" si="5"/>
        <v>mV</v>
      </c>
      <c r="S26" s="553">
        <f t="shared" ref="S26:S39" si="7">C3</f>
        <v>50</v>
      </c>
      <c r="T26" s="636" cm="1">
        <f t="array" ref="T26">IFERROR(
_xlfn.FORECAST.LINEAR(
Q26,
INDEX($AF$25:$AF$66,
MATCH(1,
($AE$25:$AE$66&lt;=Q26)*($AF$25:$AF$66&lt;&gt;"x")*($AB$25:$AB$66=R26)*($AC$25:$AC$66=S26),
0)
):
INDEX($AF$25:$AF$66,
MATCH(1,
($AE$25:$AE$66&gt;=Q26)*($AF$25:$AF$66&lt;&gt;"x")*($AB$25:$AB$66=R26)*($AC$25:$AC$66=S26),
0)
),
INDEX($AE$25:$AE$66,
MATCH(1,
($AE$25:$AE$66&lt;=Q26)*($AF$25:$AF$66&lt;&gt;"x")*($AB$25:$AB$66=R26)*($AC$25:$AC$66=S26),
0)
):
INDEX($AE$25:$AE$66,
MATCH(1,
($AE$25:$AE$66&gt;=Q26)*($AF$25:$AF$66&lt;&gt;"x")*($AB$25:$AB$66=R26)*($AC$25:$AC$66=S26),
0)
)
),INDEX($AF$25:$AF$66,
MATCH(
MIN(IF(($AF$25:$AF$66&lt;&gt;"x")*($AB$25:$AB$66=R26)*($AC$25:$AC$66=S26),ABS($AE$25:$AE$66-Q26))),
IF(($AF$25:$AF$66&lt;&gt;"x")*($AB$25:$AB$66=R26)*($AC$25:$AC$66=S26),ABS($AE$25:$AE$66-Q26)),
0
)))</f>
        <v>2.2128794071247741E-3</v>
      </c>
      <c r="U26" s="64" cm="1">
        <f t="array" ref="U26">IFERROR(
_xlfn.FORECAST.LINEAR(
Q26,
INDEX($AG$25:$AG$66,
MATCH(1,
($AE$25:$AE$66&lt;=Q26)*($AG$25:$AG$66&lt;&gt;"x")*($AB$25:$AB$66=R26)*($AC$25:$AC$66=S26),
0)
):
INDEX($AG$25:$AG$66,
MATCH(1,
($AE$25:$AE$66&gt;=Q26)*($AG$25:$AG$66&lt;&gt;"x")*($AB$25:$AB$66=R26)*($AC$25:$AC$66=S26),
0)
),
INDEX($AE$25:$AE$66,
MATCH(1,
($AE$25:$AE$66&lt;=Q26)*($AG$25:$AG$66&lt;&gt;"x")*($AB$25:$AB$66=R26)*($AC$25:$AC$66=S26),
0)
):
INDEX($AE$25:$AE$66,
MATCH(1,
($AE$25:$AE$66&gt;=Q26)*($AG$25:$AG$66&lt;&gt;"x")*($AB$25:$AB$66=R26)*($AC$25:$AC$66=S26),
0)
)
),INDEX($AG$25:$AG$66,
MATCH(
MIN(IF(($AG$25:$AG$66&lt;&gt;"x")*($AB$25:$AB$66=R26)*($AC$25:$AC$66=S26),ABS($AE$25:$AE$66-Q26))),
IF(($AG$25:$AG$66&lt;&gt;"x")*($AB$25:$AB$66=R26)*($AC$25:$AC$66=S26),ABS($AE$25:$AE$66-Q26)),
0
)))</f>
        <v>-0.03</v>
      </c>
      <c r="V26" s="134" cm="1">
        <f t="array" ref="V26">IFERROR(
_xlfn.FORECAST.LINEAR(
Q26,
INDEX($AH$25:$AH$66,
MATCH(1,
($AE$25:$AE$66&lt;=Q26)*($AH$25:$AH$66&lt;&gt;"x")*($AB$25:$AB$66=R26)*($AC$25:$AC$66=S26),
0)
):
INDEX($AH$25:$AH$66,
MATCH(1,
($AE$25:$AE$66&gt;=Q26)*($AH$25:$AH$66&lt;&gt;"x")*($AB$25:$AB$66=R26)*($AC$25:$AC$66=S26),
0)
),
INDEX($AE$25:$AE$66,
MATCH(1,
($AE$25:$AE$66&lt;=Q26)*($AH$25:$AH$66&lt;&gt;"x")*($AB$25:$AB$66=R26)*($AC$25:$AC$66=S26),
0)
):
INDEX($AE$25:$AE$66,
MATCH(1,
($AE$25:$AE$66&gt;=Q26)*($AH$25:$AH$66&lt;&gt;"x")*($AB$25:$AB$66=R26)*($AC$25:$AC$66=S26),
0)
)
),INDEX($AH$25:$AH$66,
MATCH(
MIN(IF(($AH$25:$AH$66&lt;&gt;"x")*($AB$25:$AB$66=R26)*($AC$25:$AC$66=S26),ABS($AE$25:$AE$66-Q26))),
IF(($AH$25:$AH$66&lt;&gt;"x")*($AB$25:$AB$66=R26)*($AC$25:$AC$66=S26),ABS($AE$25:$AE$66-Q26)),
0
)))</f>
        <v>-8.9999999999999993E-3</v>
      </c>
      <c r="W26" s="64" cm="1">
        <f t="array" ref="W26">IFERROR(
_xlfn.FORECAST.LINEAR(
Q26,
INDEX($AI$25:$AI$66,
MATCH(1,
($AE$25:$AE$66&lt;=Q26)*($AI$25:$AI$66&lt;&gt;"x")*($AB$25:$AB$66=R26)*($AC$25:$AC$66=S26),
0)
):
INDEX($AI$25:$AI$66,
MATCH(1,
($AE$25:$AE$66&gt;=Q26)*($AI$25:$AI$66&lt;&gt;"x")*($AB$25:$AB$66=R26)*($AC$25:$AC$66=S26),
0)
),
INDEX($AE$25:$AE$66,
MATCH(1,
($AE$25:$AE$66&lt;=Q26)*($AI$25:$AI$66&lt;&gt;"x")*($AB$25:$AB$66=R26)*($AC$25:$AC$66=S26),
0)
):
INDEX($AE$25:$AE$66,
MATCH(1,
($AE$25:$AE$66&gt;=Q26)*($AI$25:$AI$66&lt;&gt;"x")*($AB$25:$AB$66=R26)*($AC$25:$AC$66=S26),
0)
)
),INDEX($AI$25:$AI$66,
MATCH(
MIN(IF(($AI$25:$AI$66&lt;&gt;"x")*($AB$25:$AB$66=R26)*($AC$25:$AC$66=S26),ABS($AE$25:$AE$66-Q26))),
IF(($AI$25:$AI$66&lt;&gt;"x")*($AB$25:$AB$66=R26)*($AC$25:$AC$66=S26),ABS($AE$25:$AE$66-Q26)),
0
)))</f>
        <v>1.2999999999999999E-2</v>
      </c>
      <c r="X26" s="556">
        <f t="shared" si="6"/>
        <v>2.5341977061064395E-2</v>
      </c>
      <c r="Y26" s="553">
        <f>AJ35</f>
        <v>6.2E-2</v>
      </c>
      <c r="Z26" s="1"/>
      <c r="AA26" s="69"/>
      <c r="AB26" s="61" t="s">
        <v>35</v>
      </c>
      <c r="AC26" s="69">
        <v>50</v>
      </c>
      <c r="AD26" s="61" t="s">
        <v>39</v>
      </c>
      <c r="AE26" s="102">
        <v>1</v>
      </c>
      <c r="AF26" s="70">
        <v>-1.5E-3</v>
      </c>
      <c r="AG26" s="70">
        <v>0.01</v>
      </c>
      <c r="AH26" s="70" t="s">
        <v>637</v>
      </c>
      <c r="AI26" s="70" t="s">
        <v>637</v>
      </c>
      <c r="AJ26" s="61">
        <v>9.4000000000000004E-3</v>
      </c>
      <c r="AK26" s="1"/>
      <c r="AL26" s="1"/>
    </row>
    <row r="27" spans="3:42" ht="12.75" customHeight="1" x14ac:dyDescent="0.3">
      <c r="C27" s="71" t="s">
        <v>64</v>
      </c>
      <c r="D27" s="48"/>
      <c r="E27" s="48"/>
      <c r="F27" s="56" t="s">
        <v>49</v>
      </c>
      <c r="G27" s="48" t="s">
        <v>236</v>
      </c>
      <c r="H27" s="1"/>
      <c r="I27" s="4" t="s">
        <v>66</v>
      </c>
      <c r="J27" s="48"/>
      <c r="K27" s="48"/>
      <c r="L27" s="48"/>
      <c r="M27" s="48"/>
      <c r="N27" s="48"/>
      <c r="O27" s="61"/>
      <c r="P27" s="1"/>
      <c r="Q27" s="83">
        <f t="shared" si="4"/>
        <v>0.54</v>
      </c>
      <c r="R27" s="63" t="str">
        <f t="shared" si="5"/>
        <v>V1</v>
      </c>
      <c r="S27" s="553">
        <f t="shared" si="7"/>
        <v>50</v>
      </c>
      <c r="T27" s="636" cm="1">
        <f t="array" ref="T27">IFERROR(
_xlfn.FORECAST.LINEAR(
Q27,
INDEX($AF$25:$AF$66,
MATCH(1,
($AE$25:$AE$66&lt;=Q27)*($AF$25:$AF$66&lt;&gt;"x")*($AB$25:$AB$66=R27)*($AC$25:$AC$66=S27),
0)
):
INDEX($AF$25:$AF$66,
MATCH(1,
($AE$25:$AE$66&gt;=Q27)*($AF$25:$AF$66&lt;&gt;"x")*($AB$25:$AB$66=R27)*($AC$25:$AC$66=S27),
0)
),
INDEX($AE$25:$AE$66,
MATCH(1,
($AE$25:$AE$66&lt;=Q27)*($AF$25:$AF$66&lt;&gt;"x")*($AB$25:$AB$66=R27)*($AC$25:$AC$66=S27),
0)
):
INDEX($AE$25:$AE$66,
MATCH(1,
($AE$25:$AE$66&gt;=Q27)*($AF$25:$AF$66&lt;&gt;"x")*($AB$25:$AB$66=R27)*($AC$25:$AC$66=S27),
0)
)
),INDEX($AF$25:$AF$66,
MATCH(
MIN(IF(($AF$25:$AF$66&lt;&gt;"x")*($AB$25:$AB$66=R27)*($AC$25:$AC$66=S27),ABS($AE$25:$AE$66-Q27))),
IF(($AF$25:$AF$66&lt;&gt;"x")*($AB$25:$AB$66=R27)*($AC$25:$AC$66=S27),ABS($AE$25:$AE$66-Q27)),
0
)))</f>
        <v>5.8650746268656719E-3</v>
      </c>
      <c r="U27" s="64" cm="1">
        <f t="array" ref="U27">IFERROR(
_xlfn.FORECAST.LINEAR(
Q27,
INDEX($AG$25:$AG$66,
MATCH(1,
($AE$25:$AE$66&lt;=Q27)*($AG$25:$AG$66&lt;&gt;"x")*($AB$25:$AB$66=R27)*($AC$25:$AC$66=S27),
0)
):
INDEX($AG$25:$AG$66,
MATCH(1,
($AE$25:$AE$66&gt;=Q27)*($AG$25:$AG$66&lt;&gt;"x")*($AB$25:$AB$66=R27)*($AC$25:$AC$66=S27),
0)
),
INDEX($AE$25:$AE$66,
MATCH(1,
($AE$25:$AE$66&lt;=Q27)*($AG$25:$AG$66&lt;&gt;"x")*($AB$25:$AB$66=R27)*($AC$25:$AC$66=S27),
0)
):
INDEX($AE$25:$AE$66,
MATCH(1,
($AE$25:$AE$66&gt;=Q27)*($AG$25:$AG$66&lt;&gt;"x")*($AB$25:$AB$66=R27)*($AC$25:$AC$66=S27),
0)
)
),INDEX($AG$25:$AG$66,
MATCH(
MIN(IF(($AG$25:$AG$66&lt;&gt;"x")*($AB$25:$AB$66=R27)*($AC$25:$AC$66=S27),ABS($AE$25:$AE$66-Q27))),
IF(($AG$25:$AG$66&lt;&gt;"x")*($AB$25:$AB$66=R27)*($AC$25:$AC$66=S27),ABS($AE$25:$AE$66-Q27)),
0
)))</f>
        <v>-7.5522388059701503E-2</v>
      </c>
      <c r="V27" s="134" cm="1">
        <f t="array" ref="V27">IFERROR(
_xlfn.FORECAST.LINEAR(
Q27,
INDEX($AH$25:$AH$66,
MATCH(1,
($AE$25:$AE$66&lt;=Q27)*($AH$25:$AH$66&lt;&gt;"x")*($AB$25:$AB$66=R27)*($AC$25:$AC$66=S27),
0)
):
INDEX($AH$25:$AH$66,
MATCH(1,
($AE$25:$AE$66&gt;=Q27)*($AH$25:$AH$66&lt;&gt;"x")*($AB$25:$AB$66=R27)*($AC$25:$AC$66=S27),
0)
),
INDEX($AE$25:$AE$66,
MATCH(1,
($AE$25:$AE$66&lt;=Q27)*($AH$25:$AH$66&lt;&gt;"x")*($AB$25:$AB$66=R27)*($AC$25:$AC$66=S27),
0)
):
INDEX($AE$25:$AE$66,
MATCH(1,
($AE$25:$AE$66&gt;=Q27)*($AH$25:$AH$66&lt;&gt;"x")*($AB$25:$AB$66=R27)*($AC$25:$AC$66=S27),
0)
)
),INDEX($AH$25:$AH$66,
MATCH(
MIN(IF(($AH$25:$AH$66&lt;&gt;"x")*($AB$25:$AB$66=R27)*($AC$25:$AC$66=S27),ABS($AE$25:$AE$66-Q27))),
IF(($AH$25:$AH$66&lt;&gt;"x")*($AB$25:$AB$66=R27)*($AC$25:$AC$66=S27),ABS($AE$25:$AE$66-Q27)),
0
)))</f>
        <v>0</v>
      </c>
      <c r="W27" s="64" cm="1">
        <f t="array" ref="W27">IFERROR(
_xlfn.FORECAST.LINEAR(
Q27,
INDEX($AI$25:$AI$66,
MATCH(1,
($AE$25:$AE$66&lt;=Q27)*($AI$25:$AI$66&lt;&gt;"x")*($AB$25:$AB$66=R27)*($AC$25:$AC$66=S27),
0)
):
INDEX($AI$25:$AI$66,
MATCH(1,
($AE$25:$AE$66&gt;=Q27)*($AI$25:$AI$66&lt;&gt;"x")*($AB$25:$AB$66=R27)*($AC$25:$AC$66=S27),
0)
),
INDEX($AE$25:$AE$66,
MATCH(1,
($AE$25:$AE$66&lt;=Q27)*($AI$25:$AI$66&lt;&gt;"x")*($AB$25:$AB$66=R27)*($AC$25:$AC$66=S27),
0)
):
INDEX($AE$25:$AE$66,
MATCH(1,
($AE$25:$AE$66&gt;=Q27)*($AI$25:$AI$66&lt;&gt;"x")*($AB$25:$AB$66=R27)*($AC$25:$AC$66=S27),
0)
)
),INDEX($AI$25:$AI$66,
MATCH(
MIN(IF(($AI$25:$AI$66&lt;&gt;"x")*($AB$25:$AB$66=R27)*($AC$25:$AC$66=S27),ABS($AE$25:$AE$66-Q27))),
IF(($AI$25:$AI$66&lt;&gt;"x")*($AB$25:$AB$66=R27)*($AC$25:$AC$66=S27),ABS($AE$25:$AE$66-Q27)),
0
)))</f>
        <v>1.6000000000000001E-4</v>
      </c>
      <c r="X27" s="556">
        <f t="shared" si="6"/>
        <v>4.6980086730701691E-2</v>
      </c>
      <c r="Y27" s="553">
        <f>AJ37</f>
        <v>0.1</v>
      </c>
      <c r="Z27" s="1"/>
      <c r="AA27" s="69"/>
      <c r="AB27" s="61" t="s">
        <v>35</v>
      </c>
      <c r="AC27" s="69">
        <v>50</v>
      </c>
      <c r="AD27" s="61" t="s">
        <v>39</v>
      </c>
      <c r="AE27" s="70">
        <v>3.3</v>
      </c>
      <c r="AF27" s="70">
        <v>-1.1000000000000001E-3</v>
      </c>
      <c r="AG27" s="70">
        <v>0.122</v>
      </c>
      <c r="AH27" s="70" t="s">
        <v>637</v>
      </c>
      <c r="AI27" s="70" t="s">
        <v>637</v>
      </c>
      <c r="AJ27" s="61">
        <v>9.5999999999999992E-3</v>
      </c>
      <c r="AK27" s="1"/>
      <c r="AL27" s="1"/>
    </row>
    <row r="28" spans="3:42" ht="12.75" customHeight="1" x14ac:dyDescent="0.3">
      <c r="C28" s="71"/>
      <c r="D28" s="48"/>
      <c r="E28" s="48"/>
      <c r="F28" s="56" t="s">
        <v>49</v>
      </c>
      <c r="G28" s="48" t="s">
        <v>237</v>
      </c>
      <c r="H28" s="48"/>
      <c r="I28" s="48"/>
      <c r="J28" s="48"/>
      <c r="K28" s="48"/>
      <c r="L28" s="48"/>
      <c r="M28" s="48"/>
      <c r="N28" s="48"/>
      <c r="O28" s="61"/>
      <c r="P28" s="1"/>
      <c r="Q28" s="83">
        <f t="shared" si="4"/>
        <v>0.60000000000000009</v>
      </c>
      <c r="R28" s="63" t="str">
        <f t="shared" si="5"/>
        <v>V1</v>
      </c>
      <c r="S28" s="553">
        <f t="shared" si="7"/>
        <v>50</v>
      </c>
      <c r="T28" s="636" cm="1">
        <f t="array" ref="T28">IFERROR(
_xlfn.FORECAST.LINEAR(
Q28,
INDEX($AF$25:$AF$66,
MATCH(1,
($AE$25:$AE$66&lt;=Q28)*($AF$25:$AF$66&lt;&gt;"x")*($AB$25:$AB$66=R28)*($AC$25:$AC$66=S28),
0)
):
INDEX($AF$25:$AF$66,
MATCH(1,
($AE$25:$AE$66&gt;=Q28)*($AF$25:$AF$66&lt;&gt;"x")*($AB$25:$AB$66=R28)*($AC$25:$AC$66=S28),
0)
),
INDEX($AE$25:$AE$66,
MATCH(1,
($AE$25:$AE$66&lt;=Q28)*($AF$25:$AF$66&lt;&gt;"x")*($AB$25:$AB$66=R28)*($AC$25:$AC$66=S28),
0)
):
INDEX($AE$25:$AE$66,
MATCH(1,
($AE$25:$AE$66&gt;=Q28)*($AF$25:$AF$66&lt;&gt;"x")*($AB$25:$AB$66=R28)*($AC$25:$AC$66=S28),
0)
)
),INDEX($AF$25:$AF$66,
MATCH(
MIN(IF(($AF$25:$AF$66&lt;&gt;"x")*($AB$25:$AB$66=R28)*($AC$25:$AC$66=S28),ABS($AE$25:$AE$66-Q28))),
IF(($AF$25:$AF$66&lt;&gt;"x")*($AB$25:$AB$66=R28)*($AC$25:$AC$66=S28),ABS($AE$25:$AE$66-Q28)),
0
)))</f>
        <v>5.8722388059701492E-3</v>
      </c>
      <c r="U28" s="64" cm="1">
        <f t="array" ref="U28">IFERROR(
_xlfn.FORECAST.LINEAR(
Q28,
INDEX($AG$25:$AG$66,
MATCH(1,
($AE$25:$AE$66&lt;=Q28)*($AG$25:$AG$66&lt;&gt;"x")*($AB$25:$AB$66=R28)*($AC$25:$AC$66=S28),
0)
):
INDEX($AG$25:$AG$66,
MATCH(1,
($AE$25:$AE$66&gt;=Q28)*($AG$25:$AG$66&lt;&gt;"x")*($AB$25:$AB$66=R28)*($AC$25:$AC$66=S28),
0)
),
INDEX($AE$25:$AE$66,
MATCH(1,
($AE$25:$AE$66&lt;=Q28)*($AG$25:$AG$66&lt;&gt;"x")*($AB$25:$AB$66=R28)*($AC$25:$AC$66=S28),
0)
):
INDEX($AE$25:$AE$66,
MATCH(1,
($AE$25:$AE$66&gt;=Q28)*($AG$25:$AG$66&lt;&gt;"x")*($AB$25:$AB$66=R28)*($AC$25:$AC$66=S28),
0)
)
),INDEX($AG$25:$AG$66,
MATCH(
MIN(IF(($AG$25:$AG$66&lt;&gt;"x")*($AB$25:$AB$66=R28)*($AC$25:$AC$66=S28),ABS($AE$25:$AE$66-Q28))),
IF(($AG$25:$AG$66&lt;&gt;"x")*($AB$25:$AB$66=R28)*($AC$25:$AC$66=S28),ABS($AE$25:$AE$66-Q28)),
0
)))</f>
        <v>-6.5671641791044774E-2</v>
      </c>
      <c r="V28" s="134" cm="1">
        <f t="array" ref="V28">IFERROR(
_xlfn.FORECAST.LINEAR(
Q28,
INDEX($AH$25:$AH$66,
MATCH(1,
($AE$25:$AE$66&lt;=Q28)*($AH$25:$AH$66&lt;&gt;"x")*($AB$25:$AB$66=R28)*($AC$25:$AC$66=S28),
0)
):
INDEX($AH$25:$AH$66,
MATCH(1,
($AE$25:$AE$66&gt;=Q28)*($AH$25:$AH$66&lt;&gt;"x")*($AB$25:$AB$66=R28)*($AC$25:$AC$66=S28),
0)
),
INDEX($AE$25:$AE$66,
MATCH(1,
($AE$25:$AE$66&lt;=Q28)*($AH$25:$AH$66&lt;&gt;"x")*($AB$25:$AB$66=R28)*($AC$25:$AC$66=S28),
0)
):
INDEX($AE$25:$AE$66,
MATCH(1,
($AE$25:$AE$66&gt;=Q28)*($AH$25:$AH$66&lt;&gt;"x")*($AB$25:$AB$66=R28)*($AC$25:$AC$66=S28),
0)
)
),INDEX($AH$25:$AH$66,
MATCH(
MIN(IF(($AH$25:$AH$66&lt;&gt;"x")*($AB$25:$AB$66=R28)*($AC$25:$AC$66=S28),ABS($AE$25:$AE$66-Q28))),
IF(($AH$25:$AH$66&lt;&gt;"x")*($AB$25:$AB$66=R28)*($AC$25:$AC$66=S28),ABS($AE$25:$AE$66-Q28)),
0
)))</f>
        <v>0</v>
      </c>
      <c r="W28" s="64" cm="1">
        <f t="array" ref="W28">IFERROR(
_xlfn.FORECAST.LINEAR(
Q28,
INDEX($AI$25:$AI$66,
MATCH(1,
($AE$25:$AE$66&lt;=Q28)*($AI$25:$AI$66&lt;&gt;"x")*($AB$25:$AB$66=R28)*($AC$25:$AC$66=S28),
0)
):
INDEX($AI$25:$AI$66,
MATCH(1,
($AE$25:$AE$66&gt;=Q28)*($AI$25:$AI$66&lt;&gt;"x")*($AB$25:$AB$66=R28)*($AC$25:$AC$66=S28),
0)
),
INDEX($AE$25:$AE$66,
MATCH(1,
($AE$25:$AE$66&lt;=Q28)*($AI$25:$AI$66&lt;&gt;"x")*($AB$25:$AB$66=R28)*($AC$25:$AC$66=S28),
0)
):
INDEX($AE$25:$AE$66,
MATCH(1,
($AE$25:$AE$66&gt;=Q28)*($AI$25:$AI$66&lt;&gt;"x")*($AB$25:$AB$66=R28)*($AC$25:$AC$66=S28),
0)
)
),INDEX($AI$25:$AI$66,
MATCH(
MIN(IF(($AI$25:$AI$66&lt;&gt;"x")*($AB$25:$AB$66=R28)*($AC$25:$AC$66=S28),ABS($AE$25:$AE$66-Q28))),
IF(($AI$25:$AI$66&lt;&gt;"x")*($AB$25:$AB$66=R28)*($AC$25:$AC$66=S28),ABS($AE$25:$AE$66-Q28)),
0
)))</f>
        <v>1.6000000000000001E-4</v>
      </c>
      <c r="X28" s="556">
        <f t="shared" si="6"/>
        <v>4.1085397954327141E-2</v>
      </c>
      <c r="Y28" s="553">
        <f>AJ38</f>
        <v>1.8000000000000001E-4</v>
      </c>
      <c r="Z28" s="1"/>
      <c r="AA28" s="69"/>
      <c r="AB28" s="61" t="s">
        <v>35</v>
      </c>
      <c r="AC28" s="69">
        <v>50</v>
      </c>
      <c r="AD28" s="61" t="s">
        <v>39</v>
      </c>
      <c r="AE28" s="102">
        <v>29.699000000000002</v>
      </c>
      <c r="AF28" s="70">
        <v>-3.0000000000000001E-3</v>
      </c>
      <c r="AG28" s="70">
        <v>4.0000000000000001E-3</v>
      </c>
      <c r="AH28" s="70" t="s">
        <v>637</v>
      </c>
      <c r="AI28" s="70" t="s">
        <v>637</v>
      </c>
      <c r="AJ28" s="61">
        <v>1.4999999999999999E-2</v>
      </c>
      <c r="AK28" s="1"/>
      <c r="AL28" s="1"/>
    </row>
    <row r="29" spans="3:42" ht="12.75" customHeight="1" x14ac:dyDescent="0.3">
      <c r="C29" s="71"/>
      <c r="D29" s="48"/>
      <c r="E29" s="48"/>
      <c r="F29" s="48"/>
      <c r="G29" s="238" t="s">
        <v>68</v>
      </c>
      <c r="H29" s="48" t="s">
        <v>69</v>
      </c>
      <c r="I29" s="48"/>
      <c r="J29" s="48"/>
      <c r="K29" s="48"/>
      <c r="L29" s="48"/>
      <c r="M29" s="48"/>
      <c r="N29" s="48"/>
      <c r="O29" s="61"/>
      <c r="P29" s="1"/>
      <c r="Q29" s="83">
        <f t="shared" si="4"/>
        <v>3</v>
      </c>
      <c r="R29" s="63" t="str">
        <f t="shared" si="5"/>
        <v>V1</v>
      </c>
      <c r="S29" s="553">
        <f t="shared" si="7"/>
        <v>50</v>
      </c>
      <c r="T29" s="636" cm="1">
        <f t="array" ref="T29">IFERROR(
_xlfn.FORECAST.LINEAR(
Q29,
INDEX($AF$25:$AF$66,
MATCH(1,
($AE$25:$AE$66&lt;=Q29)*($AF$25:$AF$66&lt;&gt;"x")*($AB$25:$AB$66=R29)*($AC$25:$AC$66=S29),
0)
):
INDEX($AF$25:$AF$66,
MATCH(1,
($AE$25:$AE$66&gt;=Q29)*($AF$25:$AF$66&lt;&gt;"x")*($AB$25:$AB$66=R29)*($AC$25:$AC$66=S29),
0)
),
INDEX($AE$25:$AE$66,
MATCH(1,
($AE$25:$AE$66&lt;=Q29)*($AF$25:$AF$66&lt;&gt;"x")*($AB$25:$AB$66=R29)*($AC$25:$AC$66=S29),
0)
):
INDEX($AE$25:$AE$66,
MATCH(1,
($AE$25:$AE$66&gt;=Q29)*($AF$25:$AF$66&lt;&gt;"x")*($AB$25:$AB$66=R29)*($AC$25:$AC$66=S29),
0)
)
),INDEX($AF$25:$AF$66,
MATCH(
MIN(IF(($AF$25:$AF$66&lt;&gt;"x")*($AB$25:$AB$66=R29)*($AC$25:$AC$66=S29),ABS($AE$25:$AE$66-Q29))),
IF(($AF$25:$AF$66&lt;&gt;"x")*($AB$25:$AB$66=R29)*($AC$25:$AC$66=S29),ABS($AE$25:$AE$66-Q29)),
0
)))</f>
        <v>7.6967380857324505E-4</v>
      </c>
      <c r="U29" s="64" cm="1">
        <f t="array" ref="U29">IFERROR(
_xlfn.FORECAST.LINEAR(
Q29,
INDEX($AG$25:$AG$66,
MATCH(1,
($AE$25:$AE$66&lt;=Q29)*($AG$25:$AG$66&lt;&gt;"x")*($AB$25:$AB$66=R29)*($AC$25:$AC$66=S29),
0)
):
INDEX($AG$25:$AG$66,
MATCH(1,
($AE$25:$AE$66&gt;=Q29)*($AG$25:$AG$66&lt;&gt;"x")*($AB$25:$AB$66=R29)*($AC$25:$AC$66=S29),
0)
),
INDEX($AE$25:$AE$66,
MATCH(1,
($AE$25:$AE$66&lt;=Q29)*($AG$25:$AG$66&lt;&gt;"x")*($AB$25:$AB$66=R29)*($AC$25:$AC$66=S29),
0)
):
INDEX($AE$25:$AE$66,
MATCH(1,
($AE$25:$AE$66&gt;=Q29)*($AG$25:$AG$66&lt;&gt;"x")*($AB$25:$AB$66=R29)*($AC$25:$AC$66=S29),
0)
)
),INDEX($AG$25:$AG$66,
MATCH(
MIN(IF(($AG$25:$AG$66&lt;&gt;"x")*($AB$25:$AB$66=R29)*($AC$25:$AC$66=S29),ABS($AE$25:$AE$66-Q29))),
IF(($AG$25:$AG$66&lt;&gt;"x")*($AB$25:$AB$66=R29)*($AC$25:$AC$66=S29),ABS($AE$25:$AE$66-Q29)),
0
)))</f>
        <v>0</v>
      </c>
      <c r="V29" s="134" cm="1">
        <f t="array" ref="V29">IFERROR(
_xlfn.FORECAST.LINEAR(
Q29,
INDEX($AH$25:$AH$66,
MATCH(1,
($AE$25:$AE$66&lt;=Q29)*($AH$25:$AH$66&lt;&gt;"x")*($AB$25:$AB$66=R29)*($AC$25:$AC$66=S29),
0)
):
INDEX($AH$25:$AH$66,
MATCH(1,
($AE$25:$AE$66&gt;=Q29)*($AH$25:$AH$66&lt;&gt;"x")*($AB$25:$AB$66=R29)*($AC$25:$AC$66=S29),
0)
),
INDEX($AE$25:$AE$66,
MATCH(1,
($AE$25:$AE$66&lt;=Q29)*($AH$25:$AH$66&lt;&gt;"x")*($AB$25:$AB$66=R29)*($AC$25:$AC$66=S29),
0)
):
INDEX($AE$25:$AE$66,
MATCH(1,
($AE$25:$AE$66&gt;=Q29)*($AH$25:$AH$66&lt;&gt;"x")*($AB$25:$AB$66=R29)*($AC$25:$AC$66=S29),
0)
)
),INDEX($AH$25:$AH$66,
MATCH(
MIN(IF(($AH$25:$AH$66&lt;&gt;"x")*($AB$25:$AB$66=R29)*($AC$25:$AC$66=S29),ABS($AE$25:$AE$66-Q29))),
IF(($AH$25:$AH$66&lt;&gt;"x")*($AB$25:$AB$66=R29)*($AC$25:$AC$66=S29),ABS($AE$25:$AE$66-Q29)),
0
)))</f>
        <v>0</v>
      </c>
      <c r="W29" s="64" cm="1">
        <f t="array" ref="W29">IFERROR(
_xlfn.FORECAST.LINEAR(
Q29,
INDEX($AI$25:$AI$66,
MATCH(1,
($AE$25:$AE$66&lt;=Q29)*($AI$25:$AI$66&lt;&gt;"x")*($AB$25:$AB$66=R29)*($AC$25:$AC$66=S29),
0)
):
INDEX($AI$25:$AI$66,
MATCH(1,
($AE$25:$AE$66&gt;=Q29)*($AI$25:$AI$66&lt;&gt;"x")*($AB$25:$AB$66=R29)*($AC$25:$AC$66=S29),
0)
),
INDEX($AE$25:$AE$66,
MATCH(1,
($AE$25:$AE$66&lt;=Q29)*($AI$25:$AI$66&lt;&gt;"x")*($AB$25:$AB$66=R29)*($AC$25:$AC$66=S29),
0)
):
INDEX($AE$25:$AE$66,
MATCH(1,
($AE$25:$AE$66&gt;=Q29)*($AI$25:$AI$66&lt;&gt;"x")*($AB$25:$AB$66=R29)*($AC$25:$AC$66=S29),
0)
)
),INDEX($AI$25:$AI$66,
MATCH(
MIN(IF(($AI$25:$AI$66&lt;&gt;"x")*($AB$25:$AB$66=R29)*($AC$25:$AC$66=S29),ABS($AE$25:$AE$66-Q29))),
IF(($AI$25:$AI$66&lt;&gt;"x")*($AB$25:$AB$66=R29)*($AC$25:$AC$66=S29),ABS($AE$25:$AE$66-Q29)),
0
)))</f>
        <v>1.6000000000000001E-4</v>
      </c>
      <c r="X29" s="556">
        <f t="shared" si="6"/>
        <v>2.926072446750496E-4</v>
      </c>
      <c r="Y29" s="553">
        <f>AJ45</f>
        <v>1.1999999999999999E-3</v>
      </c>
      <c r="Z29" s="1"/>
      <c r="AA29" s="383"/>
      <c r="AB29" s="61" t="s">
        <v>35</v>
      </c>
      <c r="AC29" s="1">
        <v>50</v>
      </c>
      <c r="AD29" s="61" t="s">
        <v>39</v>
      </c>
      <c r="AE29" s="102">
        <v>33</v>
      </c>
      <c r="AF29" s="70">
        <v>-1.6E-2</v>
      </c>
      <c r="AG29" s="70">
        <v>-0.126</v>
      </c>
      <c r="AH29" s="70" t="s">
        <v>637</v>
      </c>
      <c r="AI29" s="70" t="s">
        <v>637</v>
      </c>
      <c r="AJ29" s="61">
        <v>1.4999999999999999E-2</v>
      </c>
      <c r="AK29" s="1"/>
      <c r="AL29" s="1"/>
    </row>
    <row r="30" spans="3:42" ht="12.75" customHeight="1" x14ac:dyDescent="0.3">
      <c r="C30" s="74"/>
      <c r="D30" s="73"/>
      <c r="E30" s="73"/>
      <c r="F30" s="73"/>
      <c r="G30" s="238" t="s">
        <v>238</v>
      </c>
      <c r="H30" s="4" t="s">
        <v>71</v>
      </c>
      <c r="I30" s="48"/>
      <c r="J30" s="48"/>
      <c r="K30" s="48"/>
      <c r="L30" s="48"/>
      <c r="M30" s="48"/>
      <c r="N30" s="48"/>
      <c r="O30" s="61"/>
      <c r="P30" s="1"/>
      <c r="Q30" s="62">
        <f t="shared" si="4"/>
        <v>5.4</v>
      </c>
      <c r="R30" s="63" t="str">
        <f t="shared" si="5"/>
        <v>V2</v>
      </c>
      <c r="S30" s="553">
        <f t="shared" si="7"/>
        <v>50</v>
      </c>
      <c r="T30" s="636" cm="1">
        <f t="array" ref="T30">IFERROR(
_xlfn.FORECAST.LINEAR(
Q30,
INDEX($AF$25:$AF$66,
MATCH(1,
($AE$25:$AE$66&lt;=Q30)*($AF$25:$AF$66&lt;&gt;"x")*($AB$25:$AB$66=R30)*($AC$25:$AC$66=S30),
0)
):
INDEX($AF$25:$AF$66,
MATCH(1,
($AE$25:$AE$66&gt;=Q30)*($AF$25:$AF$66&lt;&gt;"x")*($AB$25:$AB$66=R30)*($AC$25:$AC$66=S30),
0)
),
INDEX($AE$25:$AE$66,
MATCH(1,
($AE$25:$AE$66&lt;=Q30)*($AF$25:$AF$66&lt;&gt;"x")*($AB$25:$AB$66=R30)*($AC$25:$AC$66=S30),
0)
):
INDEX($AE$25:$AE$66,
MATCH(1,
($AE$25:$AE$66&gt;=Q30)*($AF$25:$AF$66&lt;&gt;"x")*($AB$25:$AB$66=R30)*($AC$25:$AC$66=S30),
0)
)
),INDEX($AF$25:$AF$66,
MATCH(
MIN(IF(($AF$25:$AF$66&lt;&gt;"x")*($AB$25:$AB$66=R30)*($AC$25:$AC$66=S30),ABS($AE$25:$AE$66-Q30))),
IF(($AF$25:$AF$66&lt;&gt;"x")*($AB$25:$AB$66=R30)*($AC$25:$AC$66=S30),ABS($AE$25:$AE$66-Q30)),
0
)))</f>
        <v>-1.3608955223880594E-3</v>
      </c>
      <c r="U30" s="64" cm="1">
        <f t="array" ref="U30">IFERROR(
_xlfn.FORECAST.LINEAR(
Q30,
INDEX($AG$25:$AG$66,
MATCH(1,
($AE$25:$AE$66&lt;=Q30)*($AG$25:$AG$66&lt;&gt;"x")*($AB$25:$AB$66=R30)*($AC$25:$AC$66=S30),
0)
):
INDEX($AG$25:$AG$66,
MATCH(1,
($AE$25:$AE$66&gt;=Q30)*($AG$25:$AG$66&lt;&gt;"x")*($AB$25:$AB$66=R30)*($AC$25:$AC$66=S30),
0)
),
INDEX($AE$25:$AE$66,
MATCH(1,
($AE$25:$AE$66&lt;=Q30)*($AG$25:$AG$66&lt;&gt;"x")*($AB$25:$AB$66=R30)*($AC$25:$AC$66=S30),
0)
):
INDEX($AE$25:$AE$66,
MATCH(1,
($AE$25:$AE$66&gt;=Q30)*($AG$25:$AG$66&lt;&gt;"x")*($AB$25:$AB$66=R30)*($AC$25:$AC$66=S30),
0)
)
),INDEX($AG$25:$AG$66,
MATCH(
MIN(IF(($AG$25:$AG$66&lt;&gt;"x")*($AB$25:$AB$66=R30)*($AC$25:$AC$66=S30),ABS($AE$25:$AE$66-Q30))),
IF(($AG$25:$AG$66&lt;&gt;"x")*($AB$25:$AB$66=R30)*($AC$25:$AC$66=S30),ABS($AE$25:$AE$66-Q30)),
0
)))</f>
        <v>-1.3805970149253733E-3</v>
      </c>
      <c r="V30" s="134" cm="1">
        <f t="array" ref="V30">IFERROR(
_xlfn.FORECAST.LINEAR(
Q30,
INDEX($AH$25:$AH$66,
MATCH(1,
($AE$25:$AE$66&lt;=Q30)*($AH$25:$AH$66&lt;&gt;"x")*($AB$25:$AB$66=R30)*($AC$25:$AC$66=S30),
0)
):
INDEX($AH$25:$AH$66,
MATCH(1,
($AE$25:$AE$66&gt;=Q30)*($AH$25:$AH$66&lt;&gt;"x")*($AB$25:$AB$66=R30)*($AC$25:$AC$66=S30),
0)
),
INDEX($AE$25:$AE$66,
MATCH(1,
($AE$25:$AE$66&lt;=Q30)*($AH$25:$AH$66&lt;&gt;"x")*($AB$25:$AB$66=R30)*($AC$25:$AC$66=S30),
0)
):
INDEX($AE$25:$AE$66,
MATCH(1,
($AE$25:$AE$66&gt;=Q30)*($AH$25:$AH$66&lt;&gt;"x")*($AB$25:$AB$66=R30)*($AC$25:$AC$66=S30),
0)
)
),INDEX($AH$25:$AH$66,
MATCH(
MIN(IF(($AH$25:$AH$66&lt;&gt;"x")*($AB$25:$AB$66=R30)*($AC$25:$AC$66=S30),ABS($AE$25:$AE$66-Q30))),
IF(($AH$25:$AH$66&lt;&gt;"x")*($AB$25:$AB$66=R30)*($AC$25:$AC$66=S30),ABS($AE$25:$AE$66-Q30)),
0
)))</f>
        <v>-5.0000000000000001E-4</v>
      </c>
      <c r="W30" s="64" cm="1">
        <f t="array" ref="W30">IFERROR(
_xlfn.FORECAST.LINEAR(
Q30,
INDEX($AI$25:$AI$66,
MATCH(1,
($AE$25:$AE$66&lt;=Q30)*($AI$25:$AI$66&lt;&gt;"x")*($AB$25:$AB$66=R30)*($AC$25:$AC$66=S30),
0)
):
INDEX($AI$25:$AI$66,
MATCH(1,
($AE$25:$AE$66&gt;=Q30)*($AI$25:$AI$66&lt;&gt;"x")*($AB$25:$AB$66=R30)*($AC$25:$AC$66=S30),
0)
),
INDEX($AE$25:$AE$66,
MATCH(1,
($AE$25:$AE$66&lt;=Q30)*($AI$25:$AI$66&lt;&gt;"x")*($AB$25:$AB$66=R30)*($AC$25:$AC$66=S30),
0)
):
INDEX($AE$25:$AE$66,
MATCH(1,
($AE$25:$AE$66&gt;=Q30)*($AI$25:$AI$66&lt;&gt;"x")*($AB$25:$AB$66=R30)*($AC$25:$AC$66=S30),
0)
)
),INDEX($AI$25:$AI$66,
MATCH(
MIN(IF(($AI$25:$AI$66&lt;&gt;"x")*($AB$25:$AB$66=R30)*($AC$25:$AC$66=S30),ABS($AE$25:$AE$66-Q30))),
IF(($AI$25:$AI$66&lt;&gt;"x")*($AB$25:$AB$66=R30)*($AC$25:$AC$66=S30),ABS($AE$25:$AE$66-Q30)),
0
)))</f>
        <v>5.9999999999999995E-4</v>
      </c>
      <c r="X30" s="556">
        <f t="shared" si="6"/>
        <v>7.5309506568582479E-4</v>
      </c>
      <c r="Y30" s="557">
        <f>AJ47</f>
        <v>9.7999999999999997E-4</v>
      </c>
      <c r="Z30" s="1"/>
      <c r="AA30" s="353"/>
      <c r="AB30" s="61" t="s">
        <v>35</v>
      </c>
      <c r="AC30" s="243">
        <v>50</v>
      </c>
      <c r="AD30" s="339" t="s">
        <v>39</v>
      </c>
      <c r="AE30" s="382">
        <v>100</v>
      </c>
      <c r="AF30" s="356">
        <v>-1.6E-2</v>
      </c>
      <c r="AG30" s="383" t="s">
        <v>637</v>
      </c>
      <c r="AH30" s="1">
        <v>-8.9999999999999993E-3</v>
      </c>
      <c r="AI30" s="68">
        <v>1.2999999999999999E-2</v>
      </c>
      <c r="AJ30" s="356">
        <v>2.5000000000000001E-2</v>
      </c>
      <c r="AL30" s="1"/>
    </row>
    <row r="31" spans="3:42" ht="12.75" customHeight="1" x14ac:dyDescent="0.3">
      <c r="C31" s="74"/>
      <c r="D31" s="73"/>
      <c r="E31" s="73"/>
      <c r="F31" s="73"/>
      <c r="G31" s="238" t="s">
        <v>239</v>
      </c>
      <c r="H31" s="4" t="s">
        <v>73</v>
      </c>
      <c r="I31" s="48"/>
      <c r="J31" s="48"/>
      <c r="K31" s="48"/>
      <c r="L31" s="48"/>
      <c r="M31" s="48"/>
      <c r="N31" s="48"/>
      <c r="O31" s="61"/>
      <c r="P31" s="1"/>
      <c r="Q31" s="62">
        <f t="shared" si="4"/>
        <v>6</v>
      </c>
      <c r="R31" s="63" t="str">
        <f t="shared" si="5"/>
        <v>V2</v>
      </c>
      <c r="S31" s="553">
        <f t="shared" si="7"/>
        <v>50</v>
      </c>
      <c r="T31" s="636" cm="1">
        <f t="array" ref="T31">IFERROR(
_xlfn.FORECAST.LINEAR(
Q31,
INDEX($AF$25:$AF$66,
MATCH(1,
($AE$25:$AE$66&lt;=Q31)*($AF$25:$AF$66&lt;&gt;"x")*($AB$25:$AB$66=R31)*($AC$25:$AC$66=S31),
0)
):
INDEX($AF$25:$AF$66,
MATCH(1,
($AE$25:$AE$66&gt;=Q31)*($AF$25:$AF$66&lt;&gt;"x")*($AB$25:$AB$66=R31)*($AC$25:$AC$66=S31),
0)
),
INDEX($AE$25:$AE$66,
MATCH(1,
($AE$25:$AE$66&lt;=Q31)*($AF$25:$AF$66&lt;&gt;"x")*($AB$25:$AB$66=R31)*($AC$25:$AC$66=S31),
0)
):
INDEX($AE$25:$AE$66,
MATCH(1,
($AE$25:$AE$66&gt;=Q31)*($AF$25:$AF$66&lt;&gt;"x")*($AB$25:$AB$66=R31)*($AC$25:$AC$66=S31),
0)
)
),INDEX($AF$25:$AF$66,
MATCH(
MIN(IF(($AF$25:$AF$66&lt;&gt;"x")*($AB$25:$AB$66=R31)*($AC$25:$AC$66=S31),ABS($AE$25:$AE$66-Q31))),
IF(($AF$25:$AF$66&lt;&gt;"x")*($AB$25:$AB$66=R31)*($AC$25:$AC$66=S31),ABS($AE$25:$AE$66-Q31)),
0
)))</f>
        <v>-1.3268656716417908E-3</v>
      </c>
      <c r="U31" s="64" cm="1">
        <f t="array" ref="U31">IFERROR(
_xlfn.FORECAST.LINEAR(
Q31,
INDEX($AG$25:$AG$66,
MATCH(1,
($AE$25:$AE$66&lt;=Q31)*($AG$25:$AG$66&lt;&gt;"x")*($AB$25:$AB$66=R31)*($AC$25:$AC$66=S31),
0)
):
INDEX($AG$25:$AG$66,
MATCH(1,
($AE$25:$AE$66&gt;=Q31)*($AG$25:$AG$66&lt;&gt;"x")*($AB$25:$AB$66=R31)*($AC$25:$AC$66=S31),
0)
),
INDEX($AE$25:$AE$66,
MATCH(1,
($AE$25:$AE$66&lt;=Q31)*($AG$25:$AG$66&lt;&gt;"x")*($AB$25:$AB$66=R31)*($AC$25:$AC$66=S31),
0)
):
INDEX($AE$25:$AE$66,
MATCH(1,
($AE$25:$AE$66&gt;=Q31)*($AG$25:$AG$66&lt;&gt;"x")*($AB$25:$AB$66=R31)*($AC$25:$AC$66=S31),
0)
)
),INDEX($AG$25:$AG$66,
MATCH(
MIN(IF(($AG$25:$AG$66&lt;&gt;"x")*($AB$25:$AB$66=R31)*($AC$25:$AC$66=S31),ABS($AE$25:$AE$66-Q31))),
IF(($AG$25:$AG$66&lt;&gt;"x")*($AB$25:$AB$66=R31)*($AC$25:$AC$66=S31),ABS($AE$25:$AE$66-Q31)),
0
)))</f>
        <v>-1.3179104477611943E-3</v>
      </c>
      <c r="V31" s="134" cm="1">
        <f t="array" ref="V31">IFERROR(
_xlfn.FORECAST.LINEAR(
Q31,
INDEX($AH$25:$AH$66,
MATCH(1,
($AE$25:$AE$66&lt;=Q31)*($AH$25:$AH$66&lt;&gt;"x")*($AB$25:$AB$66=R31)*($AC$25:$AC$66=S31),
0)
):
INDEX($AH$25:$AH$66,
MATCH(1,
($AE$25:$AE$66&gt;=Q31)*($AH$25:$AH$66&lt;&gt;"x")*($AB$25:$AB$66=R31)*($AC$25:$AC$66=S31),
0)
),
INDEX($AE$25:$AE$66,
MATCH(1,
($AE$25:$AE$66&lt;=Q31)*($AH$25:$AH$66&lt;&gt;"x")*($AB$25:$AB$66=R31)*($AC$25:$AC$66=S31),
0)
):
INDEX($AE$25:$AE$66,
MATCH(1,
($AE$25:$AE$66&gt;=Q31)*($AH$25:$AH$66&lt;&gt;"x")*($AB$25:$AB$66=R31)*($AC$25:$AC$66=S31),
0)
)
),INDEX($AH$25:$AH$66,
MATCH(
MIN(IF(($AH$25:$AH$66&lt;&gt;"x")*($AB$25:$AB$66=R31)*($AC$25:$AC$66=S31),ABS($AE$25:$AE$66-Q31))),
IF(($AH$25:$AH$66&lt;&gt;"x")*($AB$25:$AB$66=R31)*($AC$25:$AC$66=S31),ABS($AE$25:$AE$66-Q31)),
0
)))</f>
        <v>-5.0000000000000001E-4</v>
      </c>
      <c r="W31" s="64" cm="1">
        <f t="array" ref="W31">IFERROR(
_xlfn.FORECAST.LINEAR(
Q31,
INDEX($AI$25:$AI$66,
MATCH(1,
($AE$25:$AE$66&lt;=Q31)*($AI$25:$AI$66&lt;&gt;"x")*($AB$25:$AB$66=R31)*($AC$25:$AC$66=S31),
0)
):
INDEX($AI$25:$AI$66,
MATCH(1,
($AE$25:$AE$66&gt;=Q31)*($AI$25:$AI$66&lt;&gt;"x")*($AB$25:$AB$66=R31)*($AC$25:$AC$66=S31),
0)
),
INDEX($AE$25:$AE$66,
MATCH(1,
($AE$25:$AE$66&lt;=Q31)*($AI$25:$AI$66&lt;&gt;"x")*($AB$25:$AB$66=R31)*($AC$25:$AC$66=S31),
0)
):
INDEX($AE$25:$AE$66,
MATCH(1,
($AE$25:$AE$66&gt;=Q31)*($AI$25:$AI$66&lt;&gt;"x")*($AB$25:$AB$66=R31)*($AC$25:$AC$66=S31),
0)
)
),INDEX($AI$25:$AI$66,
MATCH(
MIN(IF(($AI$25:$AI$66&lt;&gt;"x")*($AB$25:$AB$66=R31)*($AC$25:$AC$66=S31),ABS($AE$25:$AE$66-Q31))),
IF(($AI$25:$AI$66&lt;&gt;"x")*($AB$25:$AB$66=R31)*($AC$25:$AC$66=S31),ABS($AE$25:$AE$66-Q31)),
0
)))</f>
        <v>5.9999999999999995E-4</v>
      </c>
      <c r="X31" s="556">
        <f t="shared" si="6"/>
        <v>7.3064568121615568E-4</v>
      </c>
      <c r="Y31" s="553">
        <f>AJ48</f>
        <v>1.8E-3</v>
      </c>
      <c r="Z31" s="1"/>
      <c r="AA31" s="69"/>
      <c r="AB31" s="61" t="s">
        <v>35</v>
      </c>
      <c r="AC31" s="69">
        <v>50</v>
      </c>
      <c r="AD31" s="339" t="s">
        <v>39</v>
      </c>
      <c r="AE31" s="102">
        <v>297</v>
      </c>
      <c r="AF31" s="70" t="s">
        <v>637</v>
      </c>
      <c r="AG31" s="102">
        <v>-0.03</v>
      </c>
      <c r="AH31" s="102" t="s">
        <v>637</v>
      </c>
      <c r="AI31" s="102" t="s">
        <v>637</v>
      </c>
      <c r="AJ31" s="135" t="s">
        <v>637</v>
      </c>
      <c r="AK31" s="1"/>
      <c r="AL31" s="1"/>
    </row>
    <row r="32" spans="3:42" ht="12.75" customHeight="1" x14ac:dyDescent="0.3">
      <c r="C32" s="74"/>
      <c r="D32" s="73"/>
      <c r="E32" s="73"/>
      <c r="F32" s="73"/>
      <c r="G32" s="238" t="s">
        <v>240</v>
      </c>
      <c r="H32" s="4" t="s">
        <v>75</v>
      </c>
      <c r="I32" s="48"/>
      <c r="J32" s="48"/>
      <c r="K32" s="48"/>
      <c r="L32" s="48"/>
      <c r="M32" s="48"/>
      <c r="N32" s="48"/>
      <c r="O32" s="61"/>
      <c r="P32" s="1"/>
      <c r="Q32" s="62">
        <f t="shared" si="4"/>
        <v>30</v>
      </c>
      <c r="R32" s="63" t="str">
        <f t="shared" si="5"/>
        <v>V2</v>
      </c>
      <c r="S32" s="553">
        <f t="shared" si="7"/>
        <v>50</v>
      </c>
      <c r="T32" s="636" cm="1">
        <f t="array" ref="T32">IFERROR(
_xlfn.FORECAST.LINEAR(
Q32,
INDEX($AF$25:$AF$66,
MATCH(1,
($AE$25:$AE$66&lt;=Q32)*($AF$25:$AF$66&lt;&gt;"x")*($AB$25:$AB$66=R32)*($AC$25:$AC$66=S32),
0)
):
INDEX($AF$25:$AF$66,
MATCH(1,
($AE$25:$AE$66&gt;=Q32)*($AF$25:$AF$66&lt;&gt;"x")*($AB$25:$AB$66=R32)*($AC$25:$AC$66=S32),
0)
),
INDEX($AE$25:$AE$66,
MATCH(1,
($AE$25:$AE$66&lt;=Q32)*($AF$25:$AF$66&lt;&gt;"x")*($AB$25:$AB$66=R32)*($AC$25:$AC$66=S32),
0)
):
INDEX($AE$25:$AE$66,
MATCH(1,
($AE$25:$AE$66&gt;=Q32)*($AF$25:$AF$66&lt;&gt;"x")*($AB$25:$AB$66=R32)*($AC$25:$AC$66=S32),
0)
)
),INDEX($AF$25:$AF$66,
MATCH(
MIN(IF(($AF$25:$AF$66&lt;&gt;"x")*($AB$25:$AB$66=R32)*($AC$25:$AC$66=S32),ABS($AE$25:$AE$66-Q32))),
IF(($AF$25:$AF$66&lt;&gt;"x")*($AB$25:$AB$66=R32)*($AC$25:$AC$66=S32),ABS($AE$25:$AE$66-Q32)),
0
)))</f>
        <v>-9.7451537062502678E-5</v>
      </c>
      <c r="U32" s="64" cm="1">
        <f t="array" ref="U32">IFERROR(
_xlfn.FORECAST.LINEAR(
Q32,
INDEX($AG$25:$AG$66,
MATCH(1,
($AE$25:$AE$66&lt;=Q32)*($AG$25:$AG$66&lt;&gt;"x")*($AB$25:$AB$66=R32)*($AC$25:$AC$66=S32),
0)
):
INDEX($AG$25:$AG$66,
MATCH(1,
($AE$25:$AE$66&gt;=Q32)*($AG$25:$AG$66&lt;&gt;"x")*($AB$25:$AB$66=R32)*($AC$25:$AC$66=S32),
0)
),
INDEX($AE$25:$AE$66,
MATCH(1,
($AE$25:$AE$66&lt;=Q32)*($AG$25:$AG$66&lt;&gt;"x")*($AB$25:$AB$66=R32)*($AC$25:$AC$66=S32),
0)
):
INDEX($AE$25:$AE$66,
MATCH(1,
($AE$25:$AE$66&gt;=Q32)*($AG$25:$AG$66&lt;&gt;"x")*($AB$25:$AB$66=R32)*($AC$25:$AC$66=S32),
0)
)
),INDEX($AG$25:$AG$66,
MATCH(
MIN(IF(($AG$25:$AG$66&lt;&gt;"x")*($AB$25:$AB$66=R32)*($AC$25:$AC$66=S32),ABS($AE$25:$AE$66-Q32))),
IF(($AG$25:$AG$66&lt;&gt;"x")*($AB$25:$AB$66=R32)*($AC$25:$AC$66=S32),ABS($AE$25:$AE$66-Q32)),
0
)))</f>
        <v>-8.9999999999999998E-4</v>
      </c>
      <c r="V32" s="134" cm="1">
        <f t="array" ref="V32">IFERROR(
_xlfn.FORECAST.LINEAR(
Q32,
INDEX($AH$25:$AH$66,
MATCH(1,
($AE$25:$AE$66&lt;=Q32)*($AH$25:$AH$66&lt;&gt;"x")*($AB$25:$AB$66=R32)*($AC$25:$AC$66=S32),
0)
):
INDEX($AH$25:$AH$66,
MATCH(1,
($AE$25:$AE$66&gt;=Q32)*($AH$25:$AH$66&lt;&gt;"x")*($AB$25:$AB$66=R32)*($AC$25:$AC$66=S32),
0)
),
INDEX($AE$25:$AE$66,
MATCH(1,
($AE$25:$AE$66&lt;=Q32)*($AH$25:$AH$66&lt;&gt;"x")*($AB$25:$AB$66=R32)*($AC$25:$AC$66=S32),
0)
):
INDEX($AE$25:$AE$66,
MATCH(1,
($AE$25:$AE$66&gt;=Q32)*($AH$25:$AH$66&lt;&gt;"x")*($AB$25:$AB$66=R32)*($AC$25:$AC$66=S32),
0)
)
),INDEX($AH$25:$AH$66,
MATCH(
MIN(IF(($AH$25:$AH$66&lt;&gt;"x")*($AB$25:$AB$66=R32)*($AC$25:$AC$66=S32),ABS($AE$25:$AE$66-Q32))),
IF(($AH$25:$AH$66&lt;&gt;"x")*($AB$25:$AB$66=R32)*($AC$25:$AC$66=S32),ABS($AE$25:$AE$66-Q32)),
0
)))</f>
        <v>-5.0000000000000001E-4</v>
      </c>
      <c r="W32" s="64" cm="1">
        <f t="array" ref="W32">IFERROR(
_xlfn.FORECAST.LINEAR(
Q32,
INDEX($AI$25:$AI$66,
MATCH(1,
($AE$25:$AE$66&lt;=Q32)*($AI$25:$AI$66&lt;&gt;"x")*($AB$25:$AB$66=R32)*($AC$25:$AC$66=S32),
0)
):
INDEX($AI$25:$AI$66,
MATCH(1,
($AE$25:$AE$66&gt;=Q32)*($AI$25:$AI$66&lt;&gt;"x")*($AB$25:$AB$66=R32)*($AC$25:$AC$66=S32),
0)
),
INDEX($AE$25:$AE$66,
MATCH(1,
($AE$25:$AE$66&lt;=Q32)*($AI$25:$AI$66&lt;&gt;"x")*($AB$25:$AB$66=R32)*($AC$25:$AC$66=S32),
0)
):
INDEX($AE$25:$AE$66,
MATCH(1,
($AE$25:$AE$66&gt;=Q32)*($AI$25:$AI$66&lt;&gt;"x")*($AB$25:$AB$66=R32)*($AC$25:$AC$66=S32),
0)
)
),INDEX($AI$25:$AI$66,
MATCH(
MIN(IF(($AI$25:$AI$66&lt;&gt;"x")*($AB$25:$AB$66=R32)*($AC$25:$AC$66=S32),ABS($AE$25:$AE$66-Q32))),
IF(($AI$25:$AI$66&lt;&gt;"x")*($AB$25:$AB$66=R32)*($AC$25:$AC$66=S32),ABS($AE$25:$AE$66-Q32)),
0
)))</f>
        <v>5.9999999999999995E-4</v>
      </c>
      <c r="X32" s="556">
        <f t="shared" si="6"/>
        <v>8.3211478957164961E-4</v>
      </c>
      <c r="Y32" s="553">
        <f>AJ54</f>
        <v>1.2E-2</v>
      </c>
      <c r="Z32" s="1"/>
      <c r="AA32" s="69"/>
      <c r="AB32" s="61" t="s">
        <v>35</v>
      </c>
      <c r="AC32" s="69">
        <v>50</v>
      </c>
      <c r="AD32" s="339" t="s">
        <v>39</v>
      </c>
      <c r="AE32" s="102">
        <v>320</v>
      </c>
      <c r="AF32" s="70">
        <v>7.0000000000000001E-3</v>
      </c>
      <c r="AG32" s="102" t="s">
        <v>637</v>
      </c>
      <c r="AH32" s="102" t="s">
        <v>637</v>
      </c>
      <c r="AI32" s="102" t="s">
        <v>637</v>
      </c>
      <c r="AJ32" s="135">
        <v>9.8000000000000004E-2</v>
      </c>
      <c r="AK32" s="1"/>
      <c r="AL32" s="1"/>
    </row>
    <row r="33" spans="3:42" ht="12.75" customHeight="1" x14ac:dyDescent="0.3">
      <c r="C33" s="74"/>
      <c r="D33" s="73"/>
      <c r="E33" s="73"/>
      <c r="F33" s="73"/>
      <c r="G33" s="48"/>
      <c r="H33" s="4"/>
      <c r="I33" s="48"/>
      <c r="J33" s="48"/>
      <c r="K33" s="48"/>
      <c r="L33" s="48"/>
      <c r="M33" s="48"/>
      <c r="N33" s="48"/>
      <c r="O33" s="61"/>
      <c r="P33" s="1"/>
      <c r="Q33" s="100">
        <f t="shared" si="4"/>
        <v>54</v>
      </c>
      <c r="R33" s="63" t="str">
        <f t="shared" si="5"/>
        <v>V3</v>
      </c>
      <c r="S33" s="553">
        <f t="shared" si="7"/>
        <v>50</v>
      </c>
      <c r="T33" s="636" cm="1">
        <f t="array" ref="T33">IFERROR(
_xlfn.FORECAST.LINEAR(
Q33,
INDEX($AF$25:$AF$66,
MATCH(1,
($AE$25:$AE$66&lt;=Q33)*($AF$25:$AF$66&lt;&gt;"x")*($AB$25:$AB$66=R33)*($AC$25:$AC$66=S33),
0)
):
INDEX($AF$25:$AF$66,
MATCH(1,
($AE$25:$AE$66&gt;=Q33)*($AF$25:$AF$66&lt;&gt;"x")*($AB$25:$AB$66=R33)*($AC$25:$AC$66=S33),
0)
),
INDEX($AE$25:$AE$66,
MATCH(1,
($AE$25:$AE$66&lt;=Q33)*($AF$25:$AF$66&lt;&gt;"x")*($AB$25:$AB$66=R33)*($AC$25:$AC$66=S33),
0)
):
INDEX($AE$25:$AE$66,
MATCH(1,
($AE$25:$AE$66&gt;=Q33)*($AF$25:$AF$66&lt;&gt;"x")*($AB$25:$AB$66=R33)*($AC$25:$AC$66=S33),
0)
)
),INDEX($AF$25:$AF$66,
MATCH(
MIN(IF(($AF$25:$AF$66&lt;&gt;"x")*($AB$25:$AB$66=R33)*($AC$25:$AC$66=S33),ABS($AE$25:$AE$66-Q33))),
IF(($AF$25:$AF$66&lt;&gt;"x")*($AB$25:$AB$66=R33)*($AC$25:$AC$66=S33),ABS($AE$25:$AE$66-Q33)),
0
)))</f>
        <v>-1.6167164179104479E-2</v>
      </c>
      <c r="U33" s="64" cm="1">
        <f t="array" ref="U33">IFERROR(
_xlfn.FORECAST.LINEAR(
Q33,
INDEX($AG$25:$AG$66,
MATCH(1,
($AE$25:$AE$66&lt;=Q33)*($AG$25:$AG$66&lt;&gt;"x")*($AB$25:$AB$66=R33)*($AC$25:$AC$66=S33),
0)
):
INDEX($AG$25:$AG$66,
MATCH(1,
($AE$25:$AE$66&gt;=Q33)*($AG$25:$AG$66&lt;&gt;"x")*($AB$25:$AB$66=R33)*($AC$25:$AC$66=S33),
0)
),
INDEX($AE$25:$AE$66,
MATCH(1,
($AE$25:$AE$66&lt;=Q33)*($AG$25:$AG$66&lt;&gt;"x")*($AB$25:$AB$66=R33)*($AC$25:$AC$66=S33),
0)
):
INDEX($AE$25:$AE$66,
MATCH(1,
($AE$25:$AE$66&gt;=Q33)*($AG$25:$AG$66&lt;&gt;"x")*($AB$25:$AB$66=R33)*($AC$25:$AC$66=S33),
0)
)
),INDEX($AG$25:$AG$66,
MATCH(
MIN(IF(($AG$25:$AG$66&lt;&gt;"x")*($AB$25:$AB$66=R33)*($AC$25:$AC$66=S33),ABS($AE$25:$AE$66-Q33))),
IF(($AG$25:$AG$66&lt;&gt;"x")*($AB$25:$AB$66=R33)*($AC$25:$AC$66=S33),ABS($AE$25:$AE$66-Q33)),
0
)))</f>
        <v>-1.5686567164179106E-2</v>
      </c>
      <c r="V33" s="134" cm="1">
        <f t="array" ref="V33">IFERROR(
_xlfn.FORECAST.LINEAR(
Q33,
INDEX($AH$25:$AH$66,
MATCH(1,
($AE$25:$AE$66&lt;=Q33)*($AH$25:$AH$66&lt;&gt;"x")*($AB$25:$AB$66=R33)*($AC$25:$AC$66=S33),
0)
):
INDEX($AH$25:$AH$66,
MATCH(1,
($AE$25:$AE$66&gt;=Q33)*($AH$25:$AH$66&lt;&gt;"x")*($AB$25:$AB$66=R33)*($AC$25:$AC$66=S33),
0)
),
INDEX($AE$25:$AE$66,
MATCH(1,
($AE$25:$AE$66&lt;=Q33)*($AH$25:$AH$66&lt;&gt;"x")*($AB$25:$AB$66=R33)*($AC$25:$AC$66=S33),
0)
):
INDEX($AE$25:$AE$66,
MATCH(1,
($AE$25:$AE$66&gt;=Q33)*($AH$25:$AH$66&lt;&gt;"x")*($AB$25:$AB$66=R33)*($AC$25:$AC$66=S33),
0)
)
),INDEX($AH$25:$AH$66,
MATCH(
MIN(IF(($AH$25:$AH$66&lt;&gt;"x")*($AB$25:$AB$66=R33)*($AC$25:$AC$66=S33),ABS($AE$25:$AE$66-Q33))),
IF(($AH$25:$AH$66&lt;&gt;"x")*($AB$25:$AB$66=R33)*($AC$25:$AC$66=S33),ABS($AE$25:$AE$66-Q33)),
0
)))</f>
        <v>-1.2999999999999999E-2</v>
      </c>
      <c r="W33" s="64" cm="1">
        <f t="array" ref="W33">IFERROR(
_xlfn.FORECAST.LINEAR(
Q33,
INDEX($AI$25:$AI$66,
MATCH(1,
($AE$25:$AE$66&lt;=Q33)*($AI$25:$AI$66&lt;&gt;"x")*($AB$25:$AB$66=R33)*($AC$25:$AC$66=S33),
0)
):
INDEX($AI$25:$AI$66,
MATCH(1,
($AE$25:$AE$66&gt;=Q33)*($AI$25:$AI$66&lt;&gt;"x")*($AB$25:$AB$66=R33)*($AC$25:$AC$66=S33),
0)
),
INDEX($AE$25:$AE$66,
MATCH(1,
($AE$25:$AE$66&lt;=Q33)*($AI$25:$AI$66&lt;&gt;"x")*($AB$25:$AB$66=R33)*($AC$25:$AC$66=S33),
0)
):
INDEX($AE$25:$AE$66,
MATCH(1,
($AE$25:$AE$66&gt;=Q33)*($AI$25:$AI$66&lt;&gt;"x")*($AB$25:$AB$66=R33)*($AC$25:$AC$66=S33),
0)
)
),INDEX($AI$25:$AI$66,
MATCH(
MIN(IF(($AI$25:$AI$66&lt;&gt;"x")*($AB$25:$AB$66=R33)*($AC$25:$AC$66=S33),ABS($AE$25:$AE$66-Q33))),
IF(($AI$25:$AI$66&lt;&gt;"x")*($AB$25:$AB$66=R33)*($AC$25:$AC$66=S33),ABS($AE$25:$AE$66-Q33)),
0
)))</f>
        <v>1E-3</v>
      </c>
      <c r="X33" s="556">
        <f t="shared" si="6"/>
        <v>7.0239758214262404E-3</v>
      </c>
      <c r="Y33" s="553">
        <f>AJ56</f>
        <v>9.7999999999999997E-3</v>
      </c>
      <c r="Z33" s="1"/>
      <c r="AA33" s="69"/>
      <c r="AB33" s="61" t="s">
        <v>35</v>
      </c>
      <c r="AC33" s="69">
        <v>1000</v>
      </c>
      <c r="AD33" s="339" t="s">
        <v>39</v>
      </c>
      <c r="AE33" s="102">
        <v>100</v>
      </c>
      <c r="AF33" s="70">
        <v>-1.6E-2</v>
      </c>
      <c r="AG33" s="70">
        <v>-7.0000000000000001E-3</v>
      </c>
      <c r="AH33" s="70">
        <v>-1.4E-2</v>
      </c>
      <c r="AI33" s="70">
        <v>1.4E-2</v>
      </c>
      <c r="AJ33" s="135">
        <v>0.02</v>
      </c>
      <c r="AK33" s="1"/>
      <c r="AL33" s="1"/>
    </row>
    <row r="34" spans="3:42" ht="12.75" customHeight="1" x14ac:dyDescent="0.3">
      <c r="C34" s="71" t="s">
        <v>76</v>
      </c>
      <c r="D34" s="1"/>
      <c r="E34" s="1"/>
      <c r="F34" s="1">
        <f t="shared" ref="F34:G34" si="8">C$2</f>
        <v>50</v>
      </c>
      <c r="G34" s="103" t="str">
        <f t="shared" si="8"/>
        <v>Hz</v>
      </c>
      <c r="H34" s="4">
        <f t="shared" ref="H34:I34" si="9">C$3</f>
        <v>50</v>
      </c>
      <c r="I34" s="4" t="str">
        <f t="shared" si="9"/>
        <v>Hz</v>
      </c>
      <c r="J34" s="12"/>
      <c r="K34" s="12"/>
      <c r="L34" s="12"/>
      <c r="M34" s="12"/>
      <c r="N34" s="12"/>
      <c r="O34" s="286" t="s">
        <v>241</v>
      </c>
      <c r="P34" s="1"/>
      <c r="Q34" s="100">
        <f t="shared" si="4"/>
        <v>60</v>
      </c>
      <c r="R34" s="63" t="str">
        <f t="shared" si="5"/>
        <v>V3</v>
      </c>
      <c r="S34" s="553">
        <f t="shared" si="7"/>
        <v>50</v>
      </c>
      <c r="T34" s="636" cm="1">
        <f t="array" ref="T34">IFERROR(
_xlfn.FORECAST.LINEAR(
Q34,
INDEX($AF$25:$AF$66,
MATCH(1,
($AE$25:$AE$66&lt;=Q34)*($AF$25:$AF$66&lt;&gt;"x")*($AB$25:$AB$66=R34)*($AC$25:$AC$66=S34),
0)
):
INDEX($AF$25:$AF$66,
MATCH(1,
($AE$25:$AE$66&gt;=Q34)*($AF$25:$AF$66&lt;&gt;"x")*($AB$25:$AB$66=R34)*($AC$25:$AC$66=S34),
0)
),
INDEX($AE$25:$AE$66,
MATCH(1,
($AE$25:$AE$66&lt;=Q34)*($AF$25:$AF$66&lt;&gt;"x")*($AB$25:$AB$66=R34)*($AC$25:$AC$66=S34),
0)
):
INDEX($AE$25:$AE$66,
MATCH(1,
($AE$25:$AE$66&gt;=Q34)*($AF$25:$AF$66&lt;&gt;"x")*($AB$25:$AB$66=R34)*($AC$25:$AC$66=S34),
0)
)
),INDEX($AF$25:$AF$66,
MATCH(
MIN(IF(($AF$25:$AF$66&lt;&gt;"x")*($AB$25:$AB$66=R34)*($AC$25:$AC$66=S34),ABS($AE$25:$AE$66-Q34))),
IF(($AF$25:$AF$66&lt;&gt;"x")*($AB$25:$AB$66=R34)*($AC$25:$AC$66=S34),ABS($AE$25:$AE$66-Q34)),
0
)))</f>
        <v>-1.6014925373134328E-2</v>
      </c>
      <c r="U34" s="64" cm="1">
        <f t="array" ref="U34">IFERROR(
_xlfn.FORECAST.LINEAR(
Q34,
INDEX($AG$25:$AG$66,
MATCH(1,
($AE$25:$AE$66&lt;=Q34)*($AG$25:$AG$66&lt;&gt;"x")*($AB$25:$AB$66=R34)*($AC$25:$AC$66=S34),
0)
):
INDEX($AG$25:$AG$66,
MATCH(1,
($AE$25:$AE$66&gt;=Q34)*($AG$25:$AG$66&lt;&gt;"x")*($AB$25:$AB$66=R34)*($AC$25:$AC$66=S34),
0)
),
INDEX($AE$25:$AE$66,
MATCH(1,
($AE$25:$AE$66&lt;=Q34)*($AG$25:$AG$66&lt;&gt;"x")*($AB$25:$AB$66=R34)*($AC$25:$AC$66=S34),
0)
):
INDEX($AE$25:$AE$66,
MATCH(1,
($AE$25:$AE$66&gt;=Q34)*($AG$25:$AG$66&lt;&gt;"x")*($AB$25:$AB$66=R34)*($AC$25:$AC$66=S34),
0)
)
),INDEX($AG$25:$AG$66,
MATCH(
MIN(IF(($AG$25:$AG$66&lt;&gt;"x")*($AB$25:$AB$66=R34)*($AC$25:$AC$66=S34),ABS($AE$25:$AE$66-Q34))),
IF(($AG$25:$AG$66&lt;&gt;"x")*($AB$25:$AB$66=R34)*($AC$25:$AC$66=S34),ABS($AE$25:$AE$66-Q34)),
0
)))</f>
        <v>-1.5597014925373135E-2</v>
      </c>
      <c r="V34" s="134" cm="1">
        <f t="array" ref="V34">IFERROR(
_xlfn.FORECAST.LINEAR(
Q34,
INDEX($AH$25:$AH$66,
MATCH(1,
($AE$25:$AE$66&lt;=Q34)*($AH$25:$AH$66&lt;&gt;"x")*($AB$25:$AB$66=R34)*($AC$25:$AC$66=S34),
0)
):
INDEX($AH$25:$AH$66,
MATCH(1,
($AE$25:$AE$66&gt;=Q34)*($AH$25:$AH$66&lt;&gt;"x")*($AB$25:$AB$66=R34)*($AC$25:$AC$66=S34),
0)
),
INDEX($AE$25:$AE$66,
MATCH(1,
($AE$25:$AE$66&lt;=Q34)*($AH$25:$AH$66&lt;&gt;"x")*($AB$25:$AB$66=R34)*($AC$25:$AC$66=S34),
0)
):
INDEX($AE$25:$AE$66,
MATCH(1,
($AE$25:$AE$66&gt;=Q34)*($AH$25:$AH$66&lt;&gt;"x")*($AB$25:$AB$66=R34)*($AC$25:$AC$66=S34),
0)
)
),INDEX($AH$25:$AH$66,
MATCH(
MIN(IF(($AH$25:$AH$66&lt;&gt;"x")*($AB$25:$AB$66=R34)*($AC$25:$AC$66=S34),ABS($AE$25:$AE$66-Q34))),
IF(($AH$25:$AH$66&lt;&gt;"x")*($AB$25:$AB$66=R34)*($AC$25:$AC$66=S34),ABS($AE$25:$AE$66-Q34)),
0
)))</f>
        <v>-1.2999999999999999E-2</v>
      </c>
      <c r="W34" s="64" cm="1">
        <f t="array" ref="W34">IFERROR(
_xlfn.FORECAST.LINEAR(
Q34,
INDEX($AI$25:$AI$66,
MATCH(1,
($AE$25:$AE$66&lt;=Q34)*($AI$25:$AI$66&lt;&gt;"x")*($AB$25:$AB$66=R34)*($AC$25:$AC$66=S34),
0)
):
INDEX($AI$25:$AI$66,
MATCH(1,
($AE$25:$AE$66&gt;=Q34)*($AI$25:$AI$66&lt;&gt;"x")*($AB$25:$AB$66=R34)*($AC$25:$AC$66=S34),
0)
),
INDEX($AE$25:$AE$66,
MATCH(1,
($AE$25:$AE$66&lt;=Q34)*($AI$25:$AI$66&lt;&gt;"x")*($AB$25:$AB$66=R34)*($AC$25:$AC$66=S34),
0)
):
INDEX($AE$25:$AE$66,
MATCH(1,
($AE$25:$AE$66&gt;=Q34)*($AI$25:$AI$66&lt;&gt;"x")*($AB$25:$AB$66=R34)*($AC$25:$AC$66=S34),
0)
)
),INDEX($AI$25:$AI$66,
MATCH(
MIN(IF(($AI$25:$AI$66&lt;&gt;"x")*($AB$25:$AB$66=R34)*($AC$25:$AC$66=S34),ABS($AE$25:$AE$66-Q34))),
IF(($AI$25:$AI$66&lt;&gt;"x")*($AB$25:$AB$66=R34)*($AC$25:$AC$66=S34),ABS($AE$25:$AE$66-Q34)),
0
)))</f>
        <v>1E-3</v>
      </c>
      <c r="X34" s="556">
        <f t="shared" si="6"/>
        <v>6.9781665125657963E-3</v>
      </c>
      <c r="Y34" s="553">
        <f>AJ57</f>
        <v>1.7999999999999999E-2</v>
      </c>
      <c r="Z34" s="1"/>
      <c r="AA34" s="69"/>
      <c r="AB34" s="61" t="s">
        <v>35</v>
      </c>
      <c r="AC34" s="69">
        <v>10000</v>
      </c>
      <c r="AD34" s="339" t="s">
        <v>39</v>
      </c>
      <c r="AE34" s="411">
        <v>100</v>
      </c>
      <c r="AF34" s="70">
        <v>-2.8000000000000001E-2</v>
      </c>
      <c r="AG34" s="70">
        <v>-8.0000000000000002E-3</v>
      </c>
      <c r="AH34" s="70">
        <v>-1.4E-2</v>
      </c>
      <c r="AI34" s="70">
        <v>6.0000000000000001E-3</v>
      </c>
      <c r="AJ34" s="61">
        <v>2.4E-2</v>
      </c>
      <c r="AK34" s="1"/>
      <c r="AL34" s="1"/>
    </row>
    <row r="35" spans="3:42" ht="12.75" customHeight="1" x14ac:dyDescent="0.3">
      <c r="C35" s="84" t="s">
        <v>2</v>
      </c>
      <c r="D35" s="85"/>
      <c r="E35" s="85"/>
      <c r="F35" s="6">
        <f t="shared" ref="F35:G35" si="10">E2</f>
        <v>60</v>
      </c>
      <c r="G35" s="80" t="str">
        <f t="shared" si="10"/>
        <v>mV</v>
      </c>
      <c r="H35" s="1"/>
      <c r="I35" s="1"/>
      <c r="J35" s="90">
        <v>0.1</v>
      </c>
      <c r="K35" s="90"/>
      <c r="L35" s="90"/>
      <c r="M35" s="90"/>
      <c r="N35" s="90"/>
      <c r="O35" s="76"/>
      <c r="P35" s="1"/>
      <c r="Q35" s="100">
        <f t="shared" si="4"/>
        <v>300</v>
      </c>
      <c r="R35" s="63" t="str">
        <f t="shared" si="5"/>
        <v>V3</v>
      </c>
      <c r="S35" s="553">
        <f t="shared" si="7"/>
        <v>50</v>
      </c>
      <c r="T35" s="636" cm="1">
        <f t="array" ref="T35">IFERROR(
_xlfn.FORECAST.LINEAR(
Q35,
INDEX($AF$25:$AF$66,
MATCH(1,
($AE$25:$AE$66&lt;=Q35)*($AF$25:$AF$66&lt;&gt;"x")*($AB$25:$AB$66=R35)*($AC$25:$AC$66=S35),
0)
):
INDEX($AF$25:$AF$66,
MATCH(1,
($AE$25:$AE$66&gt;=Q35)*($AF$25:$AF$66&lt;&gt;"x")*($AB$25:$AB$66=R35)*($AC$25:$AC$66=S35),
0)
),
INDEX($AE$25:$AE$66,
MATCH(1,
($AE$25:$AE$66&lt;=Q35)*($AF$25:$AF$66&lt;&gt;"x")*($AB$25:$AB$66=R35)*($AC$25:$AC$66=S35),
0)
):
INDEX($AE$25:$AE$66,
MATCH(1,
($AE$25:$AE$66&gt;=Q35)*($AF$25:$AF$66&lt;&gt;"x")*($AB$25:$AB$66=R35)*($AC$25:$AC$66=S35),
0)
)
),INDEX($AF$25:$AF$66,
MATCH(
MIN(IF(($AF$25:$AF$66&lt;&gt;"x")*($AB$25:$AB$66=R35)*($AC$25:$AC$66=S35),ABS($AE$25:$AE$66-Q35))),
IF(($AF$25:$AF$66&lt;&gt;"x")*($AB$25:$AB$66=R35)*($AC$25:$AC$66=S35),ABS($AE$25:$AE$66-Q35)),
0
)))</f>
        <v>-1.5260686983394715E-3</v>
      </c>
      <c r="U35" s="64" cm="1">
        <f t="array" ref="U35">IFERROR(
_xlfn.FORECAST.LINEAR(
Q35,
INDEX($AG$25:$AG$66,
MATCH(1,
($AE$25:$AE$66&lt;=Q35)*($AG$25:$AG$66&lt;&gt;"x")*($AB$25:$AB$66=R35)*($AC$25:$AC$66=S35),
0)
):
INDEX($AG$25:$AG$66,
MATCH(1,
($AE$25:$AE$66&gt;=Q35)*($AG$25:$AG$66&lt;&gt;"x")*($AB$25:$AB$66=R35)*($AC$25:$AC$66=S35),
0)
),
INDEX($AE$25:$AE$66,
MATCH(1,
($AE$25:$AE$66&lt;=Q35)*($AG$25:$AG$66&lt;&gt;"x")*($AB$25:$AB$66=R35)*($AC$25:$AC$66=S35),
0)
):
INDEX($AE$25:$AE$66,
MATCH(1,
($AE$25:$AE$66&gt;=Q35)*($AG$25:$AG$66&lt;&gt;"x")*($AB$25:$AB$66=R35)*($AC$25:$AC$66=S35),
0)
)
),INDEX($AG$25:$AG$66,
MATCH(
MIN(IF(($AG$25:$AG$66&lt;&gt;"x")*($AB$25:$AB$66=R35)*($AC$25:$AC$66=S35),ABS($AE$25:$AE$66-Q35))),
IF(($AG$25:$AG$66&lt;&gt;"x")*($AB$25:$AB$66=R35)*($AC$25:$AC$66=S35),ABS($AE$25:$AE$66-Q35)),
0
)))</f>
        <v>2E-3</v>
      </c>
      <c r="V35" s="134" cm="1">
        <f t="array" ref="V35">IFERROR(
_xlfn.FORECAST.LINEAR(
Q35,
INDEX($AH$25:$AH$66,
MATCH(1,
($AE$25:$AE$66&lt;=Q35)*($AH$25:$AH$66&lt;&gt;"x")*($AB$25:$AB$66=R35)*($AC$25:$AC$66=S35),
0)
):
INDEX($AH$25:$AH$66,
MATCH(1,
($AE$25:$AE$66&gt;=Q35)*($AH$25:$AH$66&lt;&gt;"x")*($AB$25:$AB$66=R35)*($AC$25:$AC$66=S35),
0)
),
INDEX($AE$25:$AE$66,
MATCH(1,
($AE$25:$AE$66&lt;=Q35)*($AH$25:$AH$66&lt;&gt;"x")*($AB$25:$AB$66=R35)*($AC$25:$AC$66=S35),
0)
):
INDEX($AE$25:$AE$66,
MATCH(1,
($AE$25:$AE$66&gt;=Q35)*($AH$25:$AH$66&lt;&gt;"x")*($AB$25:$AB$66=R35)*($AC$25:$AC$66=S35),
0)
)
),INDEX($AH$25:$AH$66,
MATCH(
MIN(IF(($AH$25:$AH$66&lt;&gt;"x")*($AB$25:$AB$66=R35)*($AC$25:$AC$66=S35),ABS($AE$25:$AE$66-Q35))),
IF(($AH$25:$AH$66&lt;&gt;"x")*($AB$25:$AB$66=R35)*($AC$25:$AC$66=S35),ABS($AE$25:$AE$66-Q35)),
0
)))</f>
        <v>-1.2999999999999999E-2</v>
      </c>
      <c r="W35" s="64" cm="1">
        <f t="array" ref="W35">IFERROR(
_xlfn.FORECAST.LINEAR(
Q35,
INDEX($AI$25:$AI$66,
MATCH(1,
($AE$25:$AE$66&lt;=Q35)*($AI$25:$AI$66&lt;&gt;"x")*($AB$25:$AB$66=R35)*($AC$25:$AC$66=S35),
0)
):
INDEX($AI$25:$AI$66,
MATCH(1,
($AE$25:$AE$66&gt;=Q35)*($AI$25:$AI$66&lt;&gt;"x")*($AB$25:$AB$66=R35)*($AC$25:$AC$66=S35),
0)
),
INDEX($AE$25:$AE$66,
MATCH(1,
($AE$25:$AE$66&lt;=Q35)*($AI$25:$AI$66&lt;&gt;"x")*($AB$25:$AB$66=R35)*($AC$25:$AC$66=S35),
0)
):
INDEX($AE$25:$AE$66,
MATCH(1,
($AE$25:$AE$66&gt;=Q35)*($AI$25:$AI$66&lt;&gt;"x")*($AB$25:$AB$66=R35)*($AC$25:$AC$66=S35),
0)
)
),INDEX($AI$25:$AI$66,
MATCH(
MIN(IF(($AI$25:$AI$66&lt;&gt;"x")*($AB$25:$AB$66=R35)*($AC$25:$AC$66=S35),ABS($AE$25:$AE$66-Q35))),
IF(($AI$25:$AI$66&lt;&gt;"x")*($AB$25:$AB$66=R35)*($AC$25:$AC$66=S35),ABS($AE$25:$AE$66-Q35)),
0
)))</f>
        <v>1E-3</v>
      </c>
      <c r="X35" s="556">
        <f t="shared" si="6"/>
        <v>1.1704940241546617E-2</v>
      </c>
      <c r="Y35" s="554">
        <f>AJ62</f>
        <v>0.04</v>
      </c>
      <c r="Z35" s="1"/>
      <c r="AA35" s="342"/>
      <c r="AB35" s="61" t="s">
        <v>35</v>
      </c>
      <c r="AC35" s="342">
        <v>20000</v>
      </c>
      <c r="AD35" s="339" t="s">
        <v>39</v>
      </c>
      <c r="AE35" s="360">
        <v>100</v>
      </c>
      <c r="AF35" s="343">
        <v>-4.5999999999999999E-2</v>
      </c>
      <c r="AG35" s="77">
        <v>8.9999999999999993E-3</v>
      </c>
      <c r="AH35" s="77">
        <v>-1.6E-2</v>
      </c>
      <c r="AI35" s="77">
        <v>-6.0000000000000001E-3</v>
      </c>
      <c r="AJ35" s="340">
        <v>6.2E-2</v>
      </c>
      <c r="AL35" s="1"/>
    </row>
    <row r="36" spans="3:42" ht="12.75" customHeight="1" x14ac:dyDescent="0.3">
      <c r="C36" s="91" t="s">
        <v>78</v>
      </c>
      <c r="D36" s="91" t="s">
        <v>79</v>
      </c>
      <c r="E36" s="91" t="s">
        <v>10</v>
      </c>
      <c r="F36" s="91" t="s">
        <v>80</v>
      </c>
      <c r="G36" s="91" t="s">
        <v>81</v>
      </c>
      <c r="H36" s="92" t="s">
        <v>82</v>
      </c>
      <c r="I36" s="91" t="s">
        <v>83</v>
      </c>
      <c r="J36" s="91" t="s">
        <v>84</v>
      </c>
      <c r="K36" s="91" t="s">
        <v>85</v>
      </c>
      <c r="L36" s="91" t="s">
        <v>86</v>
      </c>
      <c r="M36" s="91" t="s">
        <v>87</v>
      </c>
      <c r="N36" s="91" t="s">
        <v>242</v>
      </c>
      <c r="O36" s="91" t="s">
        <v>243</v>
      </c>
      <c r="P36" s="1"/>
      <c r="Q36" s="138">
        <f t="shared" si="4"/>
        <v>540</v>
      </c>
      <c r="R36" s="63" t="str">
        <f t="shared" si="5"/>
        <v>V4</v>
      </c>
      <c r="S36" s="553">
        <f t="shared" si="7"/>
        <v>50</v>
      </c>
      <c r="T36" s="636" cm="1">
        <f t="array" ref="T36">IFERROR(
_xlfn.FORECAST.LINEAR(
Q36,
INDEX($AF$25:$AF$66,
MATCH(1,
($AE$25:$AE$66&lt;=Q36)*($AF$25:$AF$66&lt;&gt;"x")*($AB$25:$AB$66=R36)*($AC$25:$AC$66=S36),
0)
):
INDEX($AF$25:$AF$66,
MATCH(1,
($AE$25:$AE$66&gt;=Q36)*($AF$25:$AF$66&lt;&gt;"x")*($AB$25:$AB$66=R36)*($AC$25:$AC$66=S36),
0)
),
INDEX($AE$25:$AE$66,
MATCH(1,
($AE$25:$AE$66&lt;=Q36)*($AF$25:$AF$66&lt;&gt;"x")*($AB$25:$AB$66=R36)*($AC$25:$AC$66=S36),
0)
):
INDEX($AE$25:$AE$66,
MATCH(1,
($AE$25:$AE$66&gt;=Q36)*($AF$25:$AF$66&lt;&gt;"x")*($AB$25:$AB$66=R36)*($AC$25:$AC$66=S36),
0)
)
),INDEX($AF$25:$AF$66,
MATCH(
MIN(IF(($AF$25:$AF$66&lt;&gt;"x")*($AB$25:$AB$66=R36)*($AC$25:$AC$66=S36),ABS($AE$25:$AE$66-Q36))),
IF(($AF$25:$AF$66&lt;&gt;"x")*($AB$25:$AB$66=R36)*($AC$25:$AC$66=S36),ABS($AE$25:$AE$66-Q36)),
0
)))</f>
        <v>-3.1194029850746263E-2</v>
      </c>
      <c r="U36" s="64" cm="1">
        <f t="array" ref="U36">IFERROR(
_xlfn.FORECAST.LINEAR(
Q36,
INDEX($AG$25:$AG$66,
MATCH(1,
($AE$25:$AE$66&lt;=Q36)*($AG$25:$AG$66&lt;&gt;"x")*($AB$25:$AB$66=R36)*($AC$25:$AC$66=S36),
0)
):
INDEX($AG$25:$AG$66,
MATCH(1,
($AE$25:$AE$66&gt;=Q36)*($AG$25:$AG$66&lt;&gt;"x")*($AB$25:$AB$66=R36)*($AC$25:$AC$66=S36),
0)
),
INDEX($AE$25:$AE$66,
MATCH(1,
($AE$25:$AE$66&lt;=Q36)*($AG$25:$AG$66&lt;&gt;"x")*($AB$25:$AB$66=R36)*($AC$25:$AC$66=S36),
0)
):
INDEX($AE$25:$AE$66,
MATCH(1,
($AE$25:$AE$66&gt;=Q36)*($AG$25:$AG$66&lt;&gt;"x")*($AB$25:$AB$66=R36)*($AC$25:$AC$66=S36),
0)
)
),INDEX($AG$25:$AG$66,
MATCH(
MIN(IF(($AG$25:$AG$66&lt;&gt;"x")*($AB$25:$AB$66=R36)*($AC$25:$AC$66=S36),ABS($AE$25:$AE$66-Q36))),
IF(($AG$25:$AG$66&lt;&gt;"x")*($AB$25:$AB$66=R36)*($AC$25:$AC$66=S36),ABS($AE$25:$AE$66-Q36)),
0
)))</f>
        <v>0</v>
      </c>
      <c r="V36" s="134" cm="1">
        <f t="array" ref="V36">IFERROR(
_xlfn.FORECAST.LINEAR(
Q36,
INDEX($AH$25:$AH$66,
MATCH(1,
($AE$25:$AE$66&lt;=Q36)*($AH$25:$AH$66&lt;&gt;"x")*($AB$25:$AB$66=R36)*($AC$25:$AC$66=S36),
0)
):
INDEX($AH$25:$AH$66,
MATCH(1,
($AE$25:$AE$66&gt;=Q36)*($AH$25:$AH$66&lt;&gt;"x")*($AB$25:$AB$66=R36)*($AC$25:$AC$66=S36),
0)
),
INDEX($AE$25:$AE$66,
MATCH(1,
($AE$25:$AE$66&lt;=Q36)*($AH$25:$AH$66&lt;&gt;"x")*($AB$25:$AB$66=R36)*($AC$25:$AC$66=S36),
0)
):
INDEX($AE$25:$AE$66,
MATCH(1,
($AE$25:$AE$66&gt;=Q36)*($AH$25:$AH$66&lt;&gt;"x")*($AB$25:$AB$66=R36)*($AC$25:$AC$66=S36),
0)
)
),INDEX($AH$25:$AH$66,
MATCH(
MIN(IF(($AH$25:$AH$66&lt;&gt;"x")*($AB$25:$AB$66=R36)*($AC$25:$AC$66=S36),ABS($AE$25:$AE$66-Q36))),
IF(($AH$25:$AH$66&lt;&gt;"x")*($AB$25:$AB$66=R36)*($AC$25:$AC$66=S36),ABS($AE$25:$AE$66-Q36)),
0
)))</f>
        <v>-0.02</v>
      </c>
      <c r="W36" s="64" cm="1">
        <f t="array" ref="W36">IFERROR(
_xlfn.FORECAST.LINEAR(
Q36,
INDEX($AI$25:$AI$66,
MATCH(1,
($AE$25:$AE$66&lt;=Q36)*($AI$25:$AI$66&lt;&gt;"x")*($AB$25:$AB$66=R36)*($AC$25:$AC$66=S36),
0)
):
INDEX($AI$25:$AI$66,
MATCH(1,
($AE$25:$AE$66&gt;=Q36)*($AI$25:$AI$66&lt;&gt;"x")*($AB$25:$AB$66=R36)*($AC$25:$AC$66=S36),
0)
),
INDEX($AE$25:$AE$66,
MATCH(1,
($AE$25:$AE$66&lt;=Q36)*($AI$25:$AI$66&lt;&gt;"x")*($AB$25:$AB$66=R36)*($AC$25:$AC$66=S36),
0)
):
INDEX($AE$25:$AE$66,
MATCH(1,
($AE$25:$AE$66&gt;=Q36)*($AI$25:$AI$66&lt;&gt;"x")*($AB$25:$AB$66=R36)*($AC$25:$AC$66=S36),
0)
)
),INDEX($AI$25:$AI$66,
MATCH(
MIN(IF(($AI$25:$AI$66&lt;&gt;"x")*($AB$25:$AB$66=R36)*($AC$25:$AC$66=S36),ABS($AE$25:$AE$66-Q36))),
IF(($AI$25:$AI$66&lt;&gt;"x")*($AB$25:$AB$66=R36)*($AC$25:$AC$66=S36),ABS($AE$25:$AE$66-Q36)),
0
)))</f>
        <v>0.06</v>
      </c>
      <c r="X36" s="556">
        <f t="shared" si="6"/>
        <v>4.9827211713151291E-2</v>
      </c>
      <c r="Y36" s="553">
        <f>AJ64</f>
        <v>0.09</v>
      </c>
      <c r="Z36" s="1"/>
      <c r="AA36" s="65">
        <v>3.2999900000000002</v>
      </c>
      <c r="AB36" s="66" t="s">
        <v>640</v>
      </c>
      <c r="AC36" s="65">
        <v>40</v>
      </c>
      <c r="AD36" s="66" t="s">
        <v>39</v>
      </c>
      <c r="AE36" s="136">
        <v>1</v>
      </c>
      <c r="AF36" s="68">
        <v>5.9199999999999999E-3</v>
      </c>
      <c r="AG36" s="563">
        <v>0</v>
      </c>
      <c r="AH36" s="68">
        <v>0</v>
      </c>
      <c r="AI36" s="65">
        <v>1.6000000000000001E-4</v>
      </c>
      <c r="AJ36" s="650">
        <v>1.8000000000000001E-4</v>
      </c>
      <c r="AK36" s="1"/>
      <c r="AL36" s="6"/>
    </row>
    <row r="37" spans="3:42" ht="12.75" customHeight="1" x14ac:dyDescent="0.3">
      <c r="C37" s="93" t="s">
        <v>90</v>
      </c>
      <c r="D37" s="94" t="s">
        <v>244</v>
      </c>
      <c r="E37" s="94" t="s">
        <v>42</v>
      </c>
      <c r="F37" s="95" t="str">
        <f>G35</f>
        <v>mV</v>
      </c>
      <c r="G37" s="94" t="s">
        <v>631</v>
      </c>
      <c r="H37" s="94">
        <f>STDEV(Data!E53:N53)/SQRT(5)</f>
        <v>0</v>
      </c>
      <c r="I37" s="94">
        <v>1</v>
      </c>
      <c r="J37" s="94">
        <f>5-1</f>
        <v>4</v>
      </c>
      <c r="K37" s="94">
        <f t="shared" ref="K37:K40" si="11">(H37)/I37</f>
        <v>0</v>
      </c>
      <c r="L37" s="94">
        <v>1</v>
      </c>
      <c r="M37" s="94">
        <f t="shared" ref="M37:M40" si="12">K37*L37</f>
        <v>0</v>
      </c>
      <c r="N37" s="94">
        <f t="shared" ref="N37:N40" si="13">M37^2</f>
        <v>0</v>
      </c>
      <c r="O37" s="94">
        <f t="shared" ref="O37:O40" si="14">(M37^4)/J37</f>
        <v>0</v>
      </c>
      <c r="P37" s="1"/>
      <c r="Q37" s="100">
        <f t="shared" si="4"/>
        <v>100</v>
      </c>
      <c r="R37" s="63" t="str">
        <f t="shared" si="5"/>
        <v>V3</v>
      </c>
      <c r="S37" s="553">
        <f t="shared" si="7"/>
        <v>50</v>
      </c>
      <c r="T37" s="636" cm="1">
        <f t="array" ref="T37">IFERROR(
_xlfn.FORECAST.LINEAR(
Q37,
INDEX($AF$25:$AF$66,
MATCH(1,
($AE$25:$AE$66&lt;=Q37)*($AF$25:$AF$66&lt;&gt;"x")*($AB$25:$AB$66=R37)*($AC$25:$AC$66=S37),
0)
):
INDEX($AF$25:$AF$66,
MATCH(1,
($AE$25:$AE$66&gt;=Q37)*($AF$25:$AF$66&lt;&gt;"x")*($AB$25:$AB$66=R37)*($AC$25:$AC$66=S37),
0)
),
INDEX($AE$25:$AE$66,
MATCH(1,
($AE$25:$AE$66&lt;=Q37)*($AF$25:$AF$66&lt;&gt;"x")*($AB$25:$AB$66=R37)*($AC$25:$AC$66=S37),
0)
):
INDEX($AE$25:$AE$66,
MATCH(1,
($AE$25:$AE$66&gt;=Q37)*($AF$25:$AF$66&lt;&gt;"x")*($AB$25:$AB$66=R37)*($AC$25:$AC$66=S37),
0)
)
),INDEX($AF$25:$AF$66,
MATCH(
MIN(IF(($AF$25:$AF$66&lt;&gt;"x")*($AB$25:$AB$66=R37)*($AC$25:$AC$66=S37),ABS($AE$25:$AE$66-Q37))),
IF(($AF$25:$AF$66&lt;&gt;"x")*($AB$25:$AB$66=R37)*($AC$25:$AC$66=S37),ABS($AE$25:$AE$66-Q37)),
0
)))</f>
        <v>-1.5000000000000001E-2</v>
      </c>
      <c r="U37" s="64" cm="1">
        <f t="array" ref="U37">IFERROR(
_xlfn.FORECAST.LINEAR(
Q37,
INDEX($AG$25:$AG$66,
MATCH(1,
($AE$25:$AE$66&lt;=Q37)*($AG$25:$AG$66&lt;&gt;"x")*($AB$25:$AB$66=R37)*($AC$25:$AC$66=S37),
0)
):
INDEX($AG$25:$AG$66,
MATCH(1,
($AE$25:$AE$66&gt;=Q37)*($AG$25:$AG$66&lt;&gt;"x")*($AB$25:$AB$66=R37)*($AC$25:$AC$66=S37),
0)
),
INDEX($AE$25:$AE$66,
MATCH(1,
($AE$25:$AE$66&lt;=Q37)*($AG$25:$AG$66&lt;&gt;"x")*($AB$25:$AB$66=R37)*($AC$25:$AC$66=S37),
0)
):
INDEX($AE$25:$AE$66,
MATCH(1,
($AE$25:$AE$66&gt;=Q37)*($AG$25:$AG$66&lt;&gt;"x")*($AB$25:$AB$66=R37)*($AC$25:$AC$66=S37),
0)
)
),INDEX($AG$25:$AG$66,
MATCH(
MIN(IF(($AG$25:$AG$66&lt;&gt;"x")*($AB$25:$AB$66=R37)*($AC$25:$AC$66=S37),ABS($AE$25:$AE$66-Q37))),
IF(($AG$25:$AG$66&lt;&gt;"x")*($AB$25:$AB$66=R37)*($AC$25:$AC$66=S37),ABS($AE$25:$AE$66-Q37)),
0
)))</f>
        <v>-1.4999999999999999E-2</v>
      </c>
      <c r="V37" s="134" cm="1">
        <f t="array" ref="V37">IFERROR(
_xlfn.FORECAST.LINEAR(
Q37,
INDEX($AH$25:$AH$66,
MATCH(1,
($AE$25:$AE$66&lt;=Q37)*($AH$25:$AH$66&lt;&gt;"x")*($AB$25:$AB$66=R37)*($AC$25:$AC$66=S37),
0)
):
INDEX($AH$25:$AH$66,
MATCH(1,
($AE$25:$AE$66&gt;=Q37)*($AH$25:$AH$66&lt;&gt;"x")*($AB$25:$AB$66=R37)*($AC$25:$AC$66=S37),
0)
),
INDEX($AE$25:$AE$66,
MATCH(1,
($AE$25:$AE$66&lt;=Q37)*($AH$25:$AH$66&lt;&gt;"x")*($AB$25:$AB$66=R37)*($AC$25:$AC$66=S37),
0)
):
INDEX($AE$25:$AE$66,
MATCH(1,
($AE$25:$AE$66&gt;=Q37)*($AH$25:$AH$66&lt;&gt;"x")*($AB$25:$AB$66=R37)*($AC$25:$AC$66=S37),
0)
)
),INDEX($AH$25:$AH$66,
MATCH(
MIN(IF(($AH$25:$AH$66&lt;&gt;"x")*($AB$25:$AB$66=R37)*($AC$25:$AC$66=S37),ABS($AE$25:$AE$66-Q37))),
IF(($AH$25:$AH$66&lt;&gt;"x")*($AB$25:$AB$66=R37)*($AC$25:$AC$66=S37),ABS($AE$25:$AE$66-Q37)),
0
)))</f>
        <v>-1.2999999999999999E-2</v>
      </c>
      <c r="W37" s="64" cm="1">
        <f t="array" ref="W37">IFERROR(
_xlfn.FORECAST.LINEAR(
Q37,
INDEX($AI$25:$AI$66,
MATCH(1,
($AE$25:$AE$66&lt;=Q37)*($AI$25:$AI$66&lt;&gt;"x")*($AB$25:$AB$66=R37)*($AC$25:$AC$66=S37),
0)
):
INDEX($AI$25:$AI$66,
MATCH(1,
($AE$25:$AE$66&gt;=Q37)*($AI$25:$AI$66&lt;&gt;"x")*($AB$25:$AB$66=R37)*($AC$25:$AC$66=S37),
0)
),
INDEX($AE$25:$AE$66,
MATCH(1,
($AE$25:$AE$66&lt;=Q37)*($AI$25:$AI$66&lt;&gt;"x")*($AB$25:$AB$66=R37)*($AC$25:$AC$66=S37),
0)
):
INDEX($AE$25:$AE$66,
MATCH(1,
($AE$25:$AE$66&gt;=Q37)*($AI$25:$AI$66&lt;&gt;"x")*($AB$25:$AB$66=R37)*($AC$25:$AC$66=S37),
0)
)
),INDEX($AI$25:$AI$66,
MATCH(
MIN(IF(($AI$25:$AI$66&lt;&gt;"x")*($AB$25:$AB$66=R37)*($AC$25:$AC$66=S37),ABS($AE$25:$AE$66-Q37))),
IF(($AI$25:$AI$66&lt;&gt;"x")*($AB$25:$AB$66=R37)*($AC$25:$AC$66=S37),ABS($AE$25:$AE$66-Q37)),
0
)))</f>
        <v>1E-3</v>
      </c>
      <c r="X37" s="556">
        <f t="shared" si="6"/>
        <v>6.6727711201628433E-3</v>
      </c>
      <c r="Y37" s="553">
        <f>AJ57</f>
        <v>1.7999999999999999E-2</v>
      </c>
      <c r="Z37" s="1"/>
      <c r="AA37" s="69"/>
      <c r="AB37" s="66" t="s">
        <v>640</v>
      </c>
      <c r="AC37" s="69">
        <v>50</v>
      </c>
      <c r="AD37" s="1" t="s">
        <v>39</v>
      </c>
      <c r="AE37" s="97">
        <v>0.33</v>
      </c>
      <c r="AF37" s="70">
        <v>5.8399999999999997E-3</v>
      </c>
      <c r="AG37" s="97">
        <v>-0.11</v>
      </c>
      <c r="AH37" s="97" t="s">
        <v>637</v>
      </c>
      <c r="AI37" s="86" t="s">
        <v>637</v>
      </c>
      <c r="AJ37" s="385">
        <v>0.1</v>
      </c>
      <c r="AK37" s="1"/>
      <c r="AL37" s="6"/>
    </row>
    <row r="38" spans="3:42" ht="12.75" customHeight="1" x14ac:dyDescent="0.3">
      <c r="C38" s="93" t="s">
        <v>93</v>
      </c>
      <c r="D38" s="94" t="s">
        <v>245</v>
      </c>
      <c r="E38" s="94" t="s">
        <v>95</v>
      </c>
      <c r="F38" s="95" t="str">
        <f>F37</f>
        <v>mV</v>
      </c>
      <c r="G38" s="94" t="s">
        <v>96</v>
      </c>
      <c r="H38" s="94">
        <f>J35/2</f>
        <v>0.05</v>
      </c>
      <c r="I38" s="94">
        <f>SQRT(3)</f>
        <v>1.7320508075688772</v>
      </c>
      <c r="J38" s="94">
        <v>50</v>
      </c>
      <c r="K38" s="94">
        <f t="shared" si="11"/>
        <v>2.8867513459481291E-2</v>
      </c>
      <c r="L38" s="94">
        <v>1</v>
      </c>
      <c r="M38" s="94">
        <f t="shared" si="12"/>
        <v>2.8867513459481291E-2</v>
      </c>
      <c r="N38" s="94">
        <f t="shared" si="13"/>
        <v>8.333333333333335E-4</v>
      </c>
      <c r="O38" s="94">
        <f t="shared" si="14"/>
        <v>1.3888888888888894E-8</v>
      </c>
      <c r="P38" s="1"/>
      <c r="Q38" s="138">
        <f t="shared" si="4"/>
        <v>500</v>
      </c>
      <c r="R38" s="63" t="str">
        <f t="shared" si="5"/>
        <v>V4</v>
      </c>
      <c r="S38" s="553">
        <f t="shared" si="7"/>
        <v>50</v>
      </c>
      <c r="T38" s="636" cm="1">
        <f t="array" ref="T38">IFERROR(
_xlfn.FORECAST.LINEAR(
Q38,
INDEX($AF$25:$AF$66,
MATCH(1,
($AE$25:$AE$66&lt;=Q38)*($AF$25:$AF$66&lt;&gt;"x")*($AB$25:$AB$66=R38)*($AC$25:$AC$66=S38),
0)
):
INDEX($AF$25:$AF$66,
MATCH(1,
($AE$25:$AE$66&gt;=Q38)*($AF$25:$AF$66&lt;&gt;"x")*($AB$25:$AB$66=R38)*($AC$25:$AC$66=S38),
0)
),
INDEX($AE$25:$AE$66,
MATCH(1,
($AE$25:$AE$66&lt;=Q38)*($AF$25:$AF$66&lt;&gt;"x")*($AB$25:$AB$66=R38)*($AC$25:$AC$66=S38),
0)
):
INDEX($AE$25:$AE$66,
MATCH(1,
($AE$25:$AE$66&gt;=Q38)*($AF$25:$AF$66&lt;&gt;"x")*($AB$25:$AB$66=R38)*($AC$25:$AC$66=S38),
0)
)
),INDEX($AF$25:$AF$66,
MATCH(
MIN(IF(($AF$25:$AF$66&lt;&gt;"x")*($AB$25:$AB$66=R38)*($AC$25:$AC$66=S38),ABS($AE$25:$AE$66-Q38))),
IF(($AF$25:$AF$66&lt;&gt;"x")*($AB$25:$AB$66=R38)*($AC$25:$AC$66=S38),ABS($AE$25:$AE$66-Q38)),
0
)))</f>
        <v>-3.477611940298507E-2</v>
      </c>
      <c r="U38" s="64" cm="1">
        <f t="array" ref="U38">IFERROR(
_xlfn.FORECAST.LINEAR(
Q38,
INDEX($AG$25:$AG$66,
MATCH(1,
($AE$25:$AE$66&lt;=Q38)*($AG$25:$AG$66&lt;&gt;"x")*($AB$25:$AB$66=R38)*($AC$25:$AC$66=S38),
0)
):
INDEX($AG$25:$AG$66,
MATCH(1,
($AE$25:$AE$66&gt;=Q38)*($AG$25:$AG$66&lt;&gt;"x")*($AB$25:$AB$66=R38)*($AC$25:$AC$66=S38),
0)
),
INDEX($AE$25:$AE$66,
MATCH(1,
($AE$25:$AE$66&lt;=Q38)*($AG$25:$AG$66&lt;&gt;"x")*($AB$25:$AB$66=R38)*($AC$25:$AC$66=S38),
0)
):
INDEX($AE$25:$AE$66,
MATCH(1,
($AE$25:$AE$66&gt;=Q38)*($AG$25:$AG$66&lt;&gt;"x")*($AB$25:$AB$66=R38)*($AC$25:$AC$66=S38),
0)
)
),INDEX($AG$25:$AG$66,
MATCH(
MIN(IF(($AG$25:$AG$66&lt;&gt;"x")*($AB$25:$AB$66=R38)*($AC$25:$AC$66=S38),ABS($AE$25:$AE$66-Q38))),
IF(($AG$25:$AG$66&lt;&gt;"x")*($AB$25:$AB$66=R38)*($AC$25:$AC$66=S38),ABS($AE$25:$AE$66-Q38)),
0
)))</f>
        <v>0</v>
      </c>
      <c r="V38" s="134" cm="1">
        <f t="array" ref="V38">IFERROR(
_xlfn.FORECAST.LINEAR(
Q38,
INDEX($AH$25:$AH$66,
MATCH(1,
($AE$25:$AE$66&lt;=Q38)*($AH$25:$AH$66&lt;&gt;"x")*($AB$25:$AB$66=R38)*($AC$25:$AC$66=S38),
0)
):
INDEX($AH$25:$AH$66,
MATCH(1,
($AE$25:$AE$66&gt;=Q38)*($AH$25:$AH$66&lt;&gt;"x")*($AB$25:$AB$66=R38)*($AC$25:$AC$66=S38),
0)
),
INDEX($AE$25:$AE$66,
MATCH(1,
($AE$25:$AE$66&lt;=Q38)*($AH$25:$AH$66&lt;&gt;"x")*($AB$25:$AB$66=R38)*($AC$25:$AC$66=S38),
0)
):
INDEX($AE$25:$AE$66,
MATCH(1,
($AE$25:$AE$66&gt;=Q38)*($AH$25:$AH$66&lt;&gt;"x")*($AB$25:$AB$66=R38)*($AC$25:$AC$66=S38),
0)
)
),INDEX($AH$25:$AH$66,
MATCH(
MIN(IF(($AH$25:$AH$66&lt;&gt;"x")*($AB$25:$AB$66=R38)*($AC$25:$AC$66=S38),ABS($AE$25:$AE$66-Q38))),
IF(($AH$25:$AH$66&lt;&gt;"x")*($AB$25:$AB$66=R38)*($AC$25:$AC$66=S38),ABS($AE$25:$AE$66-Q38)),
0
)))</f>
        <v>-0.02</v>
      </c>
      <c r="W38" s="64" cm="1">
        <f t="array" ref="W38">IFERROR(
_xlfn.FORECAST.LINEAR(
Q38,
INDEX($AI$25:$AI$66,
MATCH(1,
($AE$25:$AE$66&lt;=Q38)*($AI$25:$AI$66&lt;&gt;"x")*($AB$25:$AB$66=R38)*($AC$25:$AC$66=S38),
0)
):
INDEX($AI$25:$AI$66,
MATCH(1,
($AE$25:$AE$66&gt;=Q38)*($AI$25:$AI$66&lt;&gt;"x")*($AB$25:$AB$66=R38)*($AC$25:$AC$66=S38),
0)
),
INDEX($AE$25:$AE$66,
MATCH(1,
($AE$25:$AE$66&lt;=Q38)*($AI$25:$AI$66&lt;&gt;"x")*($AB$25:$AB$66=R38)*($AC$25:$AC$66=S38),
0)
):
INDEX($AE$25:$AE$66,
MATCH(1,
($AE$25:$AE$66&gt;=Q38)*($AI$25:$AI$66&lt;&gt;"x")*($AB$25:$AB$66=R38)*($AC$25:$AC$66=S38),
0)
)
),INDEX($AI$25:$AI$66,
MATCH(
MIN(IF(($AI$25:$AI$66&lt;&gt;"x")*($AB$25:$AB$66=R38)*($AC$25:$AC$66=S38),ABS($AE$25:$AE$66-Q38))),
IF(($AI$25:$AI$66&lt;&gt;"x")*($AB$25:$AB$66=R38)*($AC$25:$AC$66=S38),ABS($AE$25:$AE$66-Q38)),
0
)))</f>
        <v>0.06</v>
      </c>
      <c r="X38" s="556">
        <f t="shared" si="6"/>
        <v>5.0866901630193577E-2</v>
      </c>
      <c r="Y38" s="553">
        <f>AJ64</f>
        <v>0.09</v>
      </c>
      <c r="Z38" s="1"/>
      <c r="AA38" s="338"/>
      <c r="AB38" s="66" t="s">
        <v>640</v>
      </c>
      <c r="AC38" s="338">
        <v>50</v>
      </c>
      <c r="AD38" s="243" t="s">
        <v>39</v>
      </c>
      <c r="AE38" s="348">
        <v>1</v>
      </c>
      <c r="AF38" s="340">
        <v>5.9199999999999999E-3</v>
      </c>
      <c r="AG38" s="563">
        <v>0</v>
      </c>
      <c r="AH38" s="70">
        <v>0</v>
      </c>
      <c r="AI38" s="1">
        <v>1.6000000000000001E-4</v>
      </c>
      <c r="AJ38" s="385">
        <v>1.8000000000000001E-4</v>
      </c>
      <c r="AK38" s="1"/>
      <c r="AL38" s="6"/>
      <c r="AM38" s="1"/>
      <c r="AN38" s="1"/>
      <c r="AO38" s="1"/>
      <c r="AP38" s="1"/>
    </row>
    <row r="39" spans="3:42" ht="12.75" customHeight="1" x14ac:dyDescent="0.3">
      <c r="C39" s="93" t="s">
        <v>97</v>
      </c>
      <c r="D39" s="94" t="s">
        <v>246</v>
      </c>
      <c r="E39" s="94" t="s">
        <v>95</v>
      </c>
      <c r="F39" s="95" t="str">
        <f>F37</f>
        <v>mV</v>
      </c>
      <c r="G39" s="94" t="s">
        <v>92</v>
      </c>
      <c r="H39" s="96">
        <f>Y25</f>
        <v>2.5000000000000001E-2</v>
      </c>
      <c r="I39" s="94">
        <v>2</v>
      </c>
      <c r="J39" s="94">
        <v>60</v>
      </c>
      <c r="K39" s="94">
        <f t="shared" si="11"/>
        <v>1.2500000000000001E-2</v>
      </c>
      <c r="L39" s="94">
        <v>1</v>
      </c>
      <c r="M39" s="94">
        <f t="shared" si="12"/>
        <v>1.2500000000000001E-2</v>
      </c>
      <c r="N39" s="94">
        <f t="shared" si="13"/>
        <v>1.5625000000000003E-4</v>
      </c>
      <c r="O39" s="94">
        <f t="shared" si="14"/>
        <v>4.0690104166666687E-10</v>
      </c>
      <c r="P39" s="1"/>
      <c r="Q39" s="138">
        <f t="shared" si="4"/>
        <v>900</v>
      </c>
      <c r="R39" s="63" t="str">
        <f t="shared" si="5"/>
        <v>V4</v>
      </c>
      <c r="S39" s="553">
        <f t="shared" si="7"/>
        <v>50</v>
      </c>
      <c r="T39" s="636" cm="1">
        <f t="array" ref="T39">IFERROR(
_xlfn.FORECAST.LINEAR(
Q39,
INDEX($AF$25:$AF$66,
MATCH(1,
($AE$25:$AE$66&lt;=Q39)*($AF$25:$AF$66&lt;&gt;"x")*($AB$25:$AB$66=R39)*($AC$25:$AC$66=S39),
0)
):
INDEX($AF$25:$AF$66,
MATCH(1,
($AE$25:$AE$66&gt;=Q39)*($AF$25:$AF$66&lt;&gt;"x")*($AB$25:$AB$66=R39)*($AC$25:$AC$66=S39),
0)
),
INDEX($AE$25:$AE$66,
MATCH(1,
($AE$25:$AE$66&lt;=Q39)*($AF$25:$AF$66&lt;&gt;"x")*($AB$25:$AB$66=R39)*($AC$25:$AC$66=S39),
0)
):
INDEX($AE$25:$AE$66,
MATCH(1,
($AE$25:$AE$66&gt;=Q39)*($AF$25:$AF$66&lt;&gt;"x")*($AB$25:$AB$66=R39)*($AC$25:$AC$66=S39),
0)
)
),INDEX($AF$25:$AF$66,
MATCH(
MIN(IF(($AF$25:$AF$66&lt;&gt;"x")*($AB$25:$AB$66=R39)*($AC$25:$AC$66=S39),ABS($AE$25:$AE$66-Q39))),
IF(($AF$25:$AF$66&lt;&gt;"x")*($AB$25:$AB$66=R39)*($AC$25:$AC$66=S39),ABS($AE$25:$AE$66-Q39)),
0
)))</f>
        <v>1.0447761194029848E-3</v>
      </c>
      <c r="U39" s="64" cm="1">
        <f t="array" ref="U39">IFERROR(
_xlfn.FORECAST.LINEAR(
Q39,
INDEX($AG$25:$AG$66,
MATCH(1,
($AE$25:$AE$66&lt;=Q39)*($AG$25:$AG$66&lt;&gt;"x")*($AB$25:$AB$66=R39)*($AC$25:$AC$66=S39),
0)
):
INDEX($AG$25:$AG$66,
MATCH(1,
($AE$25:$AE$66&gt;=Q39)*($AG$25:$AG$66&lt;&gt;"x")*($AB$25:$AB$66=R39)*($AC$25:$AC$66=S39),
0)
),
INDEX($AE$25:$AE$66,
MATCH(1,
($AE$25:$AE$66&lt;=Q39)*($AG$25:$AG$66&lt;&gt;"x")*($AB$25:$AB$66=R39)*($AC$25:$AC$66=S39),
0)
):
INDEX($AE$25:$AE$66,
MATCH(1,
($AE$25:$AE$66&gt;=Q39)*($AG$25:$AG$66&lt;&gt;"x")*($AB$25:$AB$66=R39)*($AC$25:$AC$66=S39),
0)
)
),INDEX($AG$25:$AG$66,
MATCH(
MIN(IF(($AG$25:$AG$66&lt;&gt;"x")*($AB$25:$AB$66=R39)*($AC$25:$AC$66=S39),ABS($AE$25:$AE$66-Q39))),
IF(($AG$25:$AG$66&lt;&gt;"x")*($AB$25:$AB$66=R39)*($AC$25:$AC$66=S39),ABS($AE$25:$AE$66-Q39)),
0
)))</f>
        <v>0</v>
      </c>
      <c r="V39" s="134" cm="1">
        <f t="array" ref="V39">IFERROR(
_xlfn.FORECAST.LINEAR(
Q39,
INDEX($AH$25:$AH$66,
MATCH(1,
($AE$25:$AE$66&lt;=Q39)*($AH$25:$AH$66&lt;&gt;"x")*($AB$25:$AB$66=R39)*($AC$25:$AC$66=S39),
0)
):
INDEX($AH$25:$AH$66,
MATCH(1,
($AE$25:$AE$66&gt;=Q39)*($AH$25:$AH$66&lt;&gt;"x")*($AB$25:$AB$66=R39)*($AC$25:$AC$66=S39),
0)
),
INDEX($AE$25:$AE$66,
MATCH(1,
($AE$25:$AE$66&lt;=Q39)*($AH$25:$AH$66&lt;&gt;"x")*($AB$25:$AB$66=R39)*($AC$25:$AC$66=S39),
0)
):
INDEX($AE$25:$AE$66,
MATCH(1,
($AE$25:$AE$66&gt;=Q39)*($AH$25:$AH$66&lt;&gt;"x")*($AB$25:$AB$66=R39)*($AC$25:$AC$66=S39),
0)
)
),INDEX($AH$25:$AH$66,
MATCH(
MIN(IF(($AH$25:$AH$66&lt;&gt;"x")*($AB$25:$AB$66=R39)*($AC$25:$AC$66=S39),ABS($AE$25:$AE$66-Q39))),
IF(($AH$25:$AH$66&lt;&gt;"x")*($AB$25:$AB$66=R39)*($AC$25:$AC$66=S39),ABS($AE$25:$AE$66-Q39)),
0
)))</f>
        <v>-0.02</v>
      </c>
      <c r="W39" s="64" cm="1">
        <f t="array" ref="W39">IFERROR(
_xlfn.FORECAST.LINEAR(
Q39,
INDEX($AI$25:$AI$66,
MATCH(1,
($AE$25:$AE$66&lt;=Q39)*($AI$25:$AI$66&lt;&gt;"x")*($AB$25:$AB$66=R39)*($AC$25:$AC$66=S39),
0)
):
INDEX($AI$25:$AI$66,
MATCH(1,
($AE$25:$AE$66&gt;=Q39)*($AI$25:$AI$66&lt;&gt;"x")*($AB$25:$AB$66=R39)*($AC$25:$AC$66=S39),
0)
),
INDEX($AE$25:$AE$66,
MATCH(1,
($AE$25:$AE$66&lt;=Q39)*($AI$25:$AI$66&lt;&gt;"x")*($AB$25:$AB$66=R39)*($AC$25:$AC$66=S39),
0)
):
INDEX($AE$25:$AE$66,
MATCH(1,
($AE$25:$AE$66&gt;=Q39)*($AI$25:$AI$66&lt;&gt;"x")*($AB$25:$AB$66=R39)*($AC$25:$AC$66=S39),
0)
)
),INDEX($AI$25:$AI$66,
MATCH(
MIN(IF(($AI$25:$AI$66&lt;&gt;"x")*($AB$25:$AB$66=R39)*($AC$25:$AC$66=S39),ABS($AE$25:$AE$66-Q39))),
IF(($AI$25:$AI$66&lt;&gt;"x")*($AB$25:$AB$66=R39)*($AC$25:$AC$66=S39),ABS($AE$25:$AE$66-Q39)),
0
)))</f>
        <v>0.06</v>
      </c>
      <c r="X39" s="556">
        <f t="shared" si="6"/>
        <v>4.1076488244712064E-2</v>
      </c>
      <c r="Y39" s="553">
        <f>AJ65</f>
        <v>0.17</v>
      </c>
      <c r="Z39" s="1"/>
      <c r="AA39" s="338"/>
      <c r="AB39" s="66" t="s">
        <v>640</v>
      </c>
      <c r="AC39" s="338">
        <v>50</v>
      </c>
      <c r="AD39" s="1" t="s">
        <v>39</v>
      </c>
      <c r="AE39" s="348">
        <v>3.2</v>
      </c>
      <c r="AF39" s="340">
        <v>1.3999999999999999E-4</v>
      </c>
      <c r="AG39" s="340" t="s">
        <v>637</v>
      </c>
      <c r="AH39" s="340" t="s">
        <v>637</v>
      </c>
      <c r="AI39" s="243" t="s">
        <v>637</v>
      </c>
      <c r="AJ39" s="385">
        <v>9.7000000000000005E-4</v>
      </c>
      <c r="AK39" s="1"/>
      <c r="AL39" s="1"/>
      <c r="AM39" s="1"/>
      <c r="AN39" s="1"/>
      <c r="AO39" s="1"/>
      <c r="AP39" s="1"/>
    </row>
    <row r="40" spans="3:42" ht="12.75" customHeight="1" x14ac:dyDescent="0.3">
      <c r="C40" s="93" t="s">
        <v>99</v>
      </c>
      <c r="D40" s="94" t="s">
        <v>247</v>
      </c>
      <c r="E40" s="94" t="s">
        <v>95</v>
      </c>
      <c r="F40" s="95" t="str">
        <f>F37</f>
        <v>mV</v>
      </c>
      <c r="G40" s="94" t="s">
        <v>96</v>
      </c>
      <c r="H40" s="94">
        <f>X25</f>
        <v>1.457796360902703E-2</v>
      </c>
      <c r="I40" s="94">
        <f>SQRT(3)</f>
        <v>1.7320508075688772</v>
      </c>
      <c r="J40" s="94">
        <v>50</v>
      </c>
      <c r="K40" s="94">
        <f t="shared" si="11"/>
        <v>8.4165912139083244E-3</v>
      </c>
      <c r="L40" s="94">
        <v>1</v>
      </c>
      <c r="M40" s="94">
        <f t="shared" si="12"/>
        <v>8.4165912139083244E-3</v>
      </c>
      <c r="N40" s="94">
        <f t="shared" si="13"/>
        <v>7.08390076620388E-5</v>
      </c>
      <c r="O40" s="94">
        <f t="shared" si="14"/>
        <v>1.0036330013084783E-10</v>
      </c>
      <c r="P40" s="1"/>
      <c r="Z40" s="1"/>
      <c r="AA40" s="338"/>
      <c r="AB40" s="66" t="s">
        <v>640</v>
      </c>
      <c r="AC40" s="338">
        <v>1000</v>
      </c>
      <c r="AD40" s="243" t="s">
        <v>39</v>
      </c>
      <c r="AE40" s="348">
        <v>1</v>
      </c>
      <c r="AF40" s="340">
        <v>-5.0000000000000002E-5</v>
      </c>
      <c r="AG40" s="348">
        <v>6.9999999999999999E-4</v>
      </c>
      <c r="AH40" s="348">
        <v>1.0000000000000001E-5</v>
      </c>
      <c r="AI40" s="657">
        <v>1.8000000000000001E-4</v>
      </c>
      <c r="AJ40" s="385">
        <v>1.2999999999999999E-4</v>
      </c>
      <c r="AK40" s="1"/>
      <c r="AL40" s="1"/>
      <c r="AM40" s="1"/>
      <c r="AN40" s="1"/>
      <c r="AO40" s="1"/>
      <c r="AP40" s="1"/>
    </row>
    <row r="41" spans="3:42" ht="12.75" customHeight="1" x14ac:dyDescent="0.3">
      <c r="C41" s="98"/>
      <c r="D41" s="98"/>
      <c r="E41" s="98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338"/>
      <c r="AB41" s="66" t="s">
        <v>640</v>
      </c>
      <c r="AC41" s="338">
        <v>10000</v>
      </c>
      <c r="AD41" s="1" t="s">
        <v>39</v>
      </c>
      <c r="AE41" s="348">
        <v>1</v>
      </c>
      <c r="AF41" s="340">
        <v>-1.7000000000000001E-4</v>
      </c>
      <c r="AG41" s="348">
        <v>8.0000000000000007E-5</v>
      </c>
      <c r="AH41" s="348">
        <v>-4.0000000000000003E-5</v>
      </c>
      <c r="AI41" s="657">
        <v>1.2E-4</v>
      </c>
      <c r="AJ41" s="385">
        <v>1.7000000000000001E-4</v>
      </c>
      <c r="AK41" s="1"/>
      <c r="AL41" s="1"/>
      <c r="AM41" s="1"/>
      <c r="AN41" s="1"/>
      <c r="AO41" s="1"/>
      <c r="AP41" s="1"/>
    </row>
    <row r="42" spans="3:42" ht="12.75" customHeight="1" x14ac:dyDescent="0.3">
      <c r="C42" s="834" t="s">
        <v>103</v>
      </c>
      <c r="D42" s="794"/>
      <c r="E42" s="794"/>
      <c r="F42" s="794"/>
      <c r="G42" s="794"/>
      <c r="H42" s="794"/>
      <c r="I42" s="794"/>
      <c r="J42" s="794"/>
      <c r="K42" s="794"/>
      <c r="L42" s="780"/>
      <c r="M42" s="835">
        <f>SUM(N37:N41)</f>
        <v>1.0604223409953724E-3</v>
      </c>
      <c r="N42" s="780"/>
      <c r="O42" s="93">
        <f>SUM(O37:O41)</f>
        <v>1.4396153230686408E-8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338"/>
      <c r="AB42" s="66" t="s">
        <v>640</v>
      </c>
      <c r="AC42" s="338">
        <v>20000</v>
      </c>
      <c r="AD42" s="243" t="s">
        <v>39</v>
      </c>
      <c r="AE42" s="351">
        <v>1</v>
      </c>
      <c r="AF42" s="340">
        <v>-3.6999999999999999E-4</v>
      </c>
      <c r="AG42" s="340">
        <v>2.3000000000000001E-4</v>
      </c>
      <c r="AH42" s="351">
        <v>-5.0000000000000002E-5</v>
      </c>
      <c r="AI42" s="658">
        <v>1.0000000000000001E-5</v>
      </c>
      <c r="AJ42" s="385">
        <v>3.8999999999999999E-4</v>
      </c>
      <c r="AK42" s="1"/>
      <c r="AL42" s="1"/>
      <c r="AM42" s="1"/>
      <c r="AN42" s="1"/>
      <c r="AO42" s="1"/>
      <c r="AP42" s="1"/>
    </row>
    <row r="43" spans="3:42" ht="12.75" customHeight="1" x14ac:dyDescent="0.3">
      <c r="C43" s="834" t="s">
        <v>104</v>
      </c>
      <c r="D43" s="794"/>
      <c r="E43" s="794"/>
      <c r="F43" s="794"/>
      <c r="G43" s="794"/>
      <c r="H43" s="794"/>
      <c r="I43" s="794"/>
      <c r="J43" s="794"/>
      <c r="K43" s="794"/>
      <c r="L43" s="780"/>
      <c r="M43" s="835">
        <f>SQRT(M42)</f>
        <v>3.256412659653829E-2</v>
      </c>
      <c r="N43" s="780"/>
      <c r="O43" s="93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338"/>
      <c r="AB43" s="66" t="s">
        <v>640</v>
      </c>
      <c r="AC43" s="338">
        <v>50000</v>
      </c>
      <c r="AD43" s="1" t="s">
        <v>39</v>
      </c>
      <c r="AE43" s="351">
        <v>1</v>
      </c>
      <c r="AF43" s="340">
        <v>-5.0000000000000001E-4</v>
      </c>
      <c r="AG43" s="340">
        <v>5.1000000000000004E-4</v>
      </c>
      <c r="AH43" s="351">
        <v>-1E-4</v>
      </c>
      <c r="AI43" s="658">
        <v>-1E-4</v>
      </c>
      <c r="AJ43" s="385"/>
      <c r="AK43" s="1"/>
      <c r="AL43" s="1"/>
      <c r="AM43" s="1"/>
      <c r="AN43" s="1"/>
      <c r="AO43" s="1"/>
      <c r="AP43" s="1"/>
    </row>
    <row r="44" spans="3:42" ht="12.75" customHeight="1" x14ac:dyDescent="0.3">
      <c r="C44" s="834" t="s">
        <v>248</v>
      </c>
      <c r="D44" s="794"/>
      <c r="E44" s="794"/>
      <c r="F44" s="794"/>
      <c r="G44" s="794"/>
      <c r="H44" s="794"/>
      <c r="I44" s="794"/>
      <c r="J44" s="794"/>
      <c r="K44" s="794"/>
      <c r="L44" s="780"/>
      <c r="M44" s="99">
        <f>(M43^4)/O42</f>
        <v>78.110834419653514</v>
      </c>
      <c r="N44" s="101"/>
      <c r="O44" s="93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338"/>
      <c r="AB44" s="66" t="s">
        <v>640</v>
      </c>
      <c r="AC44" s="338">
        <v>50000</v>
      </c>
      <c r="AD44" s="243" t="s">
        <v>39</v>
      </c>
      <c r="AE44" s="340">
        <v>2.9699</v>
      </c>
      <c r="AF44" s="70" t="s">
        <v>637</v>
      </c>
      <c r="AG44" s="351">
        <v>0</v>
      </c>
      <c r="AH44" s="70" t="s">
        <v>637</v>
      </c>
      <c r="AI44" s="1" t="s">
        <v>637</v>
      </c>
      <c r="AJ44" s="385">
        <v>1.1999999999999999E-3</v>
      </c>
      <c r="AK44" s="1"/>
      <c r="AL44" s="1"/>
      <c r="AM44" s="1"/>
      <c r="AN44" s="1"/>
      <c r="AO44" s="1"/>
      <c r="AP44" s="1"/>
    </row>
    <row r="45" spans="3:42" ht="12.75" customHeight="1" x14ac:dyDescent="0.3">
      <c r="C45" s="834" t="s">
        <v>249</v>
      </c>
      <c r="D45" s="794"/>
      <c r="E45" s="794"/>
      <c r="F45" s="794"/>
      <c r="G45" s="794"/>
      <c r="H45" s="794"/>
      <c r="I45" s="794"/>
      <c r="J45" s="794"/>
      <c r="K45" s="794"/>
      <c r="L45" s="780"/>
      <c r="M45" s="99">
        <f>1.95996+2.37356/M44+2.818745/M44^2+2.546662/M44^3+1.761829/M44^4+0.245458/M44^5+1.000764/M44^6</f>
        <v>1.9908144595293376</v>
      </c>
      <c r="N45" s="101">
        <v>2</v>
      </c>
      <c r="O45" s="93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342"/>
      <c r="AB45" s="66" t="s">
        <v>640</v>
      </c>
      <c r="AC45" s="342">
        <v>100000</v>
      </c>
      <c r="AD45" s="1" t="s">
        <v>39</v>
      </c>
      <c r="AE45" s="363">
        <v>1</v>
      </c>
      <c r="AF45" s="343">
        <v>-5.0000000000000001E-4</v>
      </c>
      <c r="AG45" s="77">
        <v>5.4000000000000001E-4</v>
      </c>
      <c r="AH45" s="77">
        <v>0</v>
      </c>
      <c r="AI45" s="89">
        <v>-2.0000000000000001E-4</v>
      </c>
      <c r="AJ45" s="624">
        <v>1.1999999999999999E-3</v>
      </c>
      <c r="AK45" s="1"/>
      <c r="AL45" s="1"/>
      <c r="AM45" s="1"/>
      <c r="AN45" s="1"/>
      <c r="AO45" s="1"/>
      <c r="AP45" s="1"/>
    </row>
    <row r="46" spans="3:42" ht="12.75" customHeight="1" x14ac:dyDescent="0.3">
      <c r="C46" s="834" t="s">
        <v>107</v>
      </c>
      <c r="D46" s="794"/>
      <c r="E46" s="794"/>
      <c r="F46" s="794"/>
      <c r="G46" s="794"/>
      <c r="H46" s="794"/>
      <c r="I46" s="794"/>
      <c r="J46" s="794"/>
      <c r="K46" s="794"/>
      <c r="L46" s="780"/>
      <c r="M46" s="99">
        <f>M45*M43</f>
        <v>6.4829134090332308E-2</v>
      </c>
      <c r="N46" s="101">
        <f>N45*M43</f>
        <v>6.512825319307658E-2</v>
      </c>
      <c r="O46" s="93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346">
        <v>32.999899999999997</v>
      </c>
      <c r="AB46" s="66" t="s">
        <v>641</v>
      </c>
      <c r="AC46" s="346">
        <v>40</v>
      </c>
      <c r="AD46" s="347" t="s">
        <v>39</v>
      </c>
      <c r="AE46" s="349">
        <v>10</v>
      </c>
      <c r="AF46" s="350">
        <v>-1.1000000000000001E-3</v>
      </c>
      <c r="AG46" s="350">
        <v>-8.9999999999999998E-4</v>
      </c>
      <c r="AH46" s="68">
        <v>-5.0000000000000001E-4</v>
      </c>
      <c r="AI46" s="350">
        <v>5.9999999999999995E-4</v>
      </c>
      <c r="AJ46" s="1">
        <v>1.8E-3</v>
      </c>
      <c r="AK46" s="1"/>
      <c r="AL46" s="1"/>
      <c r="AM46" s="1"/>
      <c r="AN46" s="1"/>
      <c r="AO46" s="1"/>
      <c r="AP46" s="1"/>
    </row>
    <row r="47" spans="3:42" ht="12.75" customHeight="1" x14ac:dyDescent="0.3"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338"/>
      <c r="AB47" s="1" t="s">
        <v>641</v>
      </c>
      <c r="AC47" s="353">
        <v>50</v>
      </c>
      <c r="AD47" s="243" t="s">
        <v>39</v>
      </c>
      <c r="AE47" s="355">
        <v>3.3</v>
      </c>
      <c r="AF47" s="356">
        <v>-1.48E-3</v>
      </c>
      <c r="AG47" s="355">
        <v>-1.6000000000000001E-3</v>
      </c>
      <c r="AH47" s="355" t="s">
        <v>637</v>
      </c>
      <c r="AI47" s="654" t="s">
        <v>637</v>
      </c>
      <c r="AJ47" s="1">
        <v>9.7999999999999997E-4</v>
      </c>
      <c r="AK47" s="1"/>
      <c r="AL47" s="1"/>
      <c r="AM47" s="1"/>
      <c r="AN47" s="1"/>
      <c r="AO47" s="1"/>
      <c r="AP47" s="1"/>
    </row>
    <row r="48" spans="3:42" ht="12.75" customHeight="1" x14ac:dyDescent="0.3">
      <c r="C48" s="71" t="s">
        <v>76</v>
      </c>
      <c r="D48" s="1"/>
      <c r="E48" s="1"/>
      <c r="F48" s="1">
        <f t="shared" ref="F48:G48" si="15">C$2</f>
        <v>50</v>
      </c>
      <c r="G48" s="103" t="str">
        <f t="shared" si="15"/>
        <v>Hz</v>
      </c>
      <c r="H48" s="4">
        <f t="shared" ref="H48:I48" si="16">C$3</f>
        <v>50</v>
      </c>
      <c r="I48" s="4" t="str">
        <f t="shared" si="16"/>
        <v>Hz</v>
      </c>
      <c r="J48" s="12"/>
      <c r="K48" s="12"/>
      <c r="L48" s="12"/>
      <c r="M48" s="12"/>
      <c r="N48" s="12"/>
      <c r="O48" s="287" t="str">
        <f>O$34</f>
        <v>AC Voltage-Measure</v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338"/>
      <c r="AB48" s="66" t="s">
        <v>641</v>
      </c>
      <c r="AC48" s="353">
        <v>50</v>
      </c>
      <c r="AD48" s="243" t="s">
        <v>39</v>
      </c>
      <c r="AE48" s="355">
        <v>10</v>
      </c>
      <c r="AF48" s="356">
        <v>-1.1000000000000001E-3</v>
      </c>
      <c r="AG48" s="350">
        <v>-8.9999999999999998E-4</v>
      </c>
      <c r="AH48" s="385">
        <v>-5.0000000000000001E-4</v>
      </c>
      <c r="AI48" s="410">
        <v>5.9999999999999995E-4</v>
      </c>
      <c r="AJ48" s="1">
        <v>1.8E-3</v>
      </c>
      <c r="AK48" s="1"/>
      <c r="AL48" s="1"/>
      <c r="AM48" s="1"/>
      <c r="AN48" s="1"/>
      <c r="AO48" s="1"/>
      <c r="AP48" s="1"/>
    </row>
    <row r="49" spans="3:48" ht="12.75" customHeight="1" x14ac:dyDescent="0.3">
      <c r="C49" s="84" t="s">
        <v>2</v>
      </c>
      <c r="D49" s="85"/>
      <c r="E49" s="85"/>
      <c r="F49" s="6">
        <f t="shared" ref="F49:G49" si="17">E3</f>
        <v>300</v>
      </c>
      <c r="G49" s="80" t="str">
        <f t="shared" si="17"/>
        <v>mV</v>
      </c>
      <c r="H49" s="1"/>
      <c r="I49" s="1"/>
      <c r="J49" s="90">
        <v>0.1</v>
      </c>
      <c r="K49" s="90"/>
      <c r="L49" s="90"/>
      <c r="M49" s="90"/>
      <c r="N49" s="90"/>
      <c r="O49" s="76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338"/>
      <c r="AB49" s="1" t="s">
        <v>641</v>
      </c>
      <c r="AC49" s="353">
        <v>50</v>
      </c>
      <c r="AD49" s="243" t="s">
        <v>39</v>
      </c>
      <c r="AE49" s="355">
        <v>32</v>
      </c>
      <c r="AF49" s="356">
        <v>0</v>
      </c>
      <c r="AG49" s="356" t="s">
        <v>637</v>
      </c>
      <c r="AH49" s="356" t="s">
        <v>637</v>
      </c>
      <c r="AI49" s="354" t="s">
        <v>637</v>
      </c>
      <c r="AJ49" s="1">
        <v>9.7000000000000003E-3</v>
      </c>
      <c r="AK49" s="1"/>
      <c r="AL49" s="1"/>
      <c r="AM49" s="1"/>
      <c r="AN49" s="1"/>
      <c r="AO49" s="1"/>
      <c r="AP49" s="1" t="s">
        <v>655</v>
      </c>
      <c r="AQ49" s="1" t="s">
        <v>656</v>
      </c>
      <c r="AR49" s="1" t="s">
        <v>658</v>
      </c>
      <c r="AS49" s="1" t="s">
        <v>659</v>
      </c>
      <c r="AT49" s="1" t="s">
        <v>657</v>
      </c>
      <c r="AU49" s="1" t="s">
        <v>660</v>
      </c>
      <c r="AV49" s="1" t="s">
        <v>661</v>
      </c>
    </row>
    <row r="50" spans="3:48" ht="12.75" customHeight="1" x14ac:dyDescent="0.3">
      <c r="C50" s="91" t="s">
        <v>78</v>
      </c>
      <c r="D50" s="91" t="s">
        <v>79</v>
      </c>
      <c r="E50" s="91" t="s">
        <v>10</v>
      </c>
      <c r="F50" s="91" t="s">
        <v>80</v>
      </c>
      <c r="G50" s="91" t="s">
        <v>81</v>
      </c>
      <c r="H50" s="92" t="s">
        <v>82</v>
      </c>
      <c r="I50" s="91" t="s">
        <v>83</v>
      </c>
      <c r="J50" s="91" t="s">
        <v>84</v>
      </c>
      <c r="K50" s="91" t="s">
        <v>85</v>
      </c>
      <c r="L50" s="91" t="s">
        <v>86</v>
      </c>
      <c r="M50" s="91" t="s">
        <v>87</v>
      </c>
      <c r="N50" s="91" t="s">
        <v>250</v>
      </c>
      <c r="O50" s="91" t="s">
        <v>251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338"/>
      <c r="AB50" s="66" t="s">
        <v>641</v>
      </c>
      <c r="AC50" s="353">
        <v>1000</v>
      </c>
      <c r="AD50" s="243" t="s">
        <v>39</v>
      </c>
      <c r="AE50" s="355">
        <v>10</v>
      </c>
      <c r="AF50" s="356">
        <v>-1.9E-3</v>
      </c>
      <c r="AG50" s="355">
        <v>-1.5499999999999999E-3</v>
      </c>
      <c r="AH50" s="356">
        <v>-1.1999999999999999E-3</v>
      </c>
      <c r="AI50" s="354">
        <v>-1E-4</v>
      </c>
      <c r="AJ50" s="1">
        <v>1.2999999999999999E-3</v>
      </c>
      <c r="AK50" s="1"/>
      <c r="AL50" s="1"/>
      <c r="AM50" s="1"/>
      <c r="AN50" s="1"/>
      <c r="AO50" s="1"/>
      <c r="AP50" s="419">
        <v>45</v>
      </c>
      <c r="AQ50" s="564" t="s">
        <v>39</v>
      </c>
      <c r="AR50" s="655">
        <v>1000</v>
      </c>
      <c r="AS50" s="420">
        <v>0.02</v>
      </c>
      <c r="AT50" s="655">
        <v>0</v>
      </c>
      <c r="AU50" s="655">
        <v>-0.02</v>
      </c>
      <c r="AV50" s="656">
        <v>0.06</v>
      </c>
    </row>
    <row r="51" spans="3:48" ht="12.75" customHeight="1" x14ac:dyDescent="0.3">
      <c r="C51" s="93" t="s">
        <v>90</v>
      </c>
      <c r="D51" s="94" t="s">
        <v>252</v>
      </c>
      <c r="E51" s="94" t="s">
        <v>42</v>
      </c>
      <c r="F51" s="95" t="str">
        <f>G49</f>
        <v>mV</v>
      </c>
      <c r="G51" s="94" t="s">
        <v>631</v>
      </c>
      <c r="H51" s="94">
        <f>STDEV(Data!G54:N54)/SQRT(5)</f>
        <v>0</v>
      </c>
      <c r="I51" s="94">
        <v>1</v>
      </c>
      <c r="J51" s="94">
        <f>5-1</f>
        <v>4</v>
      </c>
      <c r="K51" s="94">
        <f t="shared" ref="K51:K54" si="18">(H51)/I51</f>
        <v>0</v>
      </c>
      <c r="L51" s="94">
        <v>1</v>
      </c>
      <c r="M51" s="94">
        <f t="shared" ref="M51:M54" si="19">K51*L51</f>
        <v>0</v>
      </c>
      <c r="N51" s="94">
        <f t="shared" ref="N51:N54" si="20">M51^2</f>
        <v>0</v>
      </c>
      <c r="O51" s="94">
        <f t="shared" ref="O51:O54" si="21">(M51^4)/J51</f>
        <v>0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338"/>
      <c r="AB51" s="1" t="s">
        <v>641</v>
      </c>
      <c r="AC51" s="353">
        <v>10000</v>
      </c>
      <c r="AD51" s="243" t="s">
        <v>39</v>
      </c>
      <c r="AE51" s="355">
        <v>10</v>
      </c>
      <c r="AF51" s="356">
        <v>-2.7000000000000001E-3</v>
      </c>
      <c r="AG51" s="355">
        <v>-2.9999999999999997E-4</v>
      </c>
      <c r="AH51" s="355">
        <v>-1.4E-3</v>
      </c>
      <c r="AI51" s="414">
        <v>-5.0000000000000001E-4</v>
      </c>
      <c r="AJ51" s="1">
        <v>1.6999999999999999E-3</v>
      </c>
      <c r="AK51" s="1"/>
      <c r="AL51" s="1"/>
      <c r="AM51" s="1"/>
      <c r="AN51" s="1"/>
      <c r="AO51" s="1"/>
      <c r="AP51" s="353">
        <v>50</v>
      </c>
      <c r="AQ51" s="564" t="s">
        <v>39</v>
      </c>
      <c r="AR51" s="382">
        <v>330</v>
      </c>
      <c r="AS51" s="382">
        <v>-0.05</v>
      </c>
      <c r="AT51" s="385" t="s">
        <v>637</v>
      </c>
      <c r="AU51" s="385" t="s">
        <v>637</v>
      </c>
      <c r="AV51" s="410" t="s">
        <v>637</v>
      </c>
    </row>
    <row r="52" spans="3:48" ht="12.75" customHeight="1" x14ac:dyDescent="0.3">
      <c r="C52" s="93" t="s">
        <v>93</v>
      </c>
      <c r="D52" s="94" t="s">
        <v>253</v>
      </c>
      <c r="E52" s="94" t="s">
        <v>95</v>
      </c>
      <c r="F52" s="95" t="str">
        <f>F51</f>
        <v>mV</v>
      </c>
      <c r="G52" s="94" t="s">
        <v>96</v>
      </c>
      <c r="H52" s="94">
        <f>J49/2</f>
        <v>0.05</v>
      </c>
      <c r="I52" s="94">
        <f>SQRT(3)</f>
        <v>1.7320508075688772</v>
      </c>
      <c r="J52" s="94">
        <v>50</v>
      </c>
      <c r="K52" s="94">
        <f t="shared" si="18"/>
        <v>2.8867513459481291E-2</v>
      </c>
      <c r="L52" s="94">
        <v>1</v>
      </c>
      <c r="M52" s="94">
        <f t="shared" si="19"/>
        <v>2.8867513459481291E-2</v>
      </c>
      <c r="N52" s="94">
        <f t="shared" si="20"/>
        <v>8.333333333333335E-4</v>
      </c>
      <c r="O52" s="94">
        <f t="shared" si="21"/>
        <v>1.3888888888888894E-8</v>
      </c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338"/>
      <c r="AB52" s="66" t="s">
        <v>641</v>
      </c>
      <c r="AC52" s="353">
        <v>20000</v>
      </c>
      <c r="AD52" s="243" t="s">
        <v>39</v>
      </c>
      <c r="AE52" s="382">
        <v>10</v>
      </c>
      <c r="AF52" s="356">
        <v>-3.3999999999999998E-3</v>
      </c>
      <c r="AG52" s="356">
        <v>3.0000000000000001E-3</v>
      </c>
      <c r="AH52" s="356">
        <v>-1E-3</v>
      </c>
      <c r="AI52" s="354">
        <v>-5.0000000000000001E-4</v>
      </c>
      <c r="AJ52" s="1">
        <v>3.8999999999999998E-3</v>
      </c>
      <c r="AK52" s="1"/>
      <c r="AL52" s="1"/>
      <c r="AM52" s="1"/>
      <c r="AN52" s="1"/>
      <c r="AO52" s="1"/>
      <c r="AP52" s="353">
        <v>50</v>
      </c>
      <c r="AQ52" s="564" t="s">
        <v>39</v>
      </c>
      <c r="AR52" s="381">
        <v>1000</v>
      </c>
      <c r="AS52" s="356">
        <v>0.01</v>
      </c>
      <c r="AT52" s="385" t="s">
        <v>637</v>
      </c>
      <c r="AU52" s="385" t="s">
        <v>637</v>
      </c>
      <c r="AV52" s="410" t="s">
        <v>637</v>
      </c>
    </row>
    <row r="53" spans="3:48" ht="12.75" customHeight="1" x14ac:dyDescent="0.3">
      <c r="C53" s="93" t="s">
        <v>97</v>
      </c>
      <c r="D53" s="94" t="s">
        <v>254</v>
      </c>
      <c r="E53" s="94" t="s">
        <v>95</v>
      </c>
      <c r="F53" s="95" t="str">
        <f>F51</f>
        <v>mV</v>
      </c>
      <c r="G53" s="94" t="s">
        <v>92</v>
      </c>
      <c r="H53" s="96">
        <f>Y26</f>
        <v>6.2E-2</v>
      </c>
      <c r="I53" s="94">
        <v>2</v>
      </c>
      <c r="J53" s="94">
        <v>60</v>
      </c>
      <c r="K53" s="94">
        <f t="shared" si="18"/>
        <v>3.1E-2</v>
      </c>
      <c r="L53" s="94">
        <v>1</v>
      </c>
      <c r="M53" s="94">
        <f t="shared" si="19"/>
        <v>3.1E-2</v>
      </c>
      <c r="N53" s="94">
        <f t="shared" si="20"/>
        <v>9.6099999999999994E-4</v>
      </c>
      <c r="O53" s="94">
        <f t="shared" si="21"/>
        <v>1.5392016666666663E-8</v>
      </c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338"/>
      <c r="AB53" s="1" t="s">
        <v>641</v>
      </c>
      <c r="AC53" s="353">
        <v>50000</v>
      </c>
      <c r="AD53" s="243" t="s">
        <v>39</v>
      </c>
      <c r="AE53" s="382">
        <v>10</v>
      </c>
      <c r="AF53" s="356">
        <v>-6.0000000000000001E-3</v>
      </c>
      <c r="AG53" s="356">
        <v>7.4000000000000003E-3</v>
      </c>
      <c r="AH53" s="356">
        <v>-2E-3</v>
      </c>
      <c r="AI53" s="354">
        <v>-2E-3</v>
      </c>
      <c r="AJ53" s="1">
        <v>1.2E-2</v>
      </c>
      <c r="AK53" s="1"/>
      <c r="AL53" s="1"/>
      <c r="AM53" s="1"/>
      <c r="AN53" s="1"/>
      <c r="AO53" s="1"/>
      <c r="AP53" s="353">
        <f>1*1000</f>
        <v>1000</v>
      </c>
      <c r="AQ53" s="420" t="s">
        <v>39</v>
      </c>
      <c r="AR53" s="381">
        <v>1000</v>
      </c>
      <c r="AS53" s="356">
        <v>-0.02</v>
      </c>
      <c r="AT53" s="381">
        <v>0</v>
      </c>
      <c r="AU53" s="381">
        <v>0.01</v>
      </c>
      <c r="AV53" s="417">
        <v>0.02</v>
      </c>
    </row>
    <row r="54" spans="3:48" ht="12.75" customHeight="1" x14ac:dyDescent="0.3">
      <c r="C54" s="93" t="s">
        <v>99</v>
      </c>
      <c r="D54" s="94" t="s">
        <v>255</v>
      </c>
      <c r="E54" s="94" t="s">
        <v>95</v>
      </c>
      <c r="F54" s="95" t="str">
        <f>F51</f>
        <v>mV</v>
      </c>
      <c r="G54" s="94" t="s">
        <v>96</v>
      </c>
      <c r="H54" s="94">
        <f>X26</f>
        <v>2.5341977061064395E-2</v>
      </c>
      <c r="I54" s="94">
        <f>SQRT(3)</f>
        <v>1.7320508075688772</v>
      </c>
      <c r="J54" s="94">
        <v>50</v>
      </c>
      <c r="K54" s="94">
        <f t="shared" si="18"/>
        <v>1.463119727800285E-2</v>
      </c>
      <c r="L54" s="94">
        <v>1</v>
      </c>
      <c r="M54" s="94">
        <f t="shared" si="19"/>
        <v>1.463119727800285E-2</v>
      </c>
      <c r="N54" s="94">
        <f t="shared" si="20"/>
        <v>2.1407193378783802E-4</v>
      </c>
      <c r="O54" s="94">
        <f t="shared" si="21"/>
        <v>9.1653585671329005E-10</v>
      </c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342"/>
      <c r="AB54" s="66" t="s">
        <v>641</v>
      </c>
      <c r="AC54" s="386">
        <v>100000</v>
      </c>
      <c r="AD54" s="243" t="s">
        <v>39</v>
      </c>
      <c r="AE54" s="379">
        <v>10</v>
      </c>
      <c r="AF54" s="380">
        <v>-3.0000000000000001E-3</v>
      </c>
      <c r="AG54" s="649">
        <v>1.1599999999999999E-2</v>
      </c>
      <c r="AH54" s="649">
        <v>1E-3</v>
      </c>
      <c r="AI54" s="651">
        <v>1E-3</v>
      </c>
      <c r="AJ54" s="1">
        <v>1.2E-2</v>
      </c>
      <c r="AK54" s="1"/>
      <c r="AL54" s="1"/>
      <c r="AM54" s="1"/>
      <c r="AN54" s="1"/>
      <c r="AO54" s="1"/>
      <c r="AP54" s="1"/>
    </row>
    <row r="55" spans="3:48" ht="12.75" customHeight="1" x14ac:dyDescent="0.3">
      <c r="C55" s="98"/>
      <c r="D55" s="98"/>
      <c r="E55" s="98"/>
      <c r="F55" s="93"/>
      <c r="G55" s="93"/>
      <c r="H55" s="93"/>
      <c r="I55" s="93"/>
      <c r="J55" s="93"/>
      <c r="K55" s="93"/>
      <c r="L55" s="93"/>
      <c r="M55" s="93"/>
      <c r="N55" s="93"/>
      <c r="O55" s="93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346">
        <v>329.99900000000002</v>
      </c>
      <c r="AB55" s="172" t="s">
        <v>642</v>
      </c>
      <c r="AC55" s="388">
        <v>45</v>
      </c>
      <c r="AD55" s="333" t="s">
        <v>39</v>
      </c>
      <c r="AE55" s="391">
        <v>100</v>
      </c>
      <c r="AF55" s="389">
        <v>-1.4999999999999999E-2</v>
      </c>
      <c r="AG55" s="389">
        <v>-1.4999999999999999E-2</v>
      </c>
      <c r="AH55" s="652">
        <v>-1.2999999999999999E-2</v>
      </c>
      <c r="AI55" s="415">
        <v>1E-3</v>
      </c>
      <c r="AJ55" s="1">
        <v>1.7999999999999999E-2</v>
      </c>
      <c r="AK55" s="1"/>
      <c r="AL55" s="1"/>
      <c r="AM55" s="1"/>
      <c r="AN55" s="1"/>
      <c r="AO55" s="1"/>
      <c r="AP55" s="1"/>
    </row>
    <row r="56" spans="3:48" ht="12.75" customHeight="1" x14ac:dyDescent="0.3">
      <c r="C56" s="834" t="s">
        <v>103</v>
      </c>
      <c r="D56" s="794"/>
      <c r="E56" s="794"/>
      <c r="F56" s="794"/>
      <c r="G56" s="794"/>
      <c r="H56" s="794"/>
      <c r="I56" s="794"/>
      <c r="J56" s="794"/>
      <c r="K56" s="794"/>
      <c r="L56" s="780"/>
      <c r="M56" s="835">
        <f>SUM(N51:N55)</f>
        <v>2.0084052671211715E-3</v>
      </c>
      <c r="N56" s="780"/>
      <c r="O56" s="93">
        <f>SUM(O51:O55)</f>
        <v>3.0197441412268849E-8</v>
      </c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338"/>
      <c r="AB56" s="1" t="s">
        <v>642</v>
      </c>
      <c r="AC56" s="353">
        <v>50</v>
      </c>
      <c r="AD56" s="243" t="s">
        <v>39</v>
      </c>
      <c r="AE56" s="382">
        <v>33</v>
      </c>
      <c r="AF56" s="356">
        <v>-1.67E-2</v>
      </c>
      <c r="AG56" s="382">
        <v>-1.6E-2</v>
      </c>
      <c r="AH56" s="382" t="s">
        <v>637</v>
      </c>
      <c r="AI56" s="416" t="s">
        <v>637</v>
      </c>
      <c r="AJ56" s="1">
        <v>9.7999999999999997E-3</v>
      </c>
      <c r="AK56" s="1"/>
      <c r="AL56" s="1"/>
      <c r="AM56" s="1"/>
      <c r="AN56" s="1"/>
      <c r="AO56" s="1"/>
      <c r="AP56" s="1"/>
    </row>
    <row r="57" spans="3:48" ht="12.75" customHeight="1" x14ac:dyDescent="0.3">
      <c r="C57" s="834" t="s">
        <v>104</v>
      </c>
      <c r="D57" s="794"/>
      <c r="E57" s="794"/>
      <c r="F57" s="794"/>
      <c r="G57" s="794"/>
      <c r="H57" s="794"/>
      <c r="I57" s="794"/>
      <c r="J57" s="794"/>
      <c r="K57" s="794"/>
      <c r="L57" s="780"/>
      <c r="M57" s="835">
        <f>SQRT(M56)</f>
        <v>4.4815234765882589E-2</v>
      </c>
      <c r="N57" s="780"/>
      <c r="O57" s="93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338"/>
      <c r="AB57" s="172" t="s">
        <v>642</v>
      </c>
      <c r="AC57" s="353">
        <v>50</v>
      </c>
      <c r="AD57" s="243" t="s">
        <v>39</v>
      </c>
      <c r="AE57" s="382">
        <v>100</v>
      </c>
      <c r="AF57" s="356">
        <v>-1.4999999999999999E-2</v>
      </c>
      <c r="AG57" s="389">
        <v>-1.4999999999999999E-2</v>
      </c>
      <c r="AH57" s="385">
        <v>-1.2999999999999999E-2</v>
      </c>
      <c r="AI57" s="354">
        <v>1E-3</v>
      </c>
      <c r="AJ57" s="1">
        <v>1.7999999999999999E-2</v>
      </c>
      <c r="AK57" s="1"/>
      <c r="AL57" s="1"/>
      <c r="AM57" s="1"/>
      <c r="AN57" s="1"/>
      <c r="AO57" s="1"/>
      <c r="AP57" s="1"/>
    </row>
    <row r="58" spans="3:48" ht="12.75" customHeight="1" x14ac:dyDescent="0.3">
      <c r="C58" s="834" t="s">
        <v>256</v>
      </c>
      <c r="D58" s="794"/>
      <c r="E58" s="794"/>
      <c r="F58" s="794"/>
      <c r="G58" s="794"/>
      <c r="H58" s="794"/>
      <c r="I58" s="794"/>
      <c r="J58" s="794"/>
      <c r="K58" s="794"/>
      <c r="L58" s="780"/>
      <c r="M58" s="99">
        <f>(M57^4)/O56</f>
        <v>133.57726775359271</v>
      </c>
      <c r="N58" s="101"/>
      <c r="O58" s="93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338"/>
      <c r="AB58" s="1" t="s">
        <v>642</v>
      </c>
      <c r="AC58" s="353">
        <v>50</v>
      </c>
      <c r="AD58" s="243" t="s">
        <v>39</v>
      </c>
      <c r="AE58" s="382">
        <v>296.99900000000002</v>
      </c>
      <c r="AF58" s="356" t="s">
        <v>637</v>
      </c>
      <c r="AG58" s="382">
        <v>2E-3</v>
      </c>
      <c r="AH58" s="382" t="s">
        <v>637</v>
      </c>
      <c r="AI58" s="416" t="s">
        <v>637</v>
      </c>
      <c r="AJ58" s="1" t="s">
        <v>637</v>
      </c>
      <c r="AK58" s="1"/>
      <c r="AL58" s="1"/>
      <c r="AM58" s="1"/>
      <c r="AN58" s="1"/>
      <c r="AO58" s="1"/>
      <c r="AP58" s="1"/>
    </row>
    <row r="59" spans="3:48" ht="12.75" customHeight="1" x14ac:dyDescent="0.3">
      <c r="C59" s="834" t="s">
        <v>257</v>
      </c>
      <c r="D59" s="794"/>
      <c r="E59" s="794"/>
      <c r="F59" s="794"/>
      <c r="G59" s="794"/>
      <c r="H59" s="794"/>
      <c r="I59" s="794"/>
      <c r="J59" s="794"/>
      <c r="K59" s="794"/>
      <c r="L59" s="780"/>
      <c r="M59" s="99">
        <f>1.95996+2.37356/M58+2.818745/M58^2+2.546662/M58^3+1.761829/M58^4+0.245458/M58^5+1.000764/M58^6</f>
        <v>1.977888240998998</v>
      </c>
      <c r="N59" s="101">
        <v>2</v>
      </c>
      <c r="O59" s="93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338"/>
      <c r="AB59" s="172" t="s">
        <v>642</v>
      </c>
      <c r="AC59" s="353">
        <v>50</v>
      </c>
      <c r="AD59" s="243" t="s">
        <v>39</v>
      </c>
      <c r="AE59" s="382">
        <v>320</v>
      </c>
      <c r="AF59" s="356">
        <v>0</v>
      </c>
      <c r="AG59" s="382" t="s">
        <v>637</v>
      </c>
      <c r="AH59" s="382" t="s">
        <v>637</v>
      </c>
      <c r="AI59" s="416" t="s">
        <v>637</v>
      </c>
      <c r="AJ59" s="1">
        <v>0.09</v>
      </c>
      <c r="AK59" s="1"/>
      <c r="AL59" s="1"/>
      <c r="AM59" s="1"/>
      <c r="AN59" s="1"/>
      <c r="AO59" s="1"/>
      <c r="AP59" s="1"/>
    </row>
    <row r="60" spans="3:48" ht="12.75" customHeight="1" x14ac:dyDescent="0.3">
      <c r="C60" s="834" t="s">
        <v>107</v>
      </c>
      <c r="D60" s="794"/>
      <c r="E60" s="794"/>
      <c r="F60" s="794"/>
      <c r="G60" s="794"/>
      <c r="H60" s="794"/>
      <c r="I60" s="794"/>
      <c r="J60" s="794"/>
      <c r="K60" s="794"/>
      <c r="L60" s="780"/>
      <c r="M60" s="99">
        <f>M59*M57</f>
        <v>8.863952586104866E-2</v>
      </c>
      <c r="N60" s="101">
        <f>N59*M57</f>
        <v>8.9630469531765178E-2</v>
      </c>
      <c r="O60" s="93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338"/>
      <c r="AB60" s="1" t="s">
        <v>642</v>
      </c>
      <c r="AC60" s="353">
        <v>1000</v>
      </c>
      <c r="AD60" s="243" t="s">
        <v>39</v>
      </c>
      <c r="AE60" s="382">
        <v>100</v>
      </c>
      <c r="AF60" s="356">
        <v>-2.1999999999999999E-2</v>
      </c>
      <c r="AG60" s="382">
        <v>-2.1999999999999999E-2</v>
      </c>
      <c r="AH60" s="382">
        <v>-1.4999999999999999E-2</v>
      </c>
      <c r="AI60" s="416">
        <v>-8.9999999999999993E-3</v>
      </c>
      <c r="AJ60" s="1">
        <v>1.2999999999999999E-2</v>
      </c>
      <c r="AK60" s="1"/>
      <c r="AL60" s="1"/>
      <c r="AM60" s="1"/>
      <c r="AN60" s="1"/>
      <c r="AO60" s="1"/>
      <c r="AP60" s="1"/>
    </row>
    <row r="61" spans="3:48" ht="12.75" customHeight="1" x14ac:dyDescent="0.3"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338"/>
      <c r="AB61" s="172" t="s">
        <v>642</v>
      </c>
      <c r="AC61" s="353">
        <v>10000</v>
      </c>
      <c r="AD61" s="243" t="s">
        <v>39</v>
      </c>
      <c r="AE61" s="356">
        <v>100</v>
      </c>
      <c r="AF61" s="385">
        <v>-3.5000000000000003E-2</v>
      </c>
      <c r="AG61" s="356">
        <v>-2.1999999999999999E-2</v>
      </c>
      <c r="AH61" s="385">
        <v>-2.1999999999999999E-2</v>
      </c>
      <c r="AI61" s="410">
        <v>-1.4999999999999999E-2</v>
      </c>
      <c r="AJ61" s="1">
        <v>1.7000000000000001E-2</v>
      </c>
      <c r="AK61" s="1"/>
      <c r="AL61" s="1"/>
      <c r="AM61" s="1"/>
      <c r="AN61" s="1"/>
      <c r="AO61" s="1"/>
      <c r="AP61" s="1"/>
    </row>
    <row r="62" spans="3:48" ht="12.75" customHeight="1" x14ac:dyDescent="0.3">
      <c r="C62" s="71" t="s">
        <v>76</v>
      </c>
      <c r="D62" s="1"/>
      <c r="E62" s="1"/>
      <c r="F62" s="1">
        <f t="shared" ref="F62:G62" si="22">C$2</f>
        <v>50</v>
      </c>
      <c r="G62" s="103" t="str">
        <f t="shared" si="22"/>
        <v>Hz</v>
      </c>
      <c r="H62" s="4">
        <f t="shared" ref="H62:I62" si="23">C$3</f>
        <v>50</v>
      </c>
      <c r="I62" s="4" t="str">
        <f t="shared" si="23"/>
        <v>Hz</v>
      </c>
      <c r="J62" s="12"/>
      <c r="K62" s="12"/>
      <c r="L62" s="12"/>
      <c r="M62" s="12"/>
      <c r="N62" s="12"/>
      <c r="O62" s="287" t="str">
        <f>O$34</f>
        <v>AC Voltage-Measure</v>
      </c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412"/>
      <c r="AB62" s="1" t="s">
        <v>642</v>
      </c>
      <c r="AC62" s="390">
        <v>20000</v>
      </c>
      <c r="AD62" s="243" t="s">
        <v>39</v>
      </c>
      <c r="AE62" s="372">
        <v>100</v>
      </c>
      <c r="AF62" s="372">
        <v>-3.2000000000000001E-2</v>
      </c>
      <c r="AG62" s="624">
        <v>1.4999999999999999E-2</v>
      </c>
      <c r="AH62" s="624">
        <v>-0.01</v>
      </c>
      <c r="AI62" s="635">
        <v>-8.9999999999999993E-3</v>
      </c>
      <c r="AJ62" s="1">
        <v>0.04</v>
      </c>
      <c r="AK62" s="1"/>
      <c r="AL62" s="1"/>
      <c r="AM62" s="1"/>
      <c r="AN62" s="1"/>
      <c r="AO62" s="1"/>
      <c r="AP62" s="1"/>
    </row>
    <row r="63" spans="3:48" ht="12.75" customHeight="1" x14ac:dyDescent="0.3">
      <c r="C63" s="84" t="s">
        <v>2</v>
      </c>
      <c r="D63" s="85"/>
      <c r="E63" s="85"/>
      <c r="F63" s="86">
        <f t="shared" ref="F63:G63" si="24">E4</f>
        <v>0.54</v>
      </c>
      <c r="G63" s="2" t="str">
        <f t="shared" si="24"/>
        <v>V1</v>
      </c>
      <c r="H63" s="1"/>
      <c r="I63" s="1"/>
      <c r="J63" s="90">
        <v>0.1</v>
      </c>
      <c r="K63" s="90"/>
      <c r="L63" s="90"/>
      <c r="M63" s="90"/>
      <c r="N63" s="90"/>
      <c r="O63" s="76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413">
        <v>1020</v>
      </c>
      <c r="AB63" s="634" t="s">
        <v>643</v>
      </c>
      <c r="AC63" s="419">
        <v>45</v>
      </c>
      <c r="AD63" s="564" t="s">
        <v>39</v>
      </c>
      <c r="AE63" s="421">
        <v>1000</v>
      </c>
      <c r="AF63" s="421">
        <v>0.02</v>
      </c>
      <c r="AG63" s="650">
        <v>0</v>
      </c>
      <c r="AH63" s="650">
        <v>-0.02</v>
      </c>
      <c r="AI63" s="653">
        <v>0.06</v>
      </c>
      <c r="AJ63" s="1">
        <v>0.17</v>
      </c>
      <c r="AK63" s="1"/>
      <c r="AL63" s="1"/>
      <c r="AM63" s="1"/>
      <c r="AN63" s="1"/>
      <c r="AO63" s="1"/>
      <c r="AP63" s="1"/>
    </row>
    <row r="64" spans="3:48" ht="12.75" customHeight="1" x14ac:dyDescent="0.3">
      <c r="C64" s="91" t="s">
        <v>78</v>
      </c>
      <c r="D64" s="91" t="s">
        <v>79</v>
      </c>
      <c r="E64" s="91" t="s">
        <v>10</v>
      </c>
      <c r="F64" s="91" t="s">
        <v>80</v>
      </c>
      <c r="G64" s="91" t="s">
        <v>81</v>
      </c>
      <c r="H64" s="92" t="s">
        <v>82</v>
      </c>
      <c r="I64" s="91" t="s">
        <v>83</v>
      </c>
      <c r="J64" s="91" t="s">
        <v>84</v>
      </c>
      <c r="K64" s="91" t="s">
        <v>85</v>
      </c>
      <c r="L64" s="91" t="s">
        <v>86</v>
      </c>
      <c r="M64" s="91" t="s">
        <v>87</v>
      </c>
      <c r="N64" s="91" t="s">
        <v>258</v>
      </c>
      <c r="O64" s="91" t="s">
        <v>259</v>
      </c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338"/>
      <c r="AB64" s="1" t="s">
        <v>643</v>
      </c>
      <c r="AC64" s="353">
        <v>50</v>
      </c>
      <c r="AD64" s="564" t="s">
        <v>39</v>
      </c>
      <c r="AE64" s="381">
        <v>330</v>
      </c>
      <c r="AF64" s="356">
        <v>-0.05</v>
      </c>
      <c r="AG64" s="381" t="s">
        <v>637</v>
      </c>
      <c r="AH64" s="381" t="s">
        <v>637</v>
      </c>
      <c r="AI64" s="417" t="s">
        <v>637</v>
      </c>
      <c r="AJ64" s="1">
        <v>0.09</v>
      </c>
      <c r="AK64" s="1"/>
      <c r="AL64" s="1"/>
      <c r="AM64" s="1"/>
      <c r="AN64" s="1"/>
      <c r="AO64" s="1"/>
      <c r="AP64" s="1"/>
    </row>
    <row r="65" spans="3:42" ht="12.75" customHeight="1" x14ac:dyDescent="0.3">
      <c r="C65" s="93" t="s">
        <v>90</v>
      </c>
      <c r="D65" s="94" t="s">
        <v>260</v>
      </c>
      <c r="E65" s="94" t="s">
        <v>42</v>
      </c>
      <c r="F65" s="95" t="str">
        <f>G62</f>
        <v>Hz</v>
      </c>
      <c r="G65" s="94" t="s">
        <v>631</v>
      </c>
      <c r="H65" s="94">
        <f>STDEV(Data!E55:N55)/SQRT(5)</f>
        <v>7.0710678118654752E-2</v>
      </c>
      <c r="I65" s="94">
        <v>1</v>
      </c>
      <c r="J65" s="94">
        <f>5-1</f>
        <v>4</v>
      </c>
      <c r="K65" s="94">
        <f t="shared" ref="K65:K68" si="25">(H65)/I65</f>
        <v>7.0710678118654752E-2</v>
      </c>
      <c r="L65" s="94">
        <v>1</v>
      </c>
      <c r="M65" s="94">
        <f t="shared" ref="M65:M68" si="26">K65*L65</f>
        <v>7.0710678118654752E-2</v>
      </c>
      <c r="N65" s="94">
        <f t="shared" ref="N65:N68" si="27">M65^2</f>
        <v>5.0000000000000001E-3</v>
      </c>
      <c r="O65" s="94">
        <f t="shared" ref="O65:O68" si="28">(M65^4)/J65</f>
        <v>6.2500000000000003E-6</v>
      </c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338"/>
      <c r="AB65" s="634" t="s">
        <v>643</v>
      </c>
      <c r="AC65" s="353">
        <v>50</v>
      </c>
      <c r="AD65" s="564" t="s">
        <v>39</v>
      </c>
      <c r="AE65" s="381">
        <v>1000</v>
      </c>
      <c r="AF65" s="356">
        <v>0.01</v>
      </c>
      <c r="AG65" s="385">
        <v>0</v>
      </c>
      <c r="AH65" s="385">
        <v>-0.02</v>
      </c>
      <c r="AI65" s="410">
        <v>0.06</v>
      </c>
      <c r="AJ65" s="1">
        <v>0.17</v>
      </c>
      <c r="AK65" s="1"/>
      <c r="AL65" s="1"/>
      <c r="AM65" s="1"/>
      <c r="AN65" s="1"/>
      <c r="AO65" s="1"/>
      <c r="AP65" s="1"/>
    </row>
    <row r="66" spans="3:42" ht="12.75" customHeight="1" x14ac:dyDescent="0.3">
      <c r="C66" s="93" t="s">
        <v>93</v>
      </c>
      <c r="D66" s="94" t="s">
        <v>261</v>
      </c>
      <c r="E66" s="94" t="s">
        <v>95</v>
      </c>
      <c r="F66" s="95" t="str">
        <f>F65</f>
        <v>Hz</v>
      </c>
      <c r="G66" s="94" t="s">
        <v>96</v>
      </c>
      <c r="H66" s="94">
        <f>J63/2</f>
        <v>0.05</v>
      </c>
      <c r="I66" s="94">
        <f>SQRT(3)</f>
        <v>1.7320508075688772</v>
      </c>
      <c r="J66" s="94">
        <v>50</v>
      </c>
      <c r="K66" s="94">
        <f t="shared" si="25"/>
        <v>2.8867513459481291E-2</v>
      </c>
      <c r="L66" s="94">
        <v>1</v>
      </c>
      <c r="M66" s="94">
        <f t="shared" si="26"/>
        <v>2.8867513459481291E-2</v>
      </c>
      <c r="N66" s="94">
        <f t="shared" si="27"/>
        <v>8.333333333333335E-4</v>
      </c>
      <c r="O66" s="94">
        <f t="shared" si="28"/>
        <v>1.3888888888888894E-8</v>
      </c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412"/>
      <c r="AB66" s="635" t="s">
        <v>643</v>
      </c>
      <c r="AC66" s="390">
        <v>1000</v>
      </c>
      <c r="AD66" s="564" t="s">
        <v>39</v>
      </c>
      <c r="AE66" s="371">
        <v>1000</v>
      </c>
      <c r="AF66" s="368">
        <v>-0.02</v>
      </c>
      <c r="AG66" s="371">
        <v>0</v>
      </c>
      <c r="AH66" s="371">
        <v>0.01</v>
      </c>
      <c r="AI66" s="418">
        <v>0.02</v>
      </c>
      <c r="AJ66" s="1">
        <v>0.17</v>
      </c>
      <c r="AK66" s="1"/>
      <c r="AL66" s="1"/>
      <c r="AM66" s="1"/>
      <c r="AN66" s="1"/>
      <c r="AO66" s="1"/>
      <c r="AP66" s="1"/>
    </row>
    <row r="67" spans="3:42" ht="12.75" customHeight="1" x14ac:dyDescent="0.3">
      <c r="C67" s="93" t="s">
        <v>97</v>
      </c>
      <c r="D67" s="94" t="s">
        <v>262</v>
      </c>
      <c r="E67" s="94" t="s">
        <v>95</v>
      </c>
      <c r="F67" s="95" t="str">
        <f>F65</f>
        <v>Hz</v>
      </c>
      <c r="G67" s="94" t="s">
        <v>92</v>
      </c>
      <c r="H67" s="96">
        <f>Y27*10^3</f>
        <v>100</v>
      </c>
      <c r="I67" s="94">
        <v>2</v>
      </c>
      <c r="J67" s="94">
        <v>60</v>
      </c>
      <c r="K67" s="94">
        <f t="shared" si="25"/>
        <v>50</v>
      </c>
      <c r="L67" s="94">
        <v>1</v>
      </c>
      <c r="M67" s="94">
        <f t="shared" si="26"/>
        <v>50</v>
      </c>
      <c r="N67" s="94">
        <f t="shared" si="27"/>
        <v>2500</v>
      </c>
      <c r="O67" s="94">
        <f t="shared" si="28"/>
        <v>104166.66666666667</v>
      </c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</row>
    <row r="68" spans="3:42" ht="12.75" customHeight="1" x14ac:dyDescent="0.3">
      <c r="C68" s="93" t="s">
        <v>99</v>
      </c>
      <c r="D68" s="94" t="s">
        <v>263</v>
      </c>
      <c r="E68" s="94" t="s">
        <v>95</v>
      </c>
      <c r="F68" s="95" t="str">
        <f>F65</f>
        <v>Hz</v>
      </c>
      <c r="G68" s="94" t="s">
        <v>96</v>
      </c>
      <c r="H68" s="94">
        <f>X27*10^3</f>
        <v>46.980086730701693</v>
      </c>
      <c r="I68" s="94">
        <f>SQRT(3)</f>
        <v>1.7320508075688772</v>
      </c>
      <c r="J68" s="94">
        <v>50</v>
      </c>
      <c r="K68" s="94">
        <f t="shared" si="25"/>
        <v>27.123965720522591</v>
      </c>
      <c r="L68" s="94">
        <v>1</v>
      </c>
      <c r="M68" s="94">
        <f t="shared" si="26"/>
        <v>27.123965720522591</v>
      </c>
      <c r="N68" s="94">
        <f t="shared" si="27"/>
        <v>735.7095164080846</v>
      </c>
      <c r="O68" s="94">
        <f t="shared" si="28"/>
        <v>10825.369850668352</v>
      </c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</row>
    <row r="69" spans="3:42" ht="12.75" customHeight="1" x14ac:dyDescent="0.3">
      <c r="C69" s="98"/>
      <c r="D69" s="98"/>
      <c r="E69" s="98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</row>
    <row r="70" spans="3:42" ht="12.75" customHeight="1" x14ac:dyDescent="0.3">
      <c r="C70" s="834" t="s">
        <v>103</v>
      </c>
      <c r="D70" s="794"/>
      <c r="E70" s="794"/>
      <c r="F70" s="794"/>
      <c r="G70" s="794"/>
      <c r="H70" s="794"/>
      <c r="I70" s="794"/>
      <c r="J70" s="794"/>
      <c r="K70" s="794"/>
      <c r="L70" s="780"/>
      <c r="M70" s="835">
        <f>SUM(N65:N69)</f>
        <v>3235.7153497414179</v>
      </c>
      <c r="N70" s="780"/>
      <c r="O70" s="93">
        <f>SUM(O65:O69)</f>
        <v>114992.03652359892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</row>
    <row r="71" spans="3:42" ht="12.75" customHeight="1" x14ac:dyDescent="0.3">
      <c r="C71" s="834" t="s">
        <v>104</v>
      </c>
      <c r="D71" s="794"/>
      <c r="E71" s="794"/>
      <c r="F71" s="794"/>
      <c r="G71" s="794"/>
      <c r="H71" s="794"/>
      <c r="I71" s="794"/>
      <c r="J71" s="794"/>
      <c r="K71" s="794"/>
      <c r="L71" s="780"/>
      <c r="M71" s="835">
        <f>SQRT(M70)</f>
        <v>56.883348615754137</v>
      </c>
      <c r="N71" s="780"/>
      <c r="O71" s="93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</row>
    <row r="72" spans="3:42" ht="12.75" customHeight="1" x14ac:dyDescent="0.3">
      <c r="C72" s="834" t="s">
        <v>264</v>
      </c>
      <c r="D72" s="794"/>
      <c r="E72" s="794"/>
      <c r="F72" s="794"/>
      <c r="G72" s="794"/>
      <c r="H72" s="794"/>
      <c r="I72" s="794"/>
      <c r="J72" s="794"/>
      <c r="K72" s="794"/>
      <c r="L72" s="780"/>
      <c r="M72" s="99">
        <f>(M71^4)/O70</f>
        <v>91.048512062864305</v>
      </c>
      <c r="N72" s="101"/>
      <c r="O72" s="93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</row>
    <row r="73" spans="3:42" ht="12.75" customHeight="1" x14ac:dyDescent="0.3">
      <c r="C73" s="834" t="s">
        <v>265</v>
      </c>
      <c r="D73" s="794"/>
      <c r="E73" s="794"/>
      <c r="F73" s="794"/>
      <c r="G73" s="794"/>
      <c r="H73" s="794"/>
      <c r="I73" s="794"/>
      <c r="J73" s="794"/>
      <c r="K73" s="794"/>
      <c r="L73" s="780"/>
      <c r="M73" s="99">
        <f>1.95996+2.37356/M72+2.818745/M72^2+2.546662/M72^3+1.761829/M72^4+0.245458/M72^5+1.000764/M72^6</f>
        <v>1.9863726035922162</v>
      </c>
      <c r="N73" s="101">
        <v>2</v>
      </c>
      <c r="O73" s="93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</row>
    <row r="74" spans="3:42" ht="12.75" customHeight="1" x14ac:dyDescent="0.3">
      <c r="C74" s="834" t="s">
        <v>107</v>
      </c>
      <c r="D74" s="794"/>
      <c r="E74" s="794"/>
      <c r="F74" s="794"/>
      <c r="G74" s="794"/>
      <c r="H74" s="794"/>
      <c r="I74" s="794"/>
      <c r="J74" s="794"/>
      <c r="K74" s="794"/>
      <c r="L74" s="780"/>
      <c r="M74" s="99">
        <f>M73*M71</f>
        <v>112.99152529091924</v>
      </c>
      <c r="N74" s="101">
        <f>N73*M71</f>
        <v>113.76669723150827</v>
      </c>
      <c r="O74" s="93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</row>
    <row r="75" spans="3:42" ht="12.75" customHeight="1" x14ac:dyDescent="0.3"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</row>
    <row r="76" spans="3:42" ht="12.75" customHeight="1" x14ac:dyDescent="0.3">
      <c r="C76" s="71" t="s">
        <v>76</v>
      </c>
      <c r="D76" s="1"/>
      <c r="E76" s="1"/>
      <c r="F76" s="1">
        <f t="shared" ref="F76:G76" si="29">C$5</f>
        <v>50</v>
      </c>
      <c r="G76" s="5" t="str">
        <f t="shared" si="29"/>
        <v>Hz</v>
      </c>
      <c r="H76" s="4">
        <f t="shared" ref="H76:I76" si="30">C$6</f>
        <v>50</v>
      </c>
      <c r="I76" s="4" t="str">
        <f t="shared" si="30"/>
        <v>Hz</v>
      </c>
      <c r="J76" s="12"/>
      <c r="K76" s="12"/>
      <c r="L76" s="12"/>
      <c r="M76" s="12"/>
      <c r="N76" s="12"/>
      <c r="O76" s="287" t="str">
        <f>O$34</f>
        <v>AC Voltage-Measure</v>
      </c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</row>
    <row r="77" spans="3:42" ht="12.75" customHeight="1" x14ac:dyDescent="0.3">
      <c r="C77" s="84" t="s">
        <v>2</v>
      </c>
      <c r="D77" s="85"/>
      <c r="E77" s="85"/>
      <c r="F77" s="86">
        <f t="shared" ref="F77:G77" si="31">E5</f>
        <v>0.60000000000000009</v>
      </c>
      <c r="G77" s="6" t="str">
        <f t="shared" si="31"/>
        <v>V1</v>
      </c>
      <c r="H77" s="1"/>
      <c r="I77" s="1"/>
      <c r="J77" s="90">
        <v>1E-3</v>
      </c>
      <c r="K77" s="90"/>
      <c r="L77" s="90"/>
      <c r="M77" s="90"/>
      <c r="N77" s="90"/>
      <c r="O77" s="76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</row>
    <row r="78" spans="3:42" ht="12.75" customHeight="1" x14ac:dyDescent="0.3">
      <c r="C78" s="91" t="s">
        <v>78</v>
      </c>
      <c r="D78" s="91" t="s">
        <v>79</v>
      </c>
      <c r="E78" s="91" t="s">
        <v>10</v>
      </c>
      <c r="F78" s="91" t="s">
        <v>80</v>
      </c>
      <c r="G78" s="91" t="s">
        <v>81</v>
      </c>
      <c r="H78" s="92" t="s">
        <v>82</v>
      </c>
      <c r="I78" s="91" t="s">
        <v>83</v>
      </c>
      <c r="J78" s="91" t="s">
        <v>84</v>
      </c>
      <c r="K78" s="91" t="s">
        <v>85</v>
      </c>
      <c r="L78" s="91" t="s">
        <v>86</v>
      </c>
      <c r="M78" s="91" t="s">
        <v>87</v>
      </c>
      <c r="N78" s="91" t="s">
        <v>266</v>
      </c>
      <c r="O78" s="91" t="s">
        <v>267</v>
      </c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</row>
    <row r="79" spans="3:42" ht="12.75" customHeight="1" x14ac:dyDescent="0.3">
      <c r="C79" s="93" t="s">
        <v>90</v>
      </c>
      <c r="D79" s="94" t="s">
        <v>268</v>
      </c>
      <c r="E79" s="94" t="s">
        <v>42</v>
      </c>
      <c r="F79" s="95" t="str">
        <f>G77</f>
        <v>V1</v>
      </c>
      <c r="G79" s="94" t="s">
        <v>631</v>
      </c>
      <c r="H79" s="94">
        <f>STDEV(Data!E57:N57)/SQRT(5)</f>
        <v>0</v>
      </c>
      <c r="I79" s="94">
        <v>1</v>
      </c>
      <c r="J79" s="94">
        <f>5-1</f>
        <v>4</v>
      </c>
      <c r="K79" s="94">
        <f t="shared" ref="K79:K82" si="32">(H79)/I79</f>
        <v>0</v>
      </c>
      <c r="L79" s="94">
        <v>1</v>
      </c>
      <c r="M79" s="94">
        <f t="shared" ref="M79:M82" si="33">K79*L79</f>
        <v>0</v>
      </c>
      <c r="N79" s="94">
        <f t="shared" ref="N79:N82" si="34">M79^2</f>
        <v>0</v>
      </c>
      <c r="O79" s="94">
        <f t="shared" ref="O79:O82" si="35">(M79^4)/J79</f>
        <v>0</v>
      </c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</row>
    <row r="80" spans="3:42" ht="12.75" customHeight="1" x14ac:dyDescent="0.3">
      <c r="C80" s="93" t="s">
        <v>93</v>
      </c>
      <c r="D80" s="94" t="s">
        <v>269</v>
      </c>
      <c r="E80" s="94" t="s">
        <v>95</v>
      </c>
      <c r="F80" s="95" t="str">
        <f>F79</f>
        <v>V1</v>
      </c>
      <c r="G80" s="94" t="s">
        <v>96</v>
      </c>
      <c r="H80" s="94">
        <f>J77/2</f>
        <v>5.0000000000000001E-4</v>
      </c>
      <c r="I80" s="94">
        <f>SQRT(3)</f>
        <v>1.7320508075688772</v>
      </c>
      <c r="J80" s="94">
        <v>50</v>
      </c>
      <c r="K80" s="94">
        <f t="shared" si="32"/>
        <v>2.886751345948129E-4</v>
      </c>
      <c r="L80" s="94">
        <v>1</v>
      </c>
      <c r="M80" s="94">
        <f t="shared" si="33"/>
        <v>2.886751345948129E-4</v>
      </c>
      <c r="N80" s="94">
        <f t="shared" si="34"/>
        <v>8.3333333333333338E-8</v>
      </c>
      <c r="O80" s="94">
        <f t="shared" si="35"/>
        <v>1.388888888888889E-16</v>
      </c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</row>
    <row r="81" spans="3:42" ht="12.75" customHeight="1" x14ac:dyDescent="0.3">
      <c r="C81" s="93" t="s">
        <v>97</v>
      </c>
      <c r="D81" s="94" t="s">
        <v>270</v>
      </c>
      <c r="E81" s="94" t="s">
        <v>95</v>
      </c>
      <c r="F81" s="95" t="str">
        <f>F79</f>
        <v>V1</v>
      </c>
      <c r="G81" s="94" t="s">
        <v>92</v>
      </c>
      <c r="H81" s="96">
        <f>Y28</f>
        <v>1.8000000000000001E-4</v>
      </c>
      <c r="I81" s="94">
        <v>2</v>
      </c>
      <c r="J81" s="94">
        <v>60</v>
      </c>
      <c r="K81" s="94">
        <f t="shared" si="32"/>
        <v>9.0000000000000006E-5</v>
      </c>
      <c r="L81" s="94">
        <v>1</v>
      </c>
      <c r="M81" s="94">
        <f t="shared" si="33"/>
        <v>9.0000000000000006E-5</v>
      </c>
      <c r="N81" s="94">
        <f t="shared" si="34"/>
        <v>8.1000000000000014E-9</v>
      </c>
      <c r="O81" s="94">
        <f t="shared" si="35"/>
        <v>1.0935000000000004E-18</v>
      </c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</row>
    <row r="82" spans="3:42" ht="12.75" customHeight="1" x14ac:dyDescent="0.3">
      <c r="C82" s="93" t="s">
        <v>99</v>
      </c>
      <c r="D82" s="94" t="s">
        <v>271</v>
      </c>
      <c r="E82" s="94" t="s">
        <v>95</v>
      </c>
      <c r="F82" s="95" t="str">
        <f>F79</f>
        <v>V1</v>
      </c>
      <c r="G82" s="94" t="s">
        <v>96</v>
      </c>
      <c r="H82" s="94">
        <f>X28</f>
        <v>4.1085397954327141E-2</v>
      </c>
      <c r="I82" s="94">
        <f>SQRT(3)</f>
        <v>1.7320508075688772</v>
      </c>
      <c r="J82" s="94">
        <v>50</v>
      </c>
      <c r="K82" s="94">
        <f t="shared" si="32"/>
        <v>2.3720665568693677E-2</v>
      </c>
      <c r="L82" s="94">
        <v>1</v>
      </c>
      <c r="M82" s="94">
        <f t="shared" si="33"/>
        <v>2.3720665568693677E-2</v>
      </c>
      <c r="N82" s="94">
        <f t="shared" si="34"/>
        <v>5.6266997502180973E-4</v>
      </c>
      <c r="O82" s="94">
        <f t="shared" si="35"/>
        <v>6.3319500158208796E-9</v>
      </c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</row>
    <row r="83" spans="3:42" ht="12.75" customHeight="1" x14ac:dyDescent="0.3">
      <c r="C83" s="98"/>
      <c r="D83" s="98"/>
      <c r="E83" s="98"/>
      <c r="F83" s="93"/>
      <c r="G83" s="93"/>
      <c r="H83" s="93"/>
      <c r="I83" s="93"/>
      <c r="J83" s="93"/>
      <c r="K83" s="93"/>
      <c r="L83" s="93"/>
      <c r="M83" s="93"/>
      <c r="N83" s="93"/>
      <c r="O83" s="93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</row>
    <row r="84" spans="3:42" ht="12.75" customHeight="1" x14ac:dyDescent="0.3">
      <c r="C84" s="834" t="s">
        <v>103</v>
      </c>
      <c r="D84" s="794"/>
      <c r="E84" s="794"/>
      <c r="F84" s="794"/>
      <c r="G84" s="794"/>
      <c r="H84" s="794"/>
      <c r="I84" s="794"/>
      <c r="J84" s="794"/>
      <c r="K84" s="794"/>
      <c r="L84" s="780"/>
      <c r="M84" s="835">
        <f>SUM(N79:N83)</f>
        <v>5.6276140835514305E-4</v>
      </c>
      <c r="N84" s="780"/>
      <c r="O84" s="93">
        <f>SUM(O79:O83)</f>
        <v>6.3319501558032683E-9</v>
      </c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</row>
    <row r="85" spans="3:42" ht="12.75" customHeight="1" x14ac:dyDescent="0.3">
      <c r="C85" s="834" t="s">
        <v>104</v>
      </c>
      <c r="D85" s="794"/>
      <c r="E85" s="794"/>
      <c r="F85" s="794"/>
      <c r="G85" s="794"/>
      <c r="H85" s="794"/>
      <c r="I85" s="794"/>
      <c r="J85" s="794"/>
      <c r="K85" s="794"/>
      <c r="L85" s="780"/>
      <c r="M85" s="835">
        <f>SQRT(M84)</f>
        <v>2.3722592783149633E-2</v>
      </c>
      <c r="N85" s="780"/>
      <c r="O85" s="93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</row>
    <row r="86" spans="3:42" ht="12.75" customHeight="1" x14ac:dyDescent="0.3">
      <c r="C86" s="834" t="s">
        <v>272</v>
      </c>
      <c r="D86" s="794"/>
      <c r="E86" s="794"/>
      <c r="F86" s="794"/>
      <c r="G86" s="794"/>
      <c r="H86" s="794"/>
      <c r="I86" s="794"/>
      <c r="J86" s="794"/>
      <c r="K86" s="794"/>
      <c r="L86" s="780"/>
      <c r="M86" s="99">
        <f>(M85^4)/O84</f>
        <v>50.016250119026338</v>
      </c>
      <c r="N86" s="101"/>
      <c r="O86" s="93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</row>
    <row r="87" spans="3:42" ht="12.75" customHeight="1" x14ac:dyDescent="0.3">
      <c r="C87" s="834" t="s">
        <v>273</v>
      </c>
      <c r="D87" s="794"/>
      <c r="E87" s="794"/>
      <c r="F87" s="794"/>
      <c r="G87" s="794"/>
      <c r="H87" s="794"/>
      <c r="I87" s="794"/>
      <c r="J87" s="794"/>
      <c r="K87" s="794"/>
      <c r="L87" s="780"/>
      <c r="M87" s="99">
        <f>1.95996+2.37356/M86+2.818745/M86^2+2.546662/M86^3+1.761829/M86^4+0.245458/M86^5+1.000764/M86^6</f>
        <v>2.0085631780570266</v>
      </c>
      <c r="N87" s="101">
        <v>2</v>
      </c>
      <c r="O87" s="93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</row>
    <row r="88" spans="3:42" ht="12.75" customHeight="1" x14ac:dyDescent="0.3">
      <c r="C88" s="834" t="s">
        <v>107</v>
      </c>
      <c r="D88" s="794"/>
      <c r="E88" s="794"/>
      <c r="F88" s="794"/>
      <c r="G88" s="794"/>
      <c r="H88" s="794"/>
      <c r="I88" s="794"/>
      <c r="J88" s="794"/>
      <c r="K88" s="794"/>
      <c r="L88" s="780"/>
      <c r="M88" s="99">
        <f>M87*M85</f>
        <v>4.7648326352275706E-2</v>
      </c>
      <c r="N88" s="101">
        <f>N87*M85</f>
        <v>4.7445185566299265E-2</v>
      </c>
      <c r="O88" s="93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</row>
    <row r="89" spans="3:42" ht="12.75" customHeight="1" x14ac:dyDescent="0.3"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</row>
    <row r="90" spans="3:42" ht="12.75" customHeight="1" x14ac:dyDescent="0.3">
      <c r="C90" s="71" t="s">
        <v>76</v>
      </c>
      <c r="D90" s="1"/>
      <c r="E90" s="1"/>
      <c r="F90" s="1">
        <f t="shared" ref="F90:G90" si="36">C$5</f>
        <v>50</v>
      </c>
      <c r="G90" s="5" t="str">
        <f t="shared" si="36"/>
        <v>Hz</v>
      </c>
      <c r="H90" s="4">
        <f t="shared" ref="H90:I90" si="37">C$6</f>
        <v>50</v>
      </c>
      <c r="I90" s="4" t="str">
        <f t="shared" si="37"/>
        <v>Hz</v>
      </c>
      <c r="J90" s="12"/>
      <c r="K90" s="12"/>
      <c r="L90" s="12"/>
      <c r="M90" s="12"/>
      <c r="N90" s="12"/>
      <c r="O90" s="287" t="str">
        <f>O$34</f>
        <v>AC Voltage-Measure</v>
      </c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</row>
    <row r="91" spans="3:42" ht="12.75" customHeight="1" x14ac:dyDescent="0.3">
      <c r="C91" s="84" t="s">
        <v>2</v>
      </c>
      <c r="D91" s="85"/>
      <c r="E91" s="85"/>
      <c r="F91" s="86">
        <f t="shared" ref="F91:G91" si="38">E6</f>
        <v>3</v>
      </c>
      <c r="G91" s="2" t="str">
        <f t="shared" si="38"/>
        <v>V1</v>
      </c>
      <c r="H91" s="1"/>
      <c r="I91" s="1"/>
      <c r="J91" s="90">
        <v>1E-3</v>
      </c>
      <c r="K91" s="90"/>
      <c r="L91" s="90"/>
      <c r="M91" s="90"/>
      <c r="N91" s="90"/>
      <c r="O91" s="76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</row>
    <row r="92" spans="3:42" ht="12.75" customHeight="1" x14ac:dyDescent="0.3">
      <c r="C92" s="91" t="s">
        <v>78</v>
      </c>
      <c r="D92" s="91" t="s">
        <v>79</v>
      </c>
      <c r="E92" s="91" t="s">
        <v>10</v>
      </c>
      <c r="F92" s="91" t="s">
        <v>80</v>
      </c>
      <c r="G92" s="91" t="s">
        <v>81</v>
      </c>
      <c r="H92" s="92" t="s">
        <v>82</v>
      </c>
      <c r="I92" s="91" t="s">
        <v>83</v>
      </c>
      <c r="J92" s="91" t="s">
        <v>84</v>
      </c>
      <c r="K92" s="91" t="s">
        <v>85</v>
      </c>
      <c r="L92" s="91" t="s">
        <v>86</v>
      </c>
      <c r="M92" s="91" t="s">
        <v>87</v>
      </c>
      <c r="N92" s="91" t="s">
        <v>274</v>
      </c>
      <c r="O92" s="91" t="s">
        <v>275</v>
      </c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</row>
    <row r="93" spans="3:42" ht="12.75" customHeight="1" x14ac:dyDescent="0.3">
      <c r="C93" s="93" t="s">
        <v>90</v>
      </c>
      <c r="D93" s="94" t="s">
        <v>276</v>
      </c>
      <c r="E93" s="94" t="s">
        <v>42</v>
      </c>
      <c r="F93" s="95" t="str">
        <f>G91</f>
        <v>V1</v>
      </c>
      <c r="G93" s="94" t="s">
        <v>631</v>
      </c>
      <c r="H93" s="94">
        <f>STDEV(Data!E58:N58)/SQRT(5)</f>
        <v>0</v>
      </c>
      <c r="I93" s="94">
        <v>1</v>
      </c>
      <c r="J93" s="94">
        <f>5-1</f>
        <v>4</v>
      </c>
      <c r="K93" s="94">
        <f t="shared" ref="K93:K96" si="39">(H93)/I93</f>
        <v>0</v>
      </c>
      <c r="L93" s="94">
        <v>1</v>
      </c>
      <c r="M93" s="94">
        <f t="shared" ref="M93:M96" si="40">K93*L93</f>
        <v>0</v>
      </c>
      <c r="N93" s="94">
        <f t="shared" ref="N93:N96" si="41">M93^2</f>
        <v>0</v>
      </c>
      <c r="O93" s="94">
        <f t="shared" ref="O93:O96" si="42">(M93^4)/J93</f>
        <v>0</v>
      </c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</row>
    <row r="94" spans="3:42" ht="12.75" customHeight="1" x14ac:dyDescent="0.3">
      <c r="C94" s="93" t="s">
        <v>93</v>
      </c>
      <c r="D94" s="94" t="s">
        <v>277</v>
      </c>
      <c r="E94" s="94" t="s">
        <v>95</v>
      </c>
      <c r="F94" s="95" t="str">
        <f>F93</f>
        <v>V1</v>
      </c>
      <c r="G94" s="94" t="s">
        <v>96</v>
      </c>
      <c r="H94" s="94">
        <f>J91/2</f>
        <v>5.0000000000000001E-4</v>
      </c>
      <c r="I94" s="94">
        <f>SQRT(3)</f>
        <v>1.7320508075688772</v>
      </c>
      <c r="J94" s="94">
        <v>50</v>
      </c>
      <c r="K94" s="94">
        <f t="shared" si="39"/>
        <v>2.886751345948129E-4</v>
      </c>
      <c r="L94" s="94">
        <v>1</v>
      </c>
      <c r="M94" s="94">
        <f t="shared" si="40"/>
        <v>2.886751345948129E-4</v>
      </c>
      <c r="N94" s="94">
        <f t="shared" si="41"/>
        <v>8.3333333333333338E-8</v>
      </c>
      <c r="O94" s="94">
        <f t="shared" si="42"/>
        <v>1.388888888888889E-16</v>
      </c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</row>
    <row r="95" spans="3:42" ht="12.75" customHeight="1" x14ac:dyDescent="0.3">
      <c r="C95" s="93" t="s">
        <v>97</v>
      </c>
      <c r="D95" s="94" t="s">
        <v>278</v>
      </c>
      <c r="E95" s="94" t="s">
        <v>95</v>
      </c>
      <c r="F95" s="95" t="str">
        <f>F93</f>
        <v>V1</v>
      </c>
      <c r="G95" s="94" t="s">
        <v>92</v>
      </c>
      <c r="H95" s="96">
        <f>Y29</f>
        <v>1.1999999999999999E-3</v>
      </c>
      <c r="I95" s="94">
        <v>2</v>
      </c>
      <c r="J95" s="94">
        <v>60</v>
      </c>
      <c r="K95" s="94">
        <f t="shared" si="39"/>
        <v>5.9999999999999995E-4</v>
      </c>
      <c r="L95" s="94">
        <v>1</v>
      </c>
      <c r="M95" s="94">
        <f t="shared" si="40"/>
        <v>5.9999999999999995E-4</v>
      </c>
      <c r="N95" s="94">
        <f t="shared" si="41"/>
        <v>3.5999999999999994E-7</v>
      </c>
      <c r="O95" s="94">
        <f t="shared" si="42"/>
        <v>2.1599999999999992E-15</v>
      </c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</row>
    <row r="96" spans="3:42" ht="12.75" customHeight="1" x14ac:dyDescent="0.3">
      <c r="C96" s="93" t="s">
        <v>99</v>
      </c>
      <c r="D96" s="94" t="s">
        <v>279</v>
      </c>
      <c r="E96" s="94" t="s">
        <v>95</v>
      </c>
      <c r="F96" s="95" t="str">
        <f>F93</f>
        <v>V1</v>
      </c>
      <c r="G96" s="94" t="s">
        <v>96</v>
      </c>
      <c r="H96" s="94">
        <f>X29</f>
        <v>2.926072446750496E-4</v>
      </c>
      <c r="I96" s="94">
        <f>SQRT(3)</f>
        <v>1.7320508075688772</v>
      </c>
      <c r="J96" s="94">
        <v>50</v>
      </c>
      <c r="K96" s="94">
        <f t="shared" si="39"/>
        <v>1.6893687147997459E-4</v>
      </c>
      <c r="L96" s="94">
        <v>1</v>
      </c>
      <c r="M96" s="94">
        <f t="shared" si="40"/>
        <v>1.6893687147997459E-4</v>
      </c>
      <c r="N96" s="94">
        <f t="shared" si="41"/>
        <v>2.8539666545441452E-8</v>
      </c>
      <c r="O96" s="94">
        <f t="shared" si="42"/>
        <v>1.6290251330499801E-17</v>
      </c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</row>
    <row r="97" spans="3:42" ht="12.75" customHeight="1" x14ac:dyDescent="0.3">
      <c r="C97" s="98"/>
      <c r="D97" s="98"/>
      <c r="E97" s="98"/>
      <c r="F97" s="93"/>
      <c r="G97" s="93"/>
      <c r="H97" s="93"/>
      <c r="I97" s="93"/>
      <c r="J97" s="93"/>
      <c r="K97" s="93"/>
      <c r="L97" s="93"/>
      <c r="M97" s="93"/>
      <c r="N97" s="93"/>
      <c r="O97" s="93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</row>
    <row r="98" spans="3:42" ht="12.75" customHeight="1" x14ac:dyDescent="0.3">
      <c r="C98" s="834" t="s">
        <v>103</v>
      </c>
      <c r="D98" s="794"/>
      <c r="E98" s="794"/>
      <c r="F98" s="794"/>
      <c r="G98" s="794"/>
      <c r="H98" s="794"/>
      <c r="I98" s="794"/>
      <c r="J98" s="794"/>
      <c r="K98" s="794"/>
      <c r="L98" s="780"/>
      <c r="M98" s="835">
        <f>SUM(N93:N97)</f>
        <v>4.7187299987877469E-7</v>
      </c>
      <c r="N98" s="780"/>
      <c r="O98" s="93">
        <f>SUM(O93:O97)</f>
        <v>2.3151791402193882E-15</v>
      </c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</row>
    <row r="99" spans="3:42" ht="12.75" customHeight="1" x14ac:dyDescent="0.3">
      <c r="C99" s="834" t="s">
        <v>104</v>
      </c>
      <c r="D99" s="794"/>
      <c r="E99" s="794"/>
      <c r="F99" s="794"/>
      <c r="G99" s="794"/>
      <c r="H99" s="794"/>
      <c r="I99" s="794"/>
      <c r="J99" s="794"/>
      <c r="K99" s="794"/>
      <c r="L99" s="780"/>
      <c r="M99" s="835">
        <f>SQRT(M98)</f>
        <v>6.8693012736287425E-4</v>
      </c>
      <c r="N99" s="780"/>
      <c r="O99" s="93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</row>
    <row r="100" spans="3:42" ht="12.75" customHeight="1" x14ac:dyDescent="0.3">
      <c r="C100" s="834" t="s">
        <v>280</v>
      </c>
      <c r="D100" s="794"/>
      <c r="E100" s="794"/>
      <c r="F100" s="794"/>
      <c r="G100" s="794"/>
      <c r="H100" s="794"/>
      <c r="I100" s="794"/>
      <c r="J100" s="794"/>
      <c r="K100" s="794"/>
      <c r="L100" s="780"/>
      <c r="M100" s="99">
        <f>(M99^4)/O98</f>
        <v>96.175766335513117</v>
      </c>
      <c r="N100" s="101"/>
      <c r="O100" s="93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</row>
    <row r="101" spans="3:42" ht="12.75" customHeight="1" x14ac:dyDescent="0.3">
      <c r="C101" s="834" t="s">
        <v>281</v>
      </c>
      <c r="D101" s="794"/>
      <c r="E101" s="794"/>
      <c r="F101" s="794"/>
      <c r="G101" s="794"/>
      <c r="H101" s="794"/>
      <c r="I101" s="794"/>
      <c r="J101" s="794"/>
      <c r="K101" s="794"/>
      <c r="L101" s="780"/>
      <c r="M101" s="99">
        <f>1.95996+2.37356/M100+2.818745/M100^2+2.546662/M100^3+1.761829/M100^4+0.245458/M100^5+1.000764/M100^6</f>
        <v>1.9849470176556285</v>
      </c>
      <c r="N101" s="101">
        <v>2</v>
      </c>
      <c r="O101" s="93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</row>
    <row r="102" spans="3:42" ht="12.75" customHeight="1" x14ac:dyDescent="0.3">
      <c r="C102" s="834" t="s">
        <v>107</v>
      </c>
      <c r="D102" s="794"/>
      <c r="E102" s="794"/>
      <c r="F102" s="794"/>
      <c r="G102" s="794"/>
      <c r="H102" s="794"/>
      <c r="I102" s="794"/>
      <c r="J102" s="794"/>
      <c r="K102" s="794"/>
      <c r="L102" s="780"/>
      <c r="M102" s="99">
        <f>M101*M99</f>
        <v>1.3635199076467383E-3</v>
      </c>
      <c r="N102" s="101">
        <f>N101*M99</f>
        <v>1.3738602547257485E-3</v>
      </c>
      <c r="O102" s="93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</row>
    <row r="103" spans="3:42" ht="12.75" customHeight="1" x14ac:dyDescent="0.3"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</row>
    <row r="104" spans="3:42" ht="12.75" customHeight="1" x14ac:dyDescent="0.3">
      <c r="C104" s="71" t="s">
        <v>76</v>
      </c>
      <c r="D104" s="1"/>
      <c r="E104" s="1"/>
      <c r="F104" s="1">
        <f t="shared" ref="F104:G104" si="43">C$5</f>
        <v>50</v>
      </c>
      <c r="G104" s="5" t="str">
        <f t="shared" si="43"/>
        <v>Hz</v>
      </c>
      <c r="H104" s="4">
        <f t="shared" ref="H104:I104" si="44">C$6</f>
        <v>50</v>
      </c>
      <c r="I104" s="4" t="str">
        <f t="shared" si="44"/>
        <v>Hz</v>
      </c>
      <c r="J104" s="12"/>
      <c r="K104" s="12"/>
      <c r="L104" s="12"/>
      <c r="M104" s="12"/>
      <c r="N104" s="12"/>
      <c r="O104" s="287" t="str">
        <f>O$34</f>
        <v>AC Voltage-Measure</v>
      </c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</row>
    <row r="105" spans="3:42" ht="12.75" customHeight="1" x14ac:dyDescent="0.3">
      <c r="C105" s="84" t="s">
        <v>2</v>
      </c>
      <c r="D105" s="85"/>
      <c r="E105" s="85"/>
      <c r="F105" s="80">
        <f t="shared" ref="F105:G105" si="45">E7</f>
        <v>5.4</v>
      </c>
      <c r="G105" s="2" t="str">
        <f t="shared" si="45"/>
        <v>V2</v>
      </c>
      <c r="H105" s="1"/>
      <c r="I105" s="1"/>
      <c r="J105" s="90">
        <v>1E-3</v>
      </c>
      <c r="K105" s="90"/>
      <c r="L105" s="90"/>
      <c r="M105" s="90"/>
      <c r="N105" s="90"/>
      <c r="O105" s="76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</row>
    <row r="106" spans="3:42" ht="12.75" customHeight="1" x14ac:dyDescent="0.3">
      <c r="C106" s="91" t="s">
        <v>78</v>
      </c>
      <c r="D106" s="91" t="s">
        <v>79</v>
      </c>
      <c r="E106" s="91" t="s">
        <v>10</v>
      </c>
      <c r="F106" s="91" t="s">
        <v>80</v>
      </c>
      <c r="G106" s="91" t="s">
        <v>81</v>
      </c>
      <c r="H106" s="92" t="s">
        <v>82</v>
      </c>
      <c r="I106" s="91" t="s">
        <v>83</v>
      </c>
      <c r="J106" s="91" t="s">
        <v>84</v>
      </c>
      <c r="K106" s="91" t="s">
        <v>85</v>
      </c>
      <c r="L106" s="91" t="s">
        <v>86</v>
      </c>
      <c r="M106" s="91" t="s">
        <v>87</v>
      </c>
      <c r="N106" s="91" t="s">
        <v>282</v>
      </c>
      <c r="O106" s="91" t="s">
        <v>283</v>
      </c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</row>
    <row r="107" spans="3:42" ht="12.75" customHeight="1" x14ac:dyDescent="0.3">
      <c r="C107" s="93" t="s">
        <v>90</v>
      </c>
      <c r="D107" s="94" t="s">
        <v>284</v>
      </c>
      <c r="E107" s="94" t="s">
        <v>42</v>
      </c>
      <c r="F107" s="95" t="str">
        <f>G105</f>
        <v>V2</v>
      </c>
      <c r="G107" s="94" t="s">
        <v>631</v>
      </c>
      <c r="H107" s="94">
        <f>STDEV(Data!E59:N59)/SQRT(5)</f>
        <v>0</v>
      </c>
      <c r="I107" s="94">
        <v>1</v>
      </c>
      <c r="J107" s="94">
        <f>5-1</f>
        <v>4</v>
      </c>
      <c r="K107" s="94">
        <f t="shared" ref="K107:K110" si="46">(H107)/I107</f>
        <v>0</v>
      </c>
      <c r="L107" s="94">
        <v>1</v>
      </c>
      <c r="M107" s="94">
        <f t="shared" ref="M107:M110" si="47">K107*L107</f>
        <v>0</v>
      </c>
      <c r="N107" s="94">
        <f t="shared" ref="N107:N110" si="48">M107^2</f>
        <v>0</v>
      </c>
      <c r="O107" s="94">
        <f t="shared" ref="O107:O110" si="49">(M107^4)/J107</f>
        <v>0</v>
      </c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</row>
    <row r="108" spans="3:42" ht="12.75" customHeight="1" x14ac:dyDescent="0.3">
      <c r="C108" s="93" t="s">
        <v>93</v>
      </c>
      <c r="D108" s="94" t="s">
        <v>285</v>
      </c>
      <c r="E108" s="94" t="s">
        <v>95</v>
      </c>
      <c r="F108" s="95" t="str">
        <f>F107</f>
        <v>V2</v>
      </c>
      <c r="G108" s="94" t="s">
        <v>96</v>
      </c>
      <c r="H108" s="94">
        <f>J105/2</f>
        <v>5.0000000000000001E-4</v>
      </c>
      <c r="I108" s="94">
        <f>SQRT(3)</f>
        <v>1.7320508075688772</v>
      </c>
      <c r="J108" s="94">
        <v>50</v>
      </c>
      <c r="K108" s="94">
        <f t="shared" si="46"/>
        <v>2.886751345948129E-4</v>
      </c>
      <c r="L108" s="94">
        <v>1</v>
      </c>
      <c r="M108" s="94">
        <f t="shared" si="47"/>
        <v>2.886751345948129E-4</v>
      </c>
      <c r="N108" s="94">
        <f t="shared" si="48"/>
        <v>8.3333333333333338E-8</v>
      </c>
      <c r="O108" s="94">
        <f t="shared" si="49"/>
        <v>1.388888888888889E-16</v>
      </c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</row>
    <row r="109" spans="3:42" ht="12.75" customHeight="1" x14ac:dyDescent="0.3">
      <c r="C109" s="93" t="s">
        <v>97</v>
      </c>
      <c r="D109" s="94" t="s">
        <v>286</v>
      </c>
      <c r="E109" s="94" t="s">
        <v>95</v>
      </c>
      <c r="F109" s="95" t="str">
        <f>F107</f>
        <v>V2</v>
      </c>
      <c r="G109" s="94" t="s">
        <v>92</v>
      </c>
      <c r="H109" s="96">
        <f>Y30</f>
        <v>9.7999999999999997E-4</v>
      </c>
      <c r="I109" s="94">
        <v>2</v>
      </c>
      <c r="J109" s="94">
        <v>60</v>
      </c>
      <c r="K109" s="94">
        <f t="shared" si="46"/>
        <v>4.8999999999999998E-4</v>
      </c>
      <c r="L109" s="94">
        <v>1</v>
      </c>
      <c r="M109" s="94">
        <f t="shared" si="47"/>
        <v>4.8999999999999998E-4</v>
      </c>
      <c r="N109" s="94">
        <f t="shared" si="48"/>
        <v>2.4009999999999999E-7</v>
      </c>
      <c r="O109" s="94">
        <f t="shared" si="49"/>
        <v>9.6080016666666659E-16</v>
      </c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</row>
    <row r="110" spans="3:42" ht="12.75" customHeight="1" x14ac:dyDescent="0.3">
      <c r="C110" s="93" t="s">
        <v>99</v>
      </c>
      <c r="D110" s="94" t="s">
        <v>287</v>
      </c>
      <c r="E110" s="94" t="s">
        <v>95</v>
      </c>
      <c r="F110" s="95" t="str">
        <f>F107</f>
        <v>V2</v>
      </c>
      <c r="G110" s="94" t="s">
        <v>96</v>
      </c>
      <c r="H110" s="94">
        <f>X30</f>
        <v>7.5309506568582479E-4</v>
      </c>
      <c r="I110" s="94">
        <f>SQRT(3)</f>
        <v>1.7320508075688772</v>
      </c>
      <c r="J110" s="94">
        <v>50</v>
      </c>
      <c r="K110" s="94">
        <f t="shared" si="46"/>
        <v>4.3479963889908987E-4</v>
      </c>
      <c r="L110" s="94">
        <v>1</v>
      </c>
      <c r="M110" s="94">
        <f t="shared" si="47"/>
        <v>4.3479963889908987E-4</v>
      </c>
      <c r="N110" s="94">
        <f t="shared" si="48"/>
        <v>1.8905072598677893E-7</v>
      </c>
      <c r="O110" s="94">
        <f t="shared" si="49"/>
        <v>7.1480353992256339E-16</v>
      </c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</row>
    <row r="111" spans="3:42" ht="12.75" customHeight="1" x14ac:dyDescent="0.3">
      <c r="C111" s="98"/>
      <c r="D111" s="98"/>
      <c r="E111" s="98"/>
      <c r="F111" s="93"/>
      <c r="G111" s="93"/>
      <c r="H111" s="93"/>
      <c r="I111" s="93"/>
      <c r="J111" s="93"/>
      <c r="K111" s="93"/>
      <c r="L111" s="93"/>
      <c r="M111" s="93"/>
      <c r="N111" s="93"/>
      <c r="O111" s="93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</row>
    <row r="112" spans="3:42" ht="12.75" customHeight="1" x14ac:dyDescent="0.3">
      <c r="C112" s="834" t="s">
        <v>103</v>
      </c>
      <c r="D112" s="794"/>
      <c r="E112" s="794"/>
      <c r="F112" s="794"/>
      <c r="G112" s="794"/>
      <c r="H112" s="794"/>
      <c r="I112" s="794"/>
      <c r="J112" s="794"/>
      <c r="K112" s="794"/>
      <c r="L112" s="780"/>
      <c r="M112" s="835">
        <f>SUM(N107:N111)</f>
        <v>5.1248405932011223E-7</v>
      </c>
      <c r="N112" s="780"/>
      <c r="O112" s="93">
        <f>SUM(O107:O111)</f>
        <v>1.8144925954781187E-15</v>
      </c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</row>
    <row r="113" spans="3:42" ht="12.75" customHeight="1" x14ac:dyDescent="0.3">
      <c r="C113" s="834" t="s">
        <v>104</v>
      </c>
      <c r="D113" s="794"/>
      <c r="E113" s="794"/>
      <c r="F113" s="794"/>
      <c r="G113" s="794"/>
      <c r="H113" s="794"/>
      <c r="I113" s="794"/>
      <c r="J113" s="794"/>
      <c r="K113" s="794"/>
      <c r="L113" s="780"/>
      <c r="M113" s="835">
        <f>SQRT(M112)</f>
        <v>7.1587991962347448E-4</v>
      </c>
      <c r="N113" s="780"/>
      <c r="O113" s="93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</row>
    <row r="114" spans="3:42" ht="12.75" customHeight="1" x14ac:dyDescent="0.3">
      <c r="C114" s="834" t="s">
        <v>288</v>
      </c>
      <c r="D114" s="794"/>
      <c r="E114" s="794"/>
      <c r="F114" s="794"/>
      <c r="G114" s="794"/>
      <c r="H114" s="794"/>
      <c r="I114" s="794"/>
      <c r="J114" s="794"/>
      <c r="K114" s="794"/>
      <c r="L114" s="780"/>
      <c r="M114" s="99">
        <f>(M113^4)/O112</f>
        <v>144.74565049851572</v>
      </c>
      <c r="N114" s="101"/>
      <c r="O114" s="93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</row>
    <row r="115" spans="3:42" ht="12.75" customHeight="1" x14ac:dyDescent="0.3">
      <c r="C115" s="834" t="s">
        <v>289</v>
      </c>
      <c r="D115" s="794"/>
      <c r="E115" s="794"/>
      <c r="F115" s="794"/>
      <c r="G115" s="794"/>
      <c r="H115" s="794"/>
      <c r="I115" s="794"/>
      <c r="J115" s="794"/>
      <c r="K115" s="794"/>
      <c r="L115" s="780"/>
      <c r="M115" s="99">
        <f>1.95996+2.37356/M114+2.818745/M114^2+2.546662/M114^3+1.761829/M114^4+0.245458/M114^5+1.000764/M114^6</f>
        <v>1.9764935255677583</v>
      </c>
      <c r="N115" s="101">
        <v>2</v>
      </c>
      <c r="O115" s="93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</row>
    <row r="116" spans="3:42" ht="12.75" customHeight="1" x14ac:dyDescent="0.3">
      <c r="C116" s="834" t="s">
        <v>107</v>
      </c>
      <c r="D116" s="794"/>
      <c r="E116" s="794"/>
      <c r="F116" s="794"/>
      <c r="G116" s="794"/>
      <c r="H116" s="794"/>
      <c r="I116" s="794"/>
      <c r="J116" s="794"/>
      <c r="K116" s="794"/>
      <c r="L116" s="780"/>
      <c r="M116" s="99">
        <f>M115*M113</f>
        <v>1.4149320262197645E-3</v>
      </c>
      <c r="N116" s="101">
        <f>N115*M113</f>
        <v>1.431759839246949E-3</v>
      </c>
      <c r="O116" s="93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</row>
    <row r="117" spans="3:42" ht="12.75" customHeight="1" x14ac:dyDescent="0.3"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</row>
    <row r="118" spans="3:42" ht="12.75" customHeight="1" x14ac:dyDescent="0.3">
      <c r="C118" s="71" t="s">
        <v>76</v>
      </c>
      <c r="D118" s="1"/>
      <c r="E118" s="1"/>
      <c r="F118" s="1">
        <f t="shared" ref="F118:G118" si="50">C$8</f>
        <v>50</v>
      </c>
      <c r="G118" s="103" t="str">
        <f t="shared" si="50"/>
        <v>Hz</v>
      </c>
      <c r="H118" s="4">
        <f t="shared" ref="H118:I118" si="51">C$9</f>
        <v>50</v>
      </c>
      <c r="I118" s="4" t="str">
        <f t="shared" si="51"/>
        <v>Hz</v>
      </c>
      <c r="J118" s="12"/>
      <c r="K118" s="12"/>
      <c r="L118" s="12"/>
      <c r="M118" s="12"/>
      <c r="N118" s="12"/>
      <c r="O118" s="287" t="str">
        <f>O$34</f>
        <v>AC Voltage-Measure</v>
      </c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</row>
    <row r="119" spans="3:42" ht="12.75" customHeight="1" x14ac:dyDescent="0.3">
      <c r="C119" s="84" t="s">
        <v>2</v>
      </c>
      <c r="D119" s="85"/>
      <c r="E119" s="85"/>
      <c r="F119" s="80">
        <f t="shared" ref="F119:G119" si="52">E8</f>
        <v>6</v>
      </c>
      <c r="G119" s="6" t="str">
        <f t="shared" si="52"/>
        <v>V2</v>
      </c>
      <c r="H119" s="1"/>
      <c r="I119" s="1"/>
      <c r="J119" s="90">
        <v>0.01</v>
      </c>
      <c r="K119" s="90"/>
      <c r="L119" s="90"/>
      <c r="M119" s="90"/>
      <c r="N119" s="90"/>
      <c r="O119" s="76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</row>
    <row r="120" spans="3:42" ht="12.75" customHeight="1" x14ac:dyDescent="0.3">
      <c r="C120" s="91" t="s">
        <v>78</v>
      </c>
      <c r="D120" s="91" t="s">
        <v>79</v>
      </c>
      <c r="E120" s="91" t="s">
        <v>10</v>
      </c>
      <c r="F120" s="91" t="s">
        <v>80</v>
      </c>
      <c r="G120" s="91" t="s">
        <v>81</v>
      </c>
      <c r="H120" s="92" t="s">
        <v>82</v>
      </c>
      <c r="I120" s="91" t="s">
        <v>83</v>
      </c>
      <c r="J120" s="91" t="s">
        <v>84</v>
      </c>
      <c r="K120" s="91" t="s">
        <v>85</v>
      </c>
      <c r="L120" s="91" t="s">
        <v>86</v>
      </c>
      <c r="M120" s="91" t="s">
        <v>87</v>
      </c>
      <c r="N120" s="91" t="s">
        <v>290</v>
      </c>
      <c r="O120" s="91" t="s">
        <v>291</v>
      </c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</row>
    <row r="121" spans="3:42" ht="12.75" customHeight="1" x14ac:dyDescent="0.3">
      <c r="C121" s="93" t="s">
        <v>90</v>
      </c>
      <c r="D121" s="94" t="s">
        <v>292</v>
      </c>
      <c r="E121" s="94" t="s">
        <v>42</v>
      </c>
      <c r="F121" s="95" t="str">
        <f>G119</f>
        <v>V2</v>
      </c>
      <c r="G121" s="94" t="s">
        <v>631</v>
      </c>
      <c r="H121" s="94">
        <f>STDEV(Data!E61:N61)/SQRT(5)</f>
        <v>0</v>
      </c>
      <c r="I121" s="94">
        <v>1</v>
      </c>
      <c r="J121" s="94">
        <f>5-1</f>
        <v>4</v>
      </c>
      <c r="K121" s="94">
        <f t="shared" ref="K121:K124" si="53">(H121)/I121</f>
        <v>0</v>
      </c>
      <c r="L121" s="94">
        <v>1</v>
      </c>
      <c r="M121" s="94">
        <f t="shared" ref="M121:M124" si="54">K121*L121</f>
        <v>0</v>
      </c>
      <c r="N121" s="94">
        <f t="shared" ref="N121:N124" si="55">M121^2</f>
        <v>0</v>
      </c>
      <c r="O121" s="94">
        <f t="shared" ref="O121:O124" si="56">(M121^4)/J121</f>
        <v>0</v>
      </c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</row>
    <row r="122" spans="3:42" ht="12.75" customHeight="1" x14ac:dyDescent="0.3">
      <c r="C122" s="93" t="s">
        <v>93</v>
      </c>
      <c r="D122" s="94" t="s">
        <v>293</v>
      </c>
      <c r="E122" s="94" t="s">
        <v>95</v>
      </c>
      <c r="F122" s="95" t="str">
        <f>F121</f>
        <v>V2</v>
      </c>
      <c r="G122" s="94" t="s">
        <v>96</v>
      </c>
      <c r="H122" s="94">
        <f>J119/2</f>
        <v>5.0000000000000001E-3</v>
      </c>
      <c r="I122" s="94">
        <f>SQRT(3)</f>
        <v>1.7320508075688772</v>
      </c>
      <c r="J122" s="94">
        <v>50</v>
      </c>
      <c r="K122" s="94">
        <f t="shared" si="53"/>
        <v>2.886751345948129E-3</v>
      </c>
      <c r="L122" s="94">
        <v>1</v>
      </c>
      <c r="M122" s="94">
        <f t="shared" si="54"/>
        <v>2.886751345948129E-3</v>
      </c>
      <c r="N122" s="94">
        <f t="shared" si="55"/>
        <v>8.3333333333333337E-6</v>
      </c>
      <c r="O122" s="94">
        <f t="shared" si="56"/>
        <v>1.3888888888888891E-12</v>
      </c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</row>
    <row r="123" spans="3:42" ht="12.75" customHeight="1" x14ac:dyDescent="0.3">
      <c r="C123" s="93" t="s">
        <v>97</v>
      </c>
      <c r="D123" s="94" t="s">
        <v>294</v>
      </c>
      <c r="E123" s="94" t="s">
        <v>95</v>
      </c>
      <c r="F123" s="95" t="str">
        <f>F121</f>
        <v>V2</v>
      </c>
      <c r="G123" s="94" t="s">
        <v>92</v>
      </c>
      <c r="H123" s="96">
        <f>Y31</f>
        <v>1.8E-3</v>
      </c>
      <c r="I123" s="94">
        <v>2</v>
      </c>
      <c r="J123" s="94">
        <v>60</v>
      </c>
      <c r="K123" s="94">
        <f t="shared" si="53"/>
        <v>8.9999999999999998E-4</v>
      </c>
      <c r="L123" s="94">
        <v>1</v>
      </c>
      <c r="M123" s="94">
        <f t="shared" si="54"/>
        <v>8.9999999999999998E-4</v>
      </c>
      <c r="N123" s="94">
        <f t="shared" si="55"/>
        <v>8.0999999999999997E-7</v>
      </c>
      <c r="O123" s="94">
        <f t="shared" si="56"/>
        <v>1.0935E-14</v>
      </c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</row>
    <row r="124" spans="3:42" ht="12.75" customHeight="1" x14ac:dyDescent="0.3">
      <c r="C124" s="93" t="s">
        <v>99</v>
      </c>
      <c r="D124" s="94" t="s">
        <v>295</v>
      </c>
      <c r="E124" s="94" t="s">
        <v>95</v>
      </c>
      <c r="F124" s="95" t="str">
        <f>F121</f>
        <v>V2</v>
      </c>
      <c r="G124" s="94" t="s">
        <v>96</v>
      </c>
      <c r="H124" s="94">
        <f>X31</f>
        <v>7.3064568121615568E-4</v>
      </c>
      <c r="I124" s="94">
        <f>SQRT(3)</f>
        <v>1.7320508075688772</v>
      </c>
      <c r="J124" s="94">
        <v>50</v>
      </c>
      <c r="K124" s="94">
        <f t="shared" si="53"/>
        <v>4.2183848073238501E-4</v>
      </c>
      <c r="L124" s="94">
        <v>1</v>
      </c>
      <c r="M124" s="94">
        <f t="shared" si="54"/>
        <v>4.2183848073238501E-4</v>
      </c>
      <c r="N124" s="94">
        <f t="shared" si="55"/>
        <v>1.7794770382660676E-7</v>
      </c>
      <c r="O124" s="94">
        <f t="shared" si="56"/>
        <v>6.3330770594323512E-16</v>
      </c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</row>
    <row r="125" spans="3:42" ht="12.75" customHeight="1" x14ac:dyDescent="0.3">
      <c r="C125" s="98"/>
      <c r="D125" s="98"/>
      <c r="E125" s="98"/>
      <c r="F125" s="93"/>
      <c r="G125" s="93"/>
      <c r="H125" s="93"/>
      <c r="I125" s="93"/>
      <c r="J125" s="93"/>
      <c r="K125" s="93"/>
      <c r="L125" s="93"/>
      <c r="M125" s="93"/>
      <c r="N125" s="93"/>
      <c r="O125" s="93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</row>
    <row r="126" spans="3:42" ht="12.75" customHeight="1" x14ac:dyDescent="0.3">
      <c r="C126" s="834" t="s">
        <v>103</v>
      </c>
      <c r="D126" s="794"/>
      <c r="E126" s="794"/>
      <c r="F126" s="794"/>
      <c r="G126" s="794"/>
      <c r="H126" s="794"/>
      <c r="I126" s="794"/>
      <c r="J126" s="794"/>
      <c r="K126" s="794"/>
      <c r="L126" s="780"/>
      <c r="M126" s="835">
        <f>SUM(N121:N125)</f>
        <v>9.3212810371599416E-6</v>
      </c>
      <c r="N126" s="780"/>
      <c r="O126" s="93">
        <f>SUM(O121:O125)</f>
        <v>1.4004571965948323E-12</v>
      </c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</row>
    <row r="127" spans="3:42" ht="12.75" customHeight="1" x14ac:dyDescent="0.3">
      <c r="C127" s="834" t="s">
        <v>104</v>
      </c>
      <c r="D127" s="794"/>
      <c r="E127" s="794"/>
      <c r="F127" s="794"/>
      <c r="G127" s="794"/>
      <c r="H127" s="794"/>
      <c r="I127" s="794"/>
      <c r="J127" s="794"/>
      <c r="K127" s="794"/>
      <c r="L127" s="780"/>
      <c r="M127" s="835">
        <f>SQRT(M126)</f>
        <v>3.0530773061224542E-3</v>
      </c>
      <c r="N127" s="780"/>
      <c r="O127" s="93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</row>
    <row r="128" spans="3:42" ht="12.75" customHeight="1" x14ac:dyDescent="0.3">
      <c r="C128" s="834" t="s">
        <v>296</v>
      </c>
      <c r="D128" s="794"/>
      <c r="E128" s="794"/>
      <c r="F128" s="794"/>
      <c r="G128" s="794"/>
      <c r="H128" s="794"/>
      <c r="I128" s="794"/>
      <c r="J128" s="794"/>
      <c r="K128" s="794"/>
      <c r="L128" s="780"/>
      <c r="M128" s="99">
        <f>(M127^4)/O126</f>
        <v>62.04136790826508</v>
      </c>
      <c r="N128" s="101"/>
      <c r="O128" s="93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</row>
    <row r="129" spans="3:42" ht="12.75" customHeight="1" x14ac:dyDescent="0.3">
      <c r="C129" s="834" t="s">
        <v>297</v>
      </c>
      <c r="D129" s="794"/>
      <c r="E129" s="794"/>
      <c r="F129" s="794"/>
      <c r="G129" s="794"/>
      <c r="H129" s="794"/>
      <c r="I129" s="794"/>
      <c r="J129" s="794"/>
      <c r="K129" s="794"/>
      <c r="L129" s="780"/>
      <c r="M129" s="99">
        <f>1.95996+2.37356/M128+2.818745/M128^2+2.546662/M128^3+1.761829/M128^4+0.245458/M128^5+1.000764/M128^6</f>
        <v>1.9989607894999979</v>
      </c>
      <c r="N129" s="101">
        <v>2</v>
      </c>
      <c r="O129" s="93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</row>
    <row r="130" spans="3:42" ht="12.75" customHeight="1" x14ac:dyDescent="0.3">
      <c r="C130" s="834" t="s">
        <v>107</v>
      </c>
      <c r="D130" s="794"/>
      <c r="E130" s="794"/>
      <c r="F130" s="794"/>
      <c r="G130" s="794"/>
      <c r="H130" s="794"/>
      <c r="I130" s="794"/>
      <c r="J130" s="794"/>
      <c r="K130" s="794"/>
      <c r="L130" s="780"/>
      <c r="M130" s="99">
        <f>M129*M127</f>
        <v>6.102981822251068E-3</v>
      </c>
      <c r="N130" s="101">
        <f>N129*M127</f>
        <v>6.1061546122449083E-3</v>
      </c>
      <c r="O130" s="93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</row>
    <row r="131" spans="3:42" ht="12.75" customHeight="1" x14ac:dyDescent="0.3"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</row>
    <row r="132" spans="3:42" ht="12.75" customHeight="1" x14ac:dyDescent="0.3">
      <c r="C132" s="71" t="s">
        <v>76</v>
      </c>
      <c r="D132" s="1"/>
      <c r="E132" s="1"/>
      <c r="F132" s="1">
        <f t="shared" ref="F132:G132" si="57">C$8</f>
        <v>50</v>
      </c>
      <c r="G132" s="103" t="str">
        <f t="shared" si="57"/>
        <v>Hz</v>
      </c>
      <c r="H132" s="4">
        <f t="shared" ref="H132:I132" si="58">C$9</f>
        <v>50</v>
      </c>
      <c r="I132" s="4" t="str">
        <f t="shared" si="58"/>
        <v>Hz</v>
      </c>
      <c r="J132" s="12"/>
      <c r="K132" s="12"/>
      <c r="L132" s="12"/>
      <c r="M132" s="12"/>
      <c r="N132" s="12"/>
      <c r="O132" s="287" t="str">
        <f>O$34</f>
        <v>AC Voltage-Measure</v>
      </c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</row>
    <row r="133" spans="3:42" ht="12.75" customHeight="1" x14ac:dyDescent="0.3">
      <c r="C133" s="84" t="s">
        <v>2</v>
      </c>
      <c r="D133" s="85"/>
      <c r="E133" s="85"/>
      <c r="F133" s="80">
        <f t="shared" ref="F133:G133" si="59">E9</f>
        <v>30</v>
      </c>
      <c r="G133" s="2" t="str">
        <f t="shared" si="59"/>
        <v>V2</v>
      </c>
      <c r="H133" s="1"/>
      <c r="I133" s="1"/>
      <c r="J133" s="90">
        <v>0.01</v>
      </c>
      <c r="K133" s="90"/>
      <c r="L133" s="90"/>
      <c r="M133" s="90"/>
      <c r="N133" s="90"/>
      <c r="O133" s="76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</row>
    <row r="134" spans="3:42" ht="12.75" customHeight="1" x14ac:dyDescent="0.3">
      <c r="C134" s="91" t="s">
        <v>78</v>
      </c>
      <c r="D134" s="91" t="s">
        <v>79</v>
      </c>
      <c r="E134" s="91" t="s">
        <v>10</v>
      </c>
      <c r="F134" s="91" t="s">
        <v>80</v>
      </c>
      <c r="G134" s="91" t="s">
        <v>81</v>
      </c>
      <c r="H134" s="92" t="s">
        <v>82</v>
      </c>
      <c r="I134" s="91" t="s">
        <v>83</v>
      </c>
      <c r="J134" s="91" t="s">
        <v>84</v>
      </c>
      <c r="K134" s="91" t="s">
        <v>85</v>
      </c>
      <c r="L134" s="91" t="s">
        <v>86</v>
      </c>
      <c r="M134" s="91" t="s">
        <v>87</v>
      </c>
      <c r="N134" s="91" t="s">
        <v>298</v>
      </c>
      <c r="O134" s="91" t="s">
        <v>299</v>
      </c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</row>
    <row r="135" spans="3:42" ht="12.75" customHeight="1" x14ac:dyDescent="0.3">
      <c r="C135" s="93" t="s">
        <v>90</v>
      </c>
      <c r="D135" s="94" t="s">
        <v>300</v>
      </c>
      <c r="E135" s="94" t="s">
        <v>42</v>
      </c>
      <c r="F135" s="95" t="str">
        <f>G133</f>
        <v>V2</v>
      </c>
      <c r="G135" s="94" t="s">
        <v>631</v>
      </c>
      <c r="H135" s="94">
        <f>STDEV(Data!E62:N62)/SQRT(5)</f>
        <v>0</v>
      </c>
      <c r="I135" s="94">
        <v>1</v>
      </c>
      <c r="J135" s="94">
        <f>5-1</f>
        <v>4</v>
      </c>
      <c r="K135" s="94">
        <f t="shared" ref="K135:K138" si="60">(H135)/I135</f>
        <v>0</v>
      </c>
      <c r="L135" s="94">
        <v>1</v>
      </c>
      <c r="M135" s="94">
        <f t="shared" ref="M135:M138" si="61">K135*L135</f>
        <v>0</v>
      </c>
      <c r="N135" s="94">
        <f t="shared" ref="N135:N138" si="62">M135^2</f>
        <v>0</v>
      </c>
      <c r="O135" s="94">
        <f t="shared" ref="O135:O138" si="63">(M135^4)/J135</f>
        <v>0</v>
      </c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</row>
    <row r="136" spans="3:42" ht="12.75" customHeight="1" x14ac:dyDescent="0.3">
      <c r="C136" s="93" t="s">
        <v>93</v>
      </c>
      <c r="D136" s="94" t="s">
        <v>301</v>
      </c>
      <c r="E136" s="94" t="s">
        <v>95</v>
      </c>
      <c r="F136" s="95" t="str">
        <f>F135</f>
        <v>V2</v>
      </c>
      <c r="G136" s="94" t="s">
        <v>96</v>
      </c>
      <c r="H136" s="94">
        <f>J133/2</f>
        <v>5.0000000000000001E-3</v>
      </c>
      <c r="I136" s="94">
        <f>SQRT(3)</f>
        <v>1.7320508075688772</v>
      </c>
      <c r="J136" s="94">
        <v>50</v>
      </c>
      <c r="K136" s="94">
        <f t="shared" si="60"/>
        <v>2.886751345948129E-3</v>
      </c>
      <c r="L136" s="94">
        <v>1</v>
      </c>
      <c r="M136" s="94">
        <f t="shared" si="61"/>
        <v>2.886751345948129E-3</v>
      </c>
      <c r="N136" s="94">
        <f t="shared" si="62"/>
        <v>8.3333333333333337E-6</v>
      </c>
      <c r="O136" s="94">
        <f t="shared" si="63"/>
        <v>1.3888888888888891E-12</v>
      </c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</row>
    <row r="137" spans="3:42" ht="12.75" customHeight="1" x14ac:dyDescent="0.3">
      <c r="C137" s="93" t="s">
        <v>97</v>
      </c>
      <c r="D137" s="94" t="s">
        <v>302</v>
      </c>
      <c r="E137" s="94" t="s">
        <v>95</v>
      </c>
      <c r="F137" s="95" t="str">
        <f>F135</f>
        <v>V2</v>
      </c>
      <c r="G137" s="94" t="s">
        <v>92</v>
      </c>
      <c r="H137" s="96">
        <f>Y32</f>
        <v>1.2E-2</v>
      </c>
      <c r="I137" s="94">
        <v>2</v>
      </c>
      <c r="J137" s="94">
        <v>60</v>
      </c>
      <c r="K137" s="94">
        <f t="shared" si="60"/>
        <v>6.0000000000000001E-3</v>
      </c>
      <c r="L137" s="94">
        <v>1</v>
      </c>
      <c r="M137" s="94">
        <f t="shared" si="61"/>
        <v>6.0000000000000001E-3</v>
      </c>
      <c r="N137" s="94">
        <f t="shared" si="62"/>
        <v>3.6000000000000001E-5</v>
      </c>
      <c r="O137" s="94">
        <f t="shared" si="63"/>
        <v>2.1600000000000002E-11</v>
      </c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</row>
    <row r="138" spans="3:42" ht="12.75" customHeight="1" x14ac:dyDescent="0.3">
      <c r="C138" s="93" t="s">
        <v>99</v>
      </c>
      <c r="D138" s="94" t="s">
        <v>303</v>
      </c>
      <c r="E138" s="94" t="s">
        <v>95</v>
      </c>
      <c r="F138" s="95" t="str">
        <f>F135</f>
        <v>V2</v>
      </c>
      <c r="G138" s="94" t="s">
        <v>96</v>
      </c>
      <c r="H138" s="94">
        <f>X32</f>
        <v>8.3211478957164961E-4</v>
      </c>
      <c r="I138" s="94">
        <f>SQRT(3)</f>
        <v>1.7320508075688772</v>
      </c>
      <c r="J138" s="94">
        <v>50</v>
      </c>
      <c r="K138" s="94">
        <f t="shared" si="60"/>
        <v>4.8042169775586071E-4</v>
      </c>
      <c r="L138" s="94">
        <v>1</v>
      </c>
      <c r="M138" s="94">
        <f t="shared" si="61"/>
        <v>4.8042169775586071E-4</v>
      </c>
      <c r="N138" s="94">
        <f t="shared" si="62"/>
        <v>2.3080500767462358E-7</v>
      </c>
      <c r="O138" s="94">
        <f t="shared" si="63"/>
        <v>1.0654190313536609E-15</v>
      </c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</row>
    <row r="139" spans="3:42" ht="12.75" customHeight="1" x14ac:dyDescent="0.3">
      <c r="C139" s="98"/>
      <c r="D139" s="98"/>
      <c r="E139" s="98"/>
      <c r="F139" s="93"/>
      <c r="G139" s="93"/>
      <c r="H139" s="93"/>
      <c r="I139" s="93"/>
      <c r="J139" s="93"/>
      <c r="K139" s="93"/>
      <c r="L139" s="93"/>
      <c r="M139" s="93"/>
      <c r="N139" s="93"/>
      <c r="O139" s="93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</row>
    <row r="140" spans="3:42" ht="12.75" customHeight="1" x14ac:dyDescent="0.3">
      <c r="C140" s="834" t="s">
        <v>103</v>
      </c>
      <c r="D140" s="794"/>
      <c r="E140" s="794"/>
      <c r="F140" s="794"/>
      <c r="G140" s="794"/>
      <c r="H140" s="794"/>
      <c r="I140" s="794"/>
      <c r="J140" s="794"/>
      <c r="K140" s="794"/>
      <c r="L140" s="780"/>
      <c r="M140" s="835">
        <f>SUM(N135:N139)</f>
        <v>4.4564138341007956E-5</v>
      </c>
      <c r="N140" s="780"/>
      <c r="O140" s="93">
        <f>SUM(O135:O139)</f>
        <v>2.2989954307920244E-11</v>
      </c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</row>
    <row r="141" spans="3:42" ht="12.75" customHeight="1" x14ac:dyDescent="0.3">
      <c r="C141" s="834" t="s">
        <v>104</v>
      </c>
      <c r="D141" s="794"/>
      <c r="E141" s="794"/>
      <c r="F141" s="794"/>
      <c r="G141" s="794"/>
      <c r="H141" s="794"/>
      <c r="I141" s="794"/>
      <c r="J141" s="794"/>
      <c r="K141" s="794"/>
      <c r="L141" s="780"/>
      <c r="M141" s="835">
        <f>SQRT(M140)</f>
        <v>6.6756376729873498E-3</v>
      </c>
      <c r="N141" s="780"/>
      <c r="O141" s="93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</row>
    <row r="142" spans="3:42" ht="12.75" customHeight="1" x14ac:dyDescent="0.3">
      <c r="C142" s="834" t="s">
        <v>304</v>
      </c>
      <c r="D142" s="794"/>
      <c r="E142" s="794"/>
      <c r="F142" s="794"/>
      <c r="G142" s="794"/>
      <c r="H142" s="794"/>
      <c r="I142" s="794"/>
      <c r="J142" s="794"/>
      <c r="K142" s="794"/>
      <c r="L142" s="780"/>
      <c r="M142" s="99">
        <f>(M141^4)/O140</f>
        <v>86.383922276535955</v>
      </c>
      <c r="N142" s="101"/>
      <c r="O142" s="93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</row>
    <row r="143" spans="3:42" ht="12.75" customHeight="1" x14ac:dyDescent="0.3">
      <c r="C143" s="834" t="s">
        <v>305</v>
      </c>
      <c r="D143" s="794"/>
      <c r="E143" s="794"/>
      <c r="F143" s="794"/>
      <c r="G143" s="794"/>
      <c r="H143" s="794"/>
      <c r="I143" s="794"/>
      <c r="J143" s="794"/>
      <c r="K143" s="794"/>
      <c r="L143" s="780"/>
      <c r="M143" s="99">
        <f>1.95996+2.37356/M142+2.818745/M142^2+2.546662/M142^3+1.761829/M142^4+0.245458/M142^5+1.000764/M142^6</f>
        <v>1.9878185920341245</v>
      </c>
      <c r="N143" s="101">
        <v>2</v>
      </c>
      <c r="O143" s="93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</row>
    <row r="144" spans="3:42" ht="12.75" customHeight="1" x14ac:dyDescent="0.3">
      <c r="C144" s="834" t="s">
        <v>107</v>
      </c>
      <c r="D144" s="794"/>
      <c r="E144" s="794"/>
      <c r="F144" s="794"/>
      <c r="G144" s="794"/>
      <c r="H144" s="794"/>
      <c r="I144" s="794"/>
      <c r="J144" s="794"/>
      <c r="K144" s="794"/>
      <c r="L144" s="780"/>
      <c r="M144" s="99">
        <f>M143*M141</f>
        <v>1.3269956680047672E-2</v>
      </c>
      <c r="N144" s="101">
        <f>N143*M141</f>
        <v>1.33512753459747E-2</v>
      </c>
      <c r="O144" s="93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</row>
    <row r="145" spans="3:42" ht="12.75" customHeight="1" x14ac:dyDescent="0.3"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</row>
    <row r="146" spans="3:42" ht="12.75" customHeight="1" x14ac:dyDescent="0.3">
      <c r="C146" s="71" t="s">
        <v>76</v>
      </c>
      <c r="D146" s="1"/>
      <c r="E146" s="1"/>
      <c r="F146" s="1">
        <f t="shared" ref="F146:G146" si="64">C$8</f>
        <v>50</v>
      </c>
      <c r="G146" s="103" t="str">
        <f t="shared" si="64"/>
        <v>Hz</v>
      </c>
      <c r="H146" s="4">
        <f t="shared" ref="H146:I146" si="65">C$9</f>
        <v>50</v>
      </c>
      <c r="I146" s="4" t="str">
        <f t="shared" si="65"/>
        <v>Hz</v>
      </c>
      <c r="J146" s="12"/>
      <c r="K146" s="12"/>
      <c r="L146" s="12"/>
      <c r="M146" s="12"/>
      <c r="N146" s="12"/>
      <c r="O146" s="287" t="str">
        <f>O$34</f>
        <v>AC Voltage-Measure</v>
      </c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</row>
    <row r="147" spans="3:42" ht="12.75" customHeight="1" x14ac:dyDescent="0.3">
      <c r="C147" s="84" t="s">
        <v>2</v>
      </c>
      <c r="D147" s="85"/>
      <c r="E147" s="85"/>
      <c r="F147" s="6">
        <f t="shared" ref="F147:G147" si="66">E10</f>
        <v>54</v>
      </c>
      <c r="G147" s="2" t="str">
        <f t="shared" si="66"/>
        <v>V3</v>
      </c>
      <c r="H147" s="1"/>
      <c r="I147" s="1"/>
      <c r="J147" s="90">
        <v>0.01</v>
      </c>
      <c r="K147" s="90"/>
      <c r="L147" s="90"/>
      <c r="M147" s="90"/>
      <c r="N147" s="90"/>
      <c r="O147" s="76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</row>
    <row r="148" spans="3:42" ht="12.75" customHeight="1" x14ac:dyDescent="0.3">
      <c r="C148" s="91" t="s">
        <v>78</v>
      </c>
      <c r="D148" s="91" t="s">
        <v>79</v>
      </c>
      <c r="E148" s="91" t="s">
        <v>10</v>
      </c>
      <c r="F148" s="91" t="s">
        <v>80</v>
      </c>
      <c r="G148" s="91" t="s">
        <v>81</v>
      </c>
      <c r="H148" s="92" t="s">
        <v>82</v>
      </c>
      <c r="I148" s="91" t="s">
        <v>83</v>
      </c>
      <c r="J148" s="91" t="s">
        <v>84</v>
      </c>
      <c r="K148" s="91" t="s">
        <v>85</v>
      </c>
      <c r="L148" s="91" t="s">
        <v>86</v>
      </c>
      <c r="M148" s="91" t="s">
        <v>87</v>
      </c>
      <c r="N148" s="91" t="s">
        <v>306</v>
      </c>
      <c r="O148" s="91" t="s">
        <v>307</v>
      </c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</row>
    <row r="149" spans="3:42" ht="12.75" customHeight="1" x14ac:dyDescent="0.3">
      <c r="C149" s="93" t="s">
        <v>90</v>
      </c>
      <c r="D149" s="94" t="s">
        <v>308</v>
      </c>
      <c r="E149" s="94" t="s">
        <v>42</v>
      </c>
      <c r="F149" s="95" t="str">
        <f>G147</f>
        <v>V3</v>
      </c>
      <c r="G149" s="94" t="s">
        <v>631</v>
      </c>
      <c r="H149" s="94">
        <f>STDEV(Data!E63:N63)/SQRT(5)</f>
        <v>0</v>
      </c>
      <c r="I149" s="94">
        <v>1</v>
      </c>
      <c r="J149" s="94">
        <f>5-1</f>
        <v>4</v>
      </c>
      <c r="K149" s="94">
        <f t="shared" ref="K149:K152" si="67">(H149)/I149</f>
        <v>0</v>
      </c>
      <c r="L149" s="94">
        <v>1</v>
      </c>
      <c r="M149" s="94">
        <f t="shared" ref="M149:M152" si="68">K149*L149</f>
        <v>0</v>
      </c>
      <c r="N149" s="94">
        <f t="shared" ref="N149:N152" si="69">M149^2</f>
        <v>0</v>
      </c>
      <c r="O149" s="94">
        <f t="shared" ref="O149:O152" si="70">(M149^4)/J149</f>
        <v>0</v>
      </c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</row>
    <row r="150" spans="3:42" ht="12.75" customHeight="1" x14ac:dyDescent="0.3">
      <c r="C150" s="93" t="s">
        <v>93</v>
      </c>
      <c r="D150" s="94" t="s">
        <v>309</v>
      </c>
      <c r="E150" s="94" t="s">
        <v>95</v>
      </c>
      <c r="F150" s="95" t="str">
        <f>F149</f>
        <v>V3</v>
      </c>
      <c r="G150" s="94" t="s">
        <v>96</v>
      </c>
      <c r="H150" s="94">
        <f>J147/2</f>
        <v>5.0000000000000001E-3</v>
      </c>
      <c r="I150" s="94">
        <f>SQRT(3)</f>
        <v>1.7320508075688772</v>
      </c>
      <c r="J150" s="94">
        <v>50</v>
      </c>
      <c r="K150" s="94">
        <f t="shared" si="67"/>
        <v>2.886751345948129E-3</v>
      </c>
      <c r="L150" s="94">
        <v>1</v>
      </c>
      <c r="M150" s="94">
        <f t="shared" si="68"/>
        <v>2.886751345948129E-3</v>
      </c>
      <c r="N150" s="94">
        <f t="shared" si="69"/>
        <v>8.3333333333333337E-6</v>
      </c>
      <c r="O150" s="94">
        <f t="shared" si="70"/>
        <v>1.3888888888888891E-12</v>
      </c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</row>
    <row r="151" spans="3:42" ht="12.75" customHeight="1" x14ac:dyDescent="0.3">
      <c r="C151" s="93" t="s">
        <v>97</v>
      </c>
      <c r="D151" s="94" t="s">
        <v>310</v>
      </c>
      <c r="E151" s="94" t="s">
        <v>95</v>
      </c>
      <c r="F151" s="95" t="str">
        <f>F149</f>
        <v>V3</v>
      </c>
      <c r="G151" s="94" t="s">
        <v>92</v>
      </c>
      <c r="H151" s="96">
        <f>Y33</f>
        <v>9.7999999999999997E-3</v>
      </c>
      <c r="I151" s="94">
        <v>2</v>
      </c>
      <c r="J151" s="94">
        <v>60</v>
      </c>
      <c r="K151" s="94">
        <f t="shared" si="67"/>
        <v>4.8999999999999998E-3</v>
      </c>
      <c r="L151" s="94">
        <v>1</v>
      </c>
      <c r="M151" s="94">
        <f t="shared" si="68"/>
        <v>4.8999999999999998E-3</v>
      </c>
      <c r="N151" s="94">
        <f t="shared" si="69"/>
        <v>2.4009999999999999E-5</v>
      </c>
      <c r="O151" s="94">
        <f t="shared" si="70"/>
        <v>9.6080016666666663E-12</v>
      </c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</row>
    <row r="152" spans="3:42" ht="12.75" customHeight="1" x14ac:dyDescent="0.3">
      <c r="C152" s="93" t="s">
        <v>99</v>
      </c>
      <c r="D152" s="94" t="s">
        <v>311</v>
      </c>
      <c r="E152" s="94" t="s">
        <v>95</v>
      </c>
      <c r="F152" s="95" t="str">
        <f>F149</f>
        <v>V3</v>
      </c>
      <c r="G152" s="94" t="s">
        <v>96</v>
      </c>
      <c r="H152" s="94">
        <f>X33</f>
        <v>7.0239758214262404E-3</v>
      </c>
      <c r="I152" s="94">
        <f>SQRT(3)</f>
        <v>1.7320508075688772</v>
      </c>
      <c r="J152" s="94">
        <v>50</v>
      </c>
      <c r="K152" s="94">
        <f t="shared" si="67"/>
        <v>4.0552943312818631E-3</v>
      </c>
      <c r="L152" s="94">
        <v>1</v>
      </c>
      <c r="M152" s="94">
        <f t="shared" si="68"/>
        <v>4.0552943312818631E-3</v>
      </c>
      <c r="N152" s="94">
        <f t="shared" si="69"/>
        <v>1.6445412113326814E-5</v>
      </c>
      <c r="O152" s="94">
        <f t="shared" si="70"/>
        <v>5.4090315915431265E-12</v>
      </c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</row>
    <row r="153" spans="3:42" ht="12.75" customHeight="1" x14ac:dyDescent="0.3">
      <c r="C153" s="98"/>
      <c r="D153" s="98"/>
      <c r="E153" s="98"/>
      <c r="F153" s="93"/>
      <c r="G153" s="93"/>
      <c r="H153" s="93"/>
      <c r="I153" s="93"/>
      <c r="J153" s="93"/>
      <c r="K153" s="93"/>
      <c r="L153" s="93"/>
      <c r="M153" s="93"/>
      <c r="N153" s="93"/>
      <c r="O153" s="93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</row>
    <row r="154" spans="3:42" ht="12.75" customHeight="1" x14ac:dyDescent="0.3">
      <c r="C154" s="834" t="s">
        <v>103</v>
      </c>
      <c r="D154" s="794"/>
      <c r="E154" s="794"/>
      <c r="F154" s="794"/>
      <c r="G154" s="794"/>
      <c r="H154" s="794"/>
      <c r="I154" s="794"/>
      <c r="J154" s="794"/>
      <c r="K154" s="794"/>
      <c r="L154" s="780"/>
      <c r="M154" s="835">
        <f>SUM(N149:N153)</f>
        <v>4.878874544666015E-5</v>
      </c>
      <c r="N154" s="780"/>
      <c r="O154" s="93">
        <f>SUM(O149:O153)</f>
        <v>1.6405922147098681E-11</v>
      </c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</row>
    <row r="155" spans="3:42" ht="12.75" customHeight="1" x14ac:dyDescent="0.3">
      <c r="C155" s="834" t="s">
        <v>104</v>
      </c>
      <c r="D155" s="794"/>
      <c r="E155" s="794"/>
      <c r="F155" s="794"/>
      <c r="G155" s="794"/>
      <c r="H155" s="794"/>
      <c r="I155" s="794"/>
      <c r="J155" s="794"/>
      <c r="K155" s="794"/>
      <c r="L155" s="780"/>
      <c r="M155" s="835">
        <f>SQRT(M154)</f>
        <v>6.9848940898670862E-3</v>
      </c>
      <c r="N155" s="780"/>
      <c r="O155" s="93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</row>
    <row r="156" spans="3:42" ht="12.75" customHeight="1" x14ac:dyDescent="0.3">
      <c r="C156" s="834" t="s">
        <v>312</v>
      </c>
      <c r="D156" s="794"/>
      <c r="E156" s="794"/>
      <c r="F156" s="794"/>
      <c r="G156" s="794"/>
      <c r="H156" s="794"/>
      <c r="I156" s="794"/>
      <c r="J156" s="794"/>
      <c r="K156" s="794"/>
      <c r="L156" s="780"/>
      <c r="M156" s="99">
        <f>(M155^4)/O154</f>
        <v>145.09039241539708</v>
      </c>
      <c r="N156" s="101"/>
      <c r="O156" s="93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</row>
    <row r="157" spans="3:42" ht="12.75" customHeight="1" x14ac:dyDescent="0.3">
      <c r="C157" s="834" t="s">
        <v>313</v>
      </c>
      <c r="D157" s="794"/>
      <c r="E157" s="794"/>
      <c r="F157" s="794"/>
      <c r="G157" s="794"/>
      <c r="H157" s="794"/>
      <c r="I157" s="794"/>
      <c r="J157" s="794"/>
      <c r="K157" s="794"/>
      <c r="L157" s="780"/>
      <c r="M157" s="99">
        <f>1.95996+2.37356/M156+2.818745/M156^2+2.546662/M156^3+1.761829/M156^4+0.245458/M156^5+1.000764/M156^6</f>
        <v>1.9764539181827516</v>
      </c>
      <c r="N157" s="101">
        <v>2</v>
      </c>
      <c r="O157" s="93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</row>
    <row r="158" spans="3:42" ht="12.75" customHeight="1" x14ac:dyDescent="0.3">
      <c r="C158" s="834" t="s">
        <v>107</v>
      </c>
      <c r="D158" s="794"/>
      <c r="E158" s="794"/>
      <c r="F158" s="794"/>
      <c r="G158" s="794"/>
      <c r="H158" s="794"/>
      <c r="I158" s="794"/>
      <c r="J158" s="794"/>
      <c r="K158" s="794"/>
      <c r="L158" s="780"/>
      <c r="M158" s="99">
        <f>M157*M155</f>
        <v>1.3805321292009348E-2</v>
      </c>
      <c r="N158" s="101">
        <f>N157*M155</f>
        <v>1.3969788179734172E-2</v>
      </c>
      <c r="O158" s="93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</row>
    <row r="159" spans="3:42" ht="12.75" customHeight="1" x14ac:dyDescent="0.3"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</row>
    <row r="160" spans="3:42" ht="12.75" customHeight="1" x14ac:dyDescent="0.3">
      <c r="C160" s="71" t="s">
        <v>76</v>
      </c>
      <c r="D160" s="1"/>
      <c r="E160" s="1"/>
      <c r="F160" s="103">
        <f t="shared" ref="F160:G160" si="71">C$11</f>
        <v>50</v>
      </c>
      <c r="G160" s="103" t="str">
        <f t="shared" si="71"/>
        <v>Hz</v>
      </c>
      <c r="H160" s="4">
        <f t="shared" ref="H160:I160" si="72">C$12</f>
        <v>50</v>
      </c>
      <c r="I160" s="4" t="str">
        <f t="shared" si="72"/>
        <v>Hz</v>
      </c>
      <c r="J160" s="12"/>
      <c r="K160" s="12"/>
      <c r="L160" s="12"/>
      <c r="M160" s="12"/>
      <c r="N160" s="12"/>
      <c r="O160" s="287" t="str">
        <f>O$34</f>
        <v>AC Voltage-Measure</v>
      </c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</row>
    <row r="161" spans="3:42" ht="12.75" customHeight="1" x14ac:dyDescent="0.3">
      <c r="C161" s="84" t="s">
        <v>2</v>
      </c>
      <c r="D161" s="85"/>
      <c r="E161" s="85"/>
      <c r="F161" s="6">
        <f t="shared" ref="F161:G161" si="73">E11</f>
        <v>60</v>
      </c>
      <c r="G161" s="6" t="str">
        <f t="shared" si="73"/>
        <v>V3</v>
      </c>
      <c r="H161" s="1"/>
      <c r="I161" s="1"/>
      <c r="J161" s="90">
        <v>0.1</v>
      </c>
      <c r="K161" s="90"/>
      <c r="L161" s="90"/>
      <c r="M161" s="90"/>
      <c r="N161" s="90"/>
      <c r="O161" s="76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</row>
    <row r="162" spans="3:42" ht="12.75" customHeight="1" x14ac:dyDescent="0.3">
      <c r="C162" s="91" t="s">
        <v>78</v>
      </c>
      <c r="D162" s="91" t="s">
        <v>79</v>
      </c>
      <c r="E162" s="91" t="s">
        <v>10</v>
      </c>
      <c r="F162" s="91" t="s">
        <v>80</v>
      </c>
      <c r="G162" s="91" t="s">
        <v>81</v>
      </c>
      <c r="H162" s="92" t="s">
        <v>82</v>
      </c>
      <c r="I162" s="91" t="s">
        <v>83</v>
      </c>
      <c r="J162" s="91" t="s">
        <v>84</v>
      </c>
      <c r="K162" s="91" t="s">
        <v>85</v>
      </c>
      <c r="L162" s="91" t="s">
        <v>86</v>
      </c>
      <c r="M162" s="91" t="s">
        <v>87</v>
      </c>
      <c r="N162" s="91" t="s">
        <v>314</v>
      </c>
      <c r="O162" s="91" t="s">
        <v>315</v>
      </c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</row>
    <row r="163" spans="3:42" ht="12.75" customHeight="1" x14ac:dyDescent="0.3">
      <c r="C163" s="93" t="s">
        <v>90</v>
      </c>
      <c r="D163" s="94" t="s">
        <v>316</v>
      </c>
      <c r="E163" s="94" t="s">
        <v>42</v>
      </c>
      <c r="F163" s="95" t="str">
        <f>G161</f>
        <v>V3</v>
      </c>
      <c r="G163" s="94" t="s">
        <v>631</v>
      </c>
      <c r="H163" s="94">
        <f>STDEV(Data!E65:N65)/SQRT(5)</f>
        <v>0</v>
      </c>
      <c r="I163" s="94">
        <v>1</v>
      </c>
      <c r="J163" s="94">
        <f>5-1</f>
        <v>4</v>
      </c>
      <c r="K163" s="94">
        <f t="shared" ref="K163:K166" si="74">(H163)/I163</f>
        <v>0</v>
      </c>
      <c r="L163" s="94">
        <v>1</v>
      </c>
      <c r="M163" s="94">
        <f t="shared" ref="M163:M166" si="75">K163*L163</f>
        <v>0</v>
      </c>
      <c r="N163" s="94">
        <f t="shared" ref="N163:N166" si="76">M163^2</f>
        <v>0</v>
      </c>
      <c r="O163" s="94">
        <f t="shared" ref="O163:O166" si="77">(M163^4)/J163</f>
        <v>0</v>
      </c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</row>
    <row r="164" spans="3:42" ht="12.75" customHeight="1" x14ac:dyDescent="0.3">
      <c r="C164" s="93" t="s">
        <v>93</v>
      </c>
      <c r="D164" s="94" t="s">
        <v>317</v>
      </c>
      <c r="E164" s="94" t="s">
        <v>95</v>
      </c>
      <c r="F164" s="95" t="str">
        <f>F163</f>
        <v>V3</v>
      </c>
      <c r="G164" s="94" t="s">
        <v>96</v>
      </c>
      <c r="H164" s="94">
        <f>J161/2</f>
        <v>0.05</v>
      </c>
      <c r="I164" s="94">
        <f>SQRT(3)</f>
        <v>1.7320508075688772</v>
      </c>
      <c r="J164" s="94">
        <v>50</v>
      </c>
      <c r="K164" s="94">
        <f t="shared" si="74"/>
        <v>2.8867513459481291E-2</v>
      </c>
      <c r="L164" s="94">
        <v>1</v>
      </c>
      <c r="M164" s="94">
        <f t="shared" si="75"/>
        <v>2.8867513459481291E-2</v>
      </c>
      <c r="N164" s="94">
        <f t="shared" si="76"/>
        <v>8.333333333333335E-4</v>
      </c>
      <c r="O164" s="94">
        <f t="shared" si="77"/>
        <v>1.3888888888888894E-8</v>
      </c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</row>
    <row r="165" spans="3:42" ht="12.75" customHeight="1" x14ac:dyDescent="0.3">
      <c r="C165" s="93" t="s">
        <v>97</v>
      </c>
      <c r="D165" s="94" t="s">
        <v>318</v>
      </c>
      <c r="E165" s="94" t="s">
        <v>95</v>
      </c>
      <c r="F165" s="95" t="str">
        <f>F163</f>
        <v>V3</v>
      </c>
      <c r="G165" s="94" t="s">
        <v>92</v>
      </c>
      <c r="H165" s="139">
        <f>Y34</f>
        <v>1.7999999999999999E-2</v>
      </c>
      <c r="I165" s="94">
        <v>2</v>
      </c>
      <c r="J165" s="94">
        <v>60</v>
      </c>
      <c r="K165" s="94">
        <f t="shared" si="74"/>
        <v>8.9999999999999993E-3</v>
      </c>
      <c r="L165" s="94">
        <v>1</v>
      </c>
      <c r="M165" s="94">
        <f t="shared" si="75"/>
        <v>8.9999999999999993E-3</v>
      </c>
      <c r="N165" s="94">
        <f t="shared" si="76"/>
        <v>8.099999999999999E-5</v>
      </c>
      <c r="O165" s="94">
        <f t="shared" si="77"/>
        <v>1.0934999999999998E-10</v>
      </c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</row>
    <row r="166" spans="3:42" ht="12.75" customHeight="1" x14ac:dyDescent="0.3">
      <c r="C166" s="93" t="s">
        <v>99</v>
      </c>
      <c r="D166" s="94" t="s">
        <v>319</v>
      </c>
      <c r="E166" s="94" t="s">
        <v>95</v>
      </c>
      <c r="F166" s="95" t="str">
        <f>F163</f>
        <v>V3</v>
      </c>
      <c r="G166" s="94" t="s">
        <v>96</v>
      </c>
      <c r="H166" s="94">
        <f>X34</f>
        <v>6.9781665125657963E-3</v>
      </c>
      <c r="I166" s="94">
        <f>SQRT(3)</f>
        <v>1.7320508075688772</v>
      </c>
      <c r="J166" s="94">
        <v>50</v>
      </c>
      <c r="K166" s="94">
        <f t="shared" si="74"/>
        <v>4.0288463144798944E-3</v>
      </c>
      <c r="L166" s="94">
        <v>1</v>
      </c>
      <c r="M166" s="94">
        <f t="shared" si="75"/>
        <v>4.0288463144798944E-3</v>
      </c>
      <c r="N166" s="94">
        <f t="shared" si="76"/>
        <v>1.6231602625698228E-5</v>
      </c>
      <c r="O166" s="94">
        <f t="shared" si="77"/>
        <v>5.2692984759714724E-12</v>
      </c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</row>
    <row r="167" spans="3:42" ht="12.75" customHeight="1" x14ac:dyDescent="0.3">
      <c r="C167" s="98"/>
      <c r="D167" s="98"/>
      <c r="E167" s="98"/>
      <c r="F167" s="93"/>
      <c r="G167" s="93"/>
      <c r="H167" s="93"/>
      <c r="I167" s="93"/>
      <c r="J167" s="93"/>
      <c r="K167" s="93"/>
      <c r="L167" s="93"/>
      <c r="M167" s="93"/>
      <c r="N167" s="93"/>
      <c r="O167" s="93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</row>
    <row r="168" spans="3:42" ht="12.75" customHeight="1" x14ac:dyDescent="0.3">
      <c r="C168" s="834" t="s">
        <v>103</v>
      </c>
      <c r="D168" s="794"/>
      <c r="E168" s="794"/>
      <c r="F168" s="794"/>
      <c r="G168" s="794"/>
      <c r="H168" s="794"/>
      <c r="I168" s="794"/>
      <c r="J168" s="794"/>
      <c r="K168" s="794"/>
      <c r="L168" s="780"/>
      <c r="M168" s="835">
        <f>SUM(N163:N167)</f>
        <v>9.3056493595903178E-4</v>
      </c>
      <c r="N168" s="780"/>
      <c r="O168" s="93">
        <f>SUM(O163:O167)</f>
        <v>1.4003508187364865E-8</v>
      </c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</row>
    <row r="169" spans="3:42" ht="12.75" customHeight="1" x14ac:dyDescent="0.3">
      <c r="C169" s="834" t="s">
        <v>104</v>
      </c>
      <c r="D169" s="794"/>
      <c r="E169" s="794"/>
      <c r="F169" s="794"/>
      <c r="G169" s="794"/>
      <c r="H169" s="794"/>
      <c r="I169" s="794"/>
      <c r="J169" s="794"/>
      <c r="K169" s="794"/>
      <c r="L169" s="780"/>
      <c r="M169" s="835">
        <f>SQRT(M168)</f>
        <v>3.0505162447674847E-2</v>
      </c>
      <c r="N169" s="780"/>
      <c r="O169" s="93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</row>
    <row r="170" spans="3:42" ht="12.75" customHeight="1" x14ac:dyDescent="0.3">
      <c r="C170" s="834" t="s">
        <v>320</v>
      </c>
      <c r="D170" s="794"/>
      <c r="E170" s="794"/>
      <c r="F170" s="794"/>
      <c r="G170" s="794"/>
      <c r="H170" s="794"/>
      <c r="I170" s="794"/>
      <c r="J170" s="794"/>
      <c r="K170" s="794"/>
      <c r="L170" s="780"/>
      <c r="M170" s="99">
        <f>(M169^4)/O168</f>
        <v>61.838154300346687</v>
      </c>
      <c r="N170" s="101"/>
      <c r="O170" s="93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</row>
    <row r="171" spans="3:42" ht="12.75" customHeight="1" x14ac:dyDescent="0.3">
      <c r="C171" s="834" t="s">
        <v>321</v>
      </c>
      <c r="D171" s="794"/>
      <c r="E171" s="794"/>
      <c r="F171" s="794"/>
      <c r="G171" s="794"/>
      <c r="H171" s="794"/>
      <c r="I171" s="794"/>
      <c r="J171" s="794"/>
      <c r="K171" s="794"/>
      <c r="L171" s="780"/>
      <c r="M171" s="99">
        <f>1.95996+2.37356/M170+2.818745/M170^2+2.546662/M170^3+1.761829/M170^4+0.245458/M170^5+1.000764/M170^6</f>
        <v>1.9990914406131797</v>
      </c>
      <c r="N171" s="101">
        <v>2</v>
      </c>
      <c r="O171" s="93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</row>
    <row r="172" spans="3:42" ht="12.75" customHeight="1" x14ac:dyDescent="0.3">
      <c r="C172" s="834" t="s">
        <v>107</v>
      </c>
      <c r="D172" s="794"/>
      <c r="E172" s="794"/>
      <c r="F172" s="794"/>
      <c r="G172" s="794"/>
      <c r="H172" s="794"/>
      <c r="I172" s="794"/>
      <c r="J172" s="794"/>
      <c r="K172" s="794"/>
      <c r="L172" s="780"/>
      <c r="M172" s="99">
        <f>M171*M169</f>
        <v>6.0982609143661382E-2</v>
      </c>
      <c r="N172" s="101">
        <f>N171*M169</f>
        <v>6.1010324895349695E-2</v>
      </c>
      <c r="O172" s="93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</row>
    <row r="173" spans="3:42" ht="12.75" customHeight="1" x14ac:dyDescent="0.3"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</row>
    <row r="174" spans="3:42" ht="12.75" customHeight="1" x14ac:dyDescent="0.3">
      <c r="C174" s="71" t="s">
        <v>76</v>
      </c>
      <c r="D174" s="1"/>
      <c r="E174" s="1"/>
      <c r="F174" s="103">
        <f t="shared" ref="F174:G174" si="78">C$11</f>
        <v>50</v>
      </c>
      <c r="G174" s="103" t="str">
        <f t="shared" si="78"/>
        <v>Hz</v>
      </c>
      <c r="H174" s="4">
        <f t="shared" ref="H174:I174" si="79">C$12</f>
        <v>50</v>
      </c>
      <c r="I174" s="4" t="str">
        <f t="shared" si="79"/>
        <v>Hz</v>
      </c>
      <c r="J174" s="12"/>
      <c r="K174" s="12"/>
      <c r="L174" s="12"/>
      <c r="M174" s="12"/>
      <c r="N174" s="12"/>
      <c r="O174" s="287" t="str">
        <f>O$34</f>
        <v>AC Voltage-Measure</v>
      </c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</row>
    <row r="175" spans="3:42" ht="12.75" customHeight="1" x14ac:dyDescent="0.3">
      <c r="C175" s="84" t="s">
        <v>2</v>
      </c>
      <c r="D175" s="85"/>
      <c r="E175" s="85"/>
      <c r="F175" s="6">
        <f t="shared" ref="F175:G175" si="80">E12</f>
        <v>300</v>
      </c>
      <c r="G175" s="6" t="str">
        <f t="shared" si="80"/>
        <v>V3</v>
      </c>
      <c r="H175" s="1"/>
      <c r="I175" s="1"/>
      <c r="J175" s="90">
        <v>0.1</v>
      </c>
      <c r="K175" s="90"/>
      <c r="L175" s="90"/>
      <c r="M175" s="90"/>
      <c r="N175" s="90"/>
      <c r="O175" s="76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</row>
    <row r="176" spans="3:42" ht="12.75" customHeight="1" x14ac:dyDescent="0.3">
      <c r="C176" s="91" t="s">
        <v>78</v>
      </c>
      <c r="D176" s="91" t="s">
        <v>79</v>
      </c>
      <c r="E176" s="91" t="s">
        <v>10</v>
      </c>
      <c r="F176" s="91" t="s">
        <v>80</v>
      </c>
      <c r="G176" s="91" t="s">
        <v>81</v>
      </c>
      <c r="H176" s="92" t="s">
        <v>82</v>
      </c>
      <c r="I176" s="91" t="s">
        <v>83</v>
      </c>
      <c r="J176" s="91" t="s">
        <v>84</v>
      </c>
      <c r="K176" s="91" t="s">
        <v>85</v>
      </c>
      <c r="L176" s="91" t="s">
        <v>86</v>
      </c>
      <c r="M176" s="91" t="s">
        <v>87</v>
      </c>
      <c r="N176" s="91" t="s">
        <v>322</v>
      </c>
      <c r="O176" s="91" t="s">
        <v>323</v>
      </c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</row>
    <row r="177" spans="3:42" ht="12.75" customHeight="1" x14ac:dyDescent="0.3">
      <c r="C177" s="93" t="s">
        <v>90</v>
      </c>
      <c r="D177" s="94" t="s">
        <v>324</v>
      </c>
      <c r="E177" s="94" t="s">
        <v>42</v>
      </c>
      <c r="F177" s="95" t="str">
        <f>G175</f>
        <v>V3</v>
      </c>
      <c r="G177" s="94" t="s">
        <v>631</v>
      </c>
      <c r="H177" s="94">
        <f>STDEV(Data!E66:N66)/SQRT(5)</f>
        <v>0</v>
      </c>
      <c r="I177" s="94">
        <v>1</v>
      </c>
      <c r="J177" s="94">
        <f>5-1</f>
        <v>4</v>
      </c>
      <c r="K177" s="94">
        <f t="shared" ref="K177:K180" si="81">(H177)/I177</f>
        <v>0</v>
      </c>
      <c r="L177" s="94">
        <v>1</v>
      </c>
      <c r="M177" s="94">
        <f t="shared" ref="M177:M180" si="82">K177*L177</f>
        <v>0</v>
      </c>
      <c r="N177" s="94">
        <f t="shared" ref="N177:N180" si="83">M177^2</f>
        <v>0</v>
      </c>
      <c r="O177" s="94">
        <f t="shared" ref="O177:O180" si="84">(M177^4)/J177</f>
        <v>0</v>
      </c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</row>
    <row r="178" spans="3:42" ht="12.75" customHeight="1" x14ac:dyDescent="0.3">
      <c r="C178" s="93" t="s">
        <v>93</v>
      </c>
      <c r="D178" s="94" t="s">
        <v>325</v>
      </c>
      <c r="E178" s="94" t="s">
        <v>95</v>
      </c>
      <c r="F178" s="95" t="str">
        <f>F177</f>
        <v>V3</v>
      </c>
      <c r="G178" s="94" t="s">
        <v>96</v>
      </c>
      <c r="H178" s="94">
        <f>J175/2</f>
        <v>0.05</v>
      </c>
      <c r="I178" s="94">
        <f>SQRT(3)</f>
        <v>1.7320508075688772</v>
      </c>
      <c r="J178" s="94">
        <v>50</v>
      </c>
      <c r="K178" s="94">
        <f t="shared" si="81"/>
        <v>2.8867513459481291E-2</v>
      </c>
      <c r="L178" s="94">
        <v>1</v>
      </c>
      <c r="M178" s="94">
        <f t="shared" si="82"/>
        <v>2.8867513459481291E-2</v>
      </c>
      <c r="N178" s="94">
        <f t="shared" si="83"/>
        <v>8.333333333333335E-4</v>
      </c>
      <c r="O178" s="94">
        <f t="shared" si="84"/>
        <v>1.3888888888888894E-8</v>
      </c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</row>
    <row r="179" spans="3:42" ht="12.75" customHeight="1" x14ac:dyDescent="0.3">
      <c r="C179" s="93" t="s">
        <v>97</v>
      </c>
      <c r="D179" s="94" t="s">
        <v>326</v>
      </c>
      <c r="E179" s="94" t="s">
        <v>95</v>
      </c>
      <c r="F179" s="95" t="str">
        <f>F177</f>
        <v>V3</v>
      </c>
      <c r="G179" s="94" t="s">
        <v>92</v>
      </c>
      <c r="H179" s="139">
        <f>Y35</f>
        <v>0.04</v>
      </c>
      <c r="I179" s="94">
        <v>2</v>
      </c>
      <c r="J179" s="94">
        <v>60</v>
      </c>
      <c r="K179" s="94">
        <f t="shared" si="81"/>
        <v>0.02</v>
      </c>
      <c r="L179" s="94">
        <v>1</v>
      </c>
      <c r="M179" s="94">
        <f t="shared" si="82"/>
        <v>0.02</v>
      </c>
      <c r="N179" s="94">
        <f t="shared" si="83"/>
        <v>4.0000000000000002E-4</v>
      </c>
      <c r="O179" s="94">
        <f t="shared" si="84"/>
        <v>2.6666666666666666E-9</v>
      </c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</row>
    <row r="180" spans="3:42" ht="12.75" customHeight="1" x14ac:dyDescent="0.3">
      <c r="C180" s="93" t="s">
        <v>99</v>
      </c>
      <c r="D180" s="94" t="s">
        <v>327</v>
      </c>
      <c r="E180" s="94" t="s">
        <v>95</v>
      </c>
      <c r="F180" s="95" t="str">
        <f>F177</f>
        <v>V3</v>
      </c>
      <c r="G180" s="94" t="s">
        <v>96</v>
      </c>
      <c r="H180" s="94">
        <f>X35</f>
        <v>1.1704940241546617E-2</v>
      </c>
      <c r="I180" s="94">
        <f>SQRT(3)</f>
        <v>1.7320508075688772</v>
      </c>
      <c r="J180" s="94">
        <v>50</v>
      </c>
      <c r="K180" s="94">
        <f t="shared" si="81"/>
        <v>6.7578503993054231E-3</v>
      </c>
      <c r="L180" s="94">
        <v>1</v>
      </c>
      <c r="M180" s="94">
        <f t="shared" si="82"/>
        <v>6.7578503993054231E-3</v>
      </c>
      <c r="N180" s="94">
        <f t="shared" si="83"/>
        <v>4.5668542019392467E-5</v>
      </c>
      <c r="O180" s="94">
        <f t="shared" si="84"/>
        <v>4.1712314603540303E-11</v>
      </c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</row>
    <row r="181" spans="3:42" ht="12.75" customHeight="1" x14ac:dyDescent="0.3">
      <c r="C181" s="98"/>
      <c r="D181" s="98"/>
      <c r="E181" s="98"/>
      <c r="F181" s="93"/>
      <c r="G181" s="93"/>
      <c r="H181" s="93"/>
      <c r="I181" s="93"/>
      <c r="J181" s="93"/>
      <c r="K181" s="93"/>
      <c r="L181" s="93"/>
      <c r="M181" s="93"/>
      <c r="N181" s="93"/>
      <c r="O181" s="93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</row>
    <row r="182" spans="3:42" ht="12.75" customHeight="1" x14ac:dyDescent="0.3">
      <c r="C182" s="834" t="s">
        <v>103</v>
      </c>
      <c r="D182" s="794"/>
      <c r="E182" s="794"/>
      <c r="F182" s="794"/>
      <c r="G182" s="794"/>
      <c r="H182" s="794"/>
      <c r="I182" s="794"/>
      <c r="J182" s="794"/>
      <c r="K182" s="794"/>
      <c r="L182" s="780"/>
      <c r="M182" s="835">
        <f>SUM(N177:N181)</f>
        <v>1.2790018753527259E-3</v>
      </c>
      <c r="N182" s="780"/>
      <c r="O182" s="93">
        <f>SUM(O177:O181)</f>
        <v>1.6597267870159099E-8</v>
      </c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</row>
    <row r="183" spans="3:42" ht="12.75" customHeight="1" x14ac:dyDescent="0.3">
      <c r="C183" s="834" t="s">
        <v>104</v>
      </c>
      <c r="D183" s="794"/>
      <c r="E183" s="794"/>
      <c r="F183" s="794"/>
      <c r="G183" s="794"/>
      <c r="H183" s="794"/>
      <c r="I183" s="794"/>
      <c r="J183" s="794"/>
      <c r="K183" s="794"/>
      <c r="L183" s="780"/>
      <c r="M183" s="835">
        <f>SQRT(M182)</f>
        <v>3.576313570358066E-2</v>
      </c>
      <c r="N183" s="780"/>
      <c r="O183" s="93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</row>
    <row r="184" spans="3:42" ht="12.75" customHeight="1" x14ac:dyDescent="0.3">
      <c r="C184" s="834" t="s">
        <v>328</v>
      </c>
      <c r="D184" s="794"/>
      <c r="E184" s="794"/>
      <c r="F184" s="794"/>
      <c r="G184" s="794"/>
      <c r="H184" s="794"/>
      <c r="I184" s="794"/>
      <c r="J184" s="794"/>
      <c r="K184" s="794"/>
      <c r="L184" s="780"/>
      <c r="M184" s="99">
        <f>(M183^4)/O182</f>
        <v>98.561149338135507</v>
      </c>
      <c r="N184" s="101"/>
      <c r="O184" s="93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</row>
    <row r="185" spans="3:42" ht="12.75" customHeight="1" x14ac:dyDescent="0.3">
      <c r="C185" s="834" t="s">
        <v>329</v>
      </c>
      <c r="D185" s="794"/>
      <c r="E185" s="794"/>
      <c r="F185" s="794"/>
      <c r="G185" s="794"/>
      <c r="H185" s="794"/>
      <c r="I185" s="794"/>
      <c r="J185" s="794"/>
      <c r="K185" s="794"/>
      <c r="L185" s="780"/>
      <c r="M185" s="99">
        <f>1.95996+2.37356/M184+2.818745/M184^2+2.546662/M184^3+1.761829/M184^4+0.245458/M184^5+1.000764/M184^6</f>
        <v>1.9843349485581401</v>
      </c>
      <c r="N185" s="101">
        <v>2</v>
      </c>
      <c r="O185" s="93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</row>
    <row r="186" spans="3:42" ht="12.75" customHeight="1" x14ac:dyDescent="0.3">
      <c r="C186" s="834" t="s">
        <v>107</v>
      </c>
      <c r="D186" s="794"/>
      <c r="E186" s="794"/>
      <c r="F186" s="794"/>
      <c r="G186" s="794"/>
      <c r="H186" s="794"/>
      <c r="I186" s="794"/>
      <c r="J186" s="794"/>
      <c r="K186" s="794"/>
      <c r="L186" s="780"/>
      <c r="M186" s="99">
        <f>M185*M183</f>
        <v>7.0966040046642517E-2</v>
      </c>
      <c r="N186" s="101">
        <f>N185*M183</f>
        <v>7.1526271407161321E-2</v>
      </c>
      <c r="O186" s="93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</row>
    <row r="187" spans="3:42" ht="12.75" customHeight="1" x14ac:dyDescent="0.3"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</row>
    <row r="188" spans="3:42" ht="12.75" customHeight="1" x14ac:dyDescent="0.3">
      <c r="C188" s="71" t="s">
        <v>76</v>
      </c>
      <c r="D188" s="1"/>
      <c r="E188" s="1"/>
      <c r="F188" s="103">
        <f t="shared" ref="F188:G188" si="85">C$11</f>
        <v>50</v>
      </c>
      <c r="G188" s="103" t="str">
        <f t="shared" si="85"/>
        <v>Hz</v>
      </c>
      <c r="H188" s="4">
        <f t="shared" ref="H188:I188" si="86">C$12</f>
        <v>50</v>
      </c>
      <c r="I188" s="4" t="str">
        <f t="shared" si="86"/>
        <v>Hz</v>
      </c>
      <c r="J188" s="12"/>
      <c r="K188" s="12"/>
      <c r="L188" s="12"/>
      <c r="M188" s="12"/>
      <c r="N188" s="12"/>
      <c r="O188" s="287" t="str">
        <f>O$34</f>
        <v>AC Voltage-Measure</v>
      </c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</row>
    <row r="189" spans="3:42" ht="12.75" customHeight="1" x14ac:dyDescent="0.3">
      <c r="C189" s="84" t="s">
        <v>2</v>
      </c>
      <c r="D189" s="85"/>
      <c r="E189" s="85"/>
      <c r="F189" s="2">
        <f t="shared" ref="F189:G189" si="87">E13</f>
        <v>540</v>
      </c>
      <c r="G189" s="2" t="str">
        <f t="shared" si="87"/>
        <v>V4</v>
      </c>
      <c r="H189" s="1"/>
      <c r="I189" s="1"/>
      <c r="J189" s="90">
        <v>0.1</v>
      </c>
      <c r="K189" s="90"/>
      <c r="L189" s="90"/>
      <c r="M189" s="90"/>
      <c r="N189" s="90"/>
      <c r="O189" s="76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</row>
    <row r="190" spans="3:42" ht="12.75" customHeight="1" x14ac:dyDescent="0.3">
      <c r="C190" s="91" t="s">
        <v>78</v>
      </c>
      <c r="D190" s="91" t="s">
        <v>79</v>
      </c>
      <c r="E190" s="91" t="s">
        <v>10</v>
      </c>
      <c r="F190" s="91" t="s">
        <v>80</v>
      </c>
      <c r="G190" s="91" t="s">
        <v>81</v>
      </c>
      <c r="H190" s="92" t="s">
        <v>82</v>
      </c>
      <c r="I190" s="91" t="s">
        <v>83</v>
      </c>
      <c r="J190" s="91" t="s">
        <v>84</v>
      </c>
      <c r="K190" s="91" t="s">
        <v>85</v>
      </c>
      <c r="L190" s="91" t="s">
        <v>86</v>
      </c>
      <c r="M190" s="91" t="s">
        <v>87</v>
      </c>
      <c r="N190" s="91" t="s">
        <v>330</v>
      </c>
      <c r="O190" s="91" t="s">
        <v>331</v>
      </c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</row>
    <row r="191" spans="3:42" ht="12.75" customHeight="1" x14ac:dyDescent="0.3">
      <c r="C191" s="93" t="s">
        <v>90</v>
      </c>
      <c r="D191" s="94" t="s">
        <v>332</v>
      </c>
      <c r="E191" s="94" t="s">
        <v>42</v>
      </c>
      <c r="F191" s="95" t="str">
        <f>G189</f>
        <v>V4</v>
      </c>
      <c r="G191" s="94" t="s">
        <v>631</v>
      </c>
      <c r="H191" s="94">
        <f>STDEV(Data!E67:N67)/SQRT(5)</f>
        <v>0</v>
      </c>
      <c r="I191" s="94">
        <v>1</v>
      </c>
      <c r="J191" s="94">
        <f>5-1</f>
        <v>4</v>
      </c>
      <c r="K191" s="94">
        <f t="shared" ref="K191:K194" si="88">(H191)/I191</f>
        <v>0</v>
      </c>
      <c r="L191" s="94">
        <v>1</v>
      </c>
      <c r="M191" s="94">
        <f t="shared" ref="M191:M194" si="89">K191*L191</f>
        <v>0</v>
      </c>
      <c r="N191" s="94">
        <f t="shared" ref="N191:N194" si="90">M191^2</f>
        <v>0</v>
      </c>
      <c r="O191" s="94">
        <f t="shared" ref="O191:O194" si="91">(M191^4)/J191</f>
        <v>0</v>
      </c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</row>
    <row r="192" spans="3:42" ht="12.75" customHeight="1" x14ac:dyDescent="0.3">
      <c r="C192" s="93" t="s">
        <v>93</v>
      </c>
      <c r="D192" s="94" t="s">
        <v>333</v>
      </c>
      <c r="E192" s="94" t="s">
        <v>95</v>
      </c>
      <c r="F192" s="95" t="str">
        <f>F191</f>
        <v>V4</v>
      </c>
      <c r="G192" s="94" t="s">
        <v>96</v>
      </c>
      <c r="H192" s="94">
        <f>J189/2</f>
        <v>0.05</v>
      </c>
      <c r="I192" s="94">
        <f>SQRT(3)</f>
        <v>1.7320508075688772</v>
      </c>
      <c r="J192" s="94">
        <v>50</v>
      </c>
      <c r="K192" s="94">
        <f t="shared" si="88"/>
        <v>2.8867513459481291E-2</v>
      </c>
      <c r="L192" s="94">
        <v>1</v>
      </c>
      <c r="M192" s="94">
        <f t="shared" si="89"/>
        <v>2.8867513459481291E-2</v>
      </c>
      <c r="N192" s="94">
        <f t="shared" si="90"/>
        <v>8.333333333333335E-4</v>
      </c>
      <c r="O192" s="94">
        <f t="shared" si="91"/>
        <v>1.3888888888888894E-8</v>
      </c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</row>
    <row r="193" spans="3:42" ht="12.75" customHeight="1" x14ac:dyDescent="0.3">
      <c r="C193" s="93" t="s">
        <v>97</v>
      </c>
      <c r="D193" s="94" t="s">
        <v>334</v>
      </c>
      <c r="E193" s="94" t="s">
        <v>95</v>
      </c>
      <c r="F193" s="95" t="str">
        <f>F191</f>
        <v>V4</v>
      </c>
      <c r="G193" s="94" t="s">
        <v>92</v>
      </c>
      <c r="H193" s="140">
        <f>Y36</f>
        <v>0.09</v>
      </c>
      <c r="I193" s="94">
        <v>2</v>
      </c>
      <c r="J193" s="94">
        <v>60</v>
      </c>
      <c r="K193" s="94">
        <f t="shared" si="88"/>
        <v>4.4999999999999998E-2</v>
      </c>
      <c r="L193" s="94">
        <v>1</v>
      </c>
      <c r="M193" s="94">
        <f t="shared" si="89"/>
        <v>4.4999999999999998E-2</v>
      </c>
      <c r="N193" s="94">
        <f t="shared" si="90"/>
        <v>2.0249999999999999E-3</v>
      </c>
      <c r="O193" s="94">
        <f t="shared" si="91"/>
        <v>6.8343749999999986E-8</v>
      </c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</row>
    <row r="194" spans="3:42" ht="12.75" customHeight="1" x14ac:dyDescent="0.3">
      <c r="C194" s="93" t="s">
        <v>99</v>
      </c>
      <c r="D194" s="94" t="s">
        <v>335</v>
      </c>
      <c r="E194" s="94" t="s">
        <v>95</v>
      </c>
      <c r="F194" s="95" t="str">
        <f>F191</f>
        <v>V4</v>
      </c>
      <c r="G194" s="94" t="s">
        <v>96</v>
      </c>
      <c r="H194" s="94">
        <f>X36</f>
        <v>4.9827211713151291E-2</v>
      </c>
      <c r="I194" s="94">
        <f>SQRT(3)</f>
        <v>1.7320508075688772</v>
      </c>
      <c r="J194" s="94">
        <v>50</v>
      </c>
      <c r="K194" s="94">
        <f t="shared" si="88"/>
        <v>2.8767754095556375E-2</v>
      </c>
      <c r="L194" s="94">
        <v>1</v>
      </c>
      <c r="M194" s="94">
        <f t="shared" si="89"/>
        <v>2.8767754095556375E-2</v>
      </c>
      <c r="N194" s="94">
        <f t="shared" si="90"/>
        <v>8.2758367570240062E-4</v>
      </c>
      <c r="O194" s="94">
        <f t="shared" si="91"/>
        <v>1.3697894805781925E-8</v>
      </c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</row>
    <row r="195" spans="3:42" ht="12.75" customHeight="1" x14ac:dyDescent="0.3">
      <c r="C195" s="98"/>
      <c r="D195" s="98"/>
      <c r="E195" s="98"/>
      <c r="F195" s="93"/>
      <c r="G195" s="93"/>
      <c r="H195" s="93"/>
      <c r="I195" s="93"/>
      <c r="J195" s="93"/>
      <c r="K195" s="93"/>
      <c r="L195" s="93"/>
      <c r="M195" s="93"/>
      <c r="N195" s="93"/>
      <c r="O195" s="93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</row>
    <row r="196" spans="3:42" ht="12.75" customHeight="1" x14ac:dyDescent="0.3">
      <c r="C196" s="834" t="s">
        <v>103</v>
      </c>
      <c r="D196" s="794"/>
      <c r="E196" s="794"/>
      <c r="F196" s="794"/>
      <c r="G196" s="794"/>
      <c r="H196" s="794"/>
      <c r="I196" s="794"/>
      <c r="J196" s="794"/>
      <c r="K196" s="794"/>
      <c r="L196" s="780"/>
      <c r="M196" s="835">
        <f>SUM(N191:N195)</f>
        <v>3.6859170090357339E-3</v>
      </c>
      <c r="N196" s="780"/>
      <c r="O196" s="93">
        <f>SUM(O191:O195)</f>
        <v>9.5930533694670805E-8</v>
      </c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</row>
    <row r="197" spans="3:42" ht="12.75" customHeight="1" x14ac:dyDescent="0.3">
      <c r="C197" s="834" t="s">
        <v>104</v>
      </c>
      <c r="D197" s="794"/>
      <c r="E197" s="794"/>
      <c r="F197" s="794"/>
      <c r="G197" s="794"/>
      <c r="H197" s="794"/>
      <c r="I197" s="794"/>
      <c r="J197" s="794"/>
      <c r="K197" s="794"/>
      <c r="L197" s="780"/>
      <c r="M197" s="835">
        <f>SQRT(M196)</f>
        <v>6.0711753466983098E-2</v>
      </c>
      <c r="N197" s="780"/>
      <c r="O197" s="93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</row>
    <row r="198" spans="3:42" ht="12.75" customHeight="1" x14ac:dyDescent="0.3">
      <c r="C198" s="834" t="s">
        <v>336</v>
      </c>
      <c r="D198" s="794"/>
      <c r="E198" s="794"/>
      <c r="F198" s="794"/>
      <c r="G198" s="794"/>
      <c r="H198" s="794"/>
      <c r="I198" s="794"/>
      <c r="J198" s="794"/>
      <c r="K198" s="794"/>
      <c r="L198" s="780"/>
      <c r="M198" s="99">
        <f>(M197^4)/O196</f>
        <v>141.62314827456933</v>
      </c>
      <c r="N198" s="101"/>
      <c r="O198" s="93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</row>
    <row r="199" spans="3:42" ht="12.75" customHeight="1" x14ac:dyDescent="0.3">
      <c r="C199" s="834" t="s">
        <v>337</v>
      </c>
      <c r="D199" s="794"/>
      <c r="E199" s="794"/>
      <c r="F199" s="794"/>
      <c r="G199" s="794"/>
      <c r="H199" s="794"/>
      <c r="I199" s="794"/>
      <c r="J199" s="794"/>
      <c r="K199" s="794"/>
      <c r="L199" s="780"/>
      <c r="M199" s="99">
        <f>1.95996+2.37356/M198+2.818745/M198^2+2.546662/M198^3+1.761829/M198^4+0.245458/M198^5+1.000764/M198^6</f>
        <v>1.9768611263912395</v>
      </c>
      <c r="N199" s="101">
        <v>2</v>
      </c>
      <c r="O199" s="93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</row>
    <row r="200" spans="3:42" ht="12.75" customHeight="1" x14ac:dyDescent="0.3">
      <c r="C200" s="834" t="s">
        <v>107</v>
      </c>
      <c r="D200" s="794"/>
      <c r="E200" s="794"/>
      <c r="F200" s="794"/>
      <c r="G200" s="794"/>
      <c r="H200" s="794"/>
      <c r="I200" s="794"/>
      <c r="J200" s="794"/>
      <c r="K200" s="794"/>
      <c r="L200" s="780"/>
      <c r="M200" s="99">
        <f>M199*M197</f>
        <v>0.12001870534392745</v>
      </c>
      <c r="N200" s="101">
        <f>N199*M197</f>
        <v>0.1214235069339662</v>
      </c>
      <c r="O200" s="93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</row>
    <row r="201" spans="3:42" ht="12.75" customHeight="1" x14ac:dyDescent="0.3"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</row>
    <row r="202" spans="3:42" ht="12.75" customHeight="1" x14ac:dyDescent="0.3">
      <c r="C202" s="71" t="s">
        <v>76</v>
      </c>
      <c r="D202" s="1"/>
      <c r="E202" s="1"/>
      <c r="F202" s="103">
        <f>C$14</f>
        <v>50</v>
      </c>
      <c r="G202" s="103" t="str">
        <f t="shared" ref="G202" si="92">D$11</f>
        <v>Hz</v>
      </c>
      <c r="H202" s="4">
        <f t="shared" ref="H202" si="93">C$12</f>
        <v>50</v>
      </c>
      <c r="I202" s="4" t="str">
        <f t="shared" ref="I202" si="94">D$12</f>
        <v>Hz</v>
      </c>
      <c r="J202" s="12"/>
      <c r="K202" s="12"/>
      <c r="L202" s="12"/>
      <c r="M202" s="12"/>
      <c r="N202" s="12"/>
      <c r="O202" s="287" t="str">
        <f>O$34</f>
        <v>AC Voltage-Measure</v>
      </c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</row>
    <row r="203" spans="3:42" ht="12.75" customHeight="1" x14ac:dyDescent="0.3">
      <c r="C203" s="84" t="s">
        <v>2</v>
      </c>
      <c r="D203" s="85"/>
      <c r="E203" s="85"/>
      <c r="F203" s="6">
        <f>F202*0.1</f>
        <v>5</v>
      </c>
      <c r="G203" s="2" t="str">
        <f>F14</f>
        <v>V3</v>
      </c>
      <c r="H203" s="1"/>
      <c r="I203" s="1"/>
      <c r="J203" s="90">
        <v>1</v>
      </c>
      <c r="K203" s="90"/>
      <c r="L203" s="90"/>
      <c r="M203" s="90"/>
      <c r="N203" s="90"/>
      <c r="O203" s="76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</row>
    <row r="204" spans="3:42" ht="12.75" customHeight="1" x14ac:dyDescent="0.3">
      <c r="C204" s="91" t="s">
        <v>78</v>
      </c>
      <c r="D204" s="91" t="s">
        <v>79</v>
      </c>
      <c r="E204" s="91" t="s">
        <v>10</v>
      </c>
      <c r="F204" s="91" t="s">
        <v>80</v>
      </c>
      <c r="G204" s="91" t="s">
        <v>81</v>
      </c>
      <c r="H204" s="92" t="s">
        <v>82</v>
      </c>
      <c r="I204" s="91" t="s">
        <v>83</v>
      </c>
      <c r="J204" s="91" t="s">
        <v>84</v>
      </c>
      <c r="K204" s="91" t="s">
        <v>85</v>
      </c>
      <c r="L204" s="91" t="s">
        <v>86</v>
      </c>
      <c r="M204" s="91" t="s">
        <v>87</v>
      </c>
      <c r="N204" s="91" t="s">
        <v>88</v>
      </c>
      <c r="O204" s="91" t="s">
        <v>89</v>
      </c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</row>
    <row r="205" spans="3:42" ht="12.75" customHeight="1" x14ac:dyDescent="0.3">
      <c r="C205" s="93" t="s">
        <v>90</v>
      </c>
      <c r="D205" s="94" t="s">
        <v>91</v>
      </c>
      <c r="E205" s="94" t="s">
        <v>42</v>
      </c>
      <c r="F205" s="95" t="str">
        <f>G203</f>
        <v>V3</v>
      </c>
      <c r="G205" s="94" t="s">
        <v>631</v>
      </c>
      <c r="H205" s="94">
        <f>STDEV(Data!E69:N69)/SQRT(5)</f>
        <v>0</v>
      </c>
      <c r="I205" s="94">
        <v>1</v>
      </c>
      <c r="J205" s="94">
        <f>5-1</f>
        <v>4</v>
      </c>
      <c r="K205" s="94">
        <f t="shared" ref="K205:K208" si="95">(H205)/I205</f>
        <v>0</v>
      </c>
      <c r="L205" s="94">
        <v>1</v>
      </c>
      <c r="M205" s="94">
        <f t="shared" ref="M205:M208" si="96">K205*L205</f>
        <v>0</v>
      </c>
      <c r="N205" s="94">
        <f t="shared" ref="N205:N208" si="97">M205^2</f>
        <v>0</v>
      </c>
      <c r="O205" s="94">
        <f t="shared" ref="O205:O208" si="98">(M205^4)/J205</f>
        <v>0</v>
      </c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</row>
    <row r="206" spans="3:42" ht="12.75" customHeight="1" x14ac:dyDescent="0.3">
      <c r="C206" s="93" t="s">
        <v>93</v>
      </c>
      <c r="D206" s="94" t="s">
        <v>94</v>
      </c>
      <c r="E206" s="94" t="s">
        <v>95</v>
      </c>
      <c r="F206" s="95" t="str">
        <f>F205</f>
        <v>V3</v>
      </c>
      <c r="G206" s="94" t="s">
        <v>96</v>
      </c>
      <c r="H206" s="94">
        <f>J203/2</f>
        <v>0.5</v>
      </c>
      <c r="I206" s="94">
        <f>SQRT(3)</f>
        <v>1.7320508075688772</v>
      </c>
      <c r="J206" s="94">
        <v>50</v>
      </c>
      <c r="K206" s="94">
        <f t="shared" si="95"/>
        <v>0.28867513459481292</v>
      </c>
      <c r="L206" s="94">
        <v>1</v>
      </c>
      <c r="M206" s="94">
        <f t="shared" si="96"/>
        <v>0.28867513459481292</v>
      </c>
      <c r="N206" s="94">
        <f t="shared" si="97"/>
        <v>8.3333333333333356E-2</v>
      </c>
      <c r="O206" s="94">
        <f t="shared" si="98"/>
        <v>1.3888888888888897E-4</v>
      </c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</row>
    <row r="207" spans="3:42" ht="12.75" customHeight="1" x14ac:dyDescent="0.3">
      <c r="C207" s="93" t="s">
        <v>97</v>
      </c>
      <c r="D207" s="94" t="s">
        <v>98</v>
      </c>
      <c r="E207" s="94" t="s">
        <v>95</v>
      </c>
      <c r="F207" s="95" t="str">
        <f>F205</f>
        <v>V3</v>
      </c>
      <c r="G207" s="94" t="s">
        <v>92</v>
      </c>
      <c r="H207" s="96">
        <f>Y37</f>
        <v>1.7999999999999999E-2</v>
      </c>
      <c r="I207" s="94">
        <v>2</v>
      </c>
      <c r="J207" s="94">
        <v>60</v>
      </c>
      <c r="K207" s="94">
        <f t="shared" si="95"/>
        <v>8.9999999999999993E-3</v>
      </c>
      <c r="L207" s="94">
        <v>1</v>
      </c>
      <c r="M207" s="94">
        <f t="shared" si="96"/>
        <v>8.9999999999999993E-3</v>
      </c>
      <c r="N207" s="94">
        <f t="shared" si="97"/>
        <v>8.099999999999999E-5</v>
      </c>
      <c r="O207" s="94">
        <f t="shared" si="98"/>
        <v>1.0934999999999998E-10</v>
      </c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</row>
    <row r="208" spans="3:42" ht="12.75" customHeight="1" x14ac:dyDescent="0.3">
      <c r="C208" s="93" t="s">
        <v>99</v>
      </c>
      <c r="D208" s="94" t="s">
        <v>100</v>
      </c>
      <c r="E208" s="94" t="s">
        <v>95</v>
      </c>
      <c r="F208" s="95" t="str">
        <f>F205</f>
        <v>V3</v>
      </c>
      <c r="G208" s="94" t="s">
        <v>96</v>
      </c>
      <c r="H208" s="94">
        <f>X37</f>
        <v>6.6727711201628433E-3</v>
      </c>
      <c r="I208" s="94">
        <f>SQRT(3)</f>
        <v>1.7320508075688772</v>
      </c>
      <c r="J208" s="94">
        <v>50</v>
      </c>
      <c r="K208" s="94">
        <f t="shared" si="95"/>
        <v>3.8525262024667784E-3</v>
      </c>
      <c r="L208" s="94">
        <v>1</v>
      </c>
      <c r="M208" s="94">
        <f t="shared" si="96"/>
        <v>3.8525262024667784E-3</v>
      </c>
      <c r="N208" s="94">
        <f t="shared" si="97"/>
        <v>1.4841958140693097E-5</v>
      </c>
      <c r="O208" s="94">
        <f t="shared" si="98"/>
        <v>4.405674429001722E-12</v>
      </c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</row>
    <row r="209" spans="3:42" ht="12.75" customHeight="1" x14ac:dyDescent="0.3">
      <c r="C209" s="98"/>
      <c r="D209" s="98"/>
      <c r="E209" s="98"/>
      <c r="F209" s="93"/>
      <c r="G209" s="93"/>
      <c r="H209" s="93"/>
      <c r="I209" s="93"/>
      <c r="J209" s="93"/>
      <c r="K209" s="93"/>
      <c r="L209" s="93"/>
      <c r="M209" s="93"/>
      <c r="N209" s="93"/>
      <c r="O209" s="93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</row>
    <row r="210" spans="3:42" ht="12.75" customHeight="1" x14ac:dyDescent="0.3">
      <c r="C210" s="834" t="s">
        <v>103</v>
      </c>
      <c r="D210" s="794"/>
      <c r="E210" s="794"/>
      <c r="F210" s="794"/>
      <c r="G210" s="794"/>
      <c r="H210" s="794"/>
      <c r="I210" s="794"/>
      <c r="J210" s="794"/>
      <c r="K210" s="794"/>
      <c r="L210" s="780"/>
      <c r="M210" s="835">
        <f>SUM(N205:N209)</f>
        <v>8.3429175291474048E-2</v>
      </c>
      <c r="N210" s="780"/>
      <c r="O210" s="93">
        <f>SUM(O205:O209)</f>
        <v>1.3888900264456339E-4</v>
      </c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</row>
    <row r="211" spans="3:42" ht="12.75" customHeight="1" x14ac:dyDescent="0.3">
      <c r="C211" s="834" t="s">
        <v>104</v>
      </c>
      <c r="D211" s="794"/>
      <c r="E211" s="794"/>
      <c r="F211" s="794"/>
      <c r="G211" s="794"/>
      <c r="H211" s="794"/>
      <c r="I211" s="794"/>
      <c r="J211" s="794"/>
      <c r="K211" s="794"/>
      <c r="L211" s="780"/>
      <c r="M211" s="835">
        <f>SQRT(M210)</f>
        <v>0.28884109003303882</v>
      </c>
      <c r="N211" s="780"/>
      <c r="O211" s="93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</row>
    <row r="212" spans="3:42" ht="12.75" customHeight="1" x14ac:dyDescent="0.3">
      <c r="C212" s="834" t="s">
        <v>105</v>
      </c>
      <c r="D212" s="794"/>
      <c r="E212" s="794"/>
      <c r="F212" s="794"/>
      <c r="G212" s="794"/>
      <c r="H212" s="794"/>
      <c r="I212" s="794"/>
      <c r="J212" s="794"/>
      <c r="K212" s="794"/>
      <c r="L212" s="780"/>
      <c r="M212" s="99">
        <f>(M211^4)/O210</f>
        <v>50.115035440410061</v>
      </c>
      <c r="N212" s="101"/>
      <c r="O212" s="93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</row>
    <row r="213" spans="3:42" ht="12.75" customHeight="1" x14ac:dyDescent="0.3">
      <c r="C213" s="834" t="s">
        <v>106</v>
      </c>
      <c r="D213" s="794"/>
      <c r="E213" s="794"/>
      <c r="F213" s="794"/>
      <c r="G213" s="794"/>
      <c r="H213" s="794"/>
      <c r="I213" s="794"/>
      <c r="J213" s="794"/>
      <c r="K213" s="794"/>
      <c r="L213" s="780"/>
      <c r="M213" s="99">
        <f>1.95996+2.37356/M212+2.818745/M212^2+2.546662/M212^3+1.761829/M212^4+0.245458/M212^5+1.000764/M212^6</f>
        <v>2.0084650745276398</v>
      </c>
      <c r="N213" s="101">
        <v>2</v>
      </c>
      <c r="O213" s="93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</row>
    <row r="214" spans="3:42" ht="12.75" customHeight="1" x14ac:dyDescent="0.3">
      <c r="C214" s="834" t="s">
        <v>107</v>
      </c>
      <c r="D214" s="794"/>
      <c r="E214" s="794"/>
      <c r="F214" s="794"/>
      <c r="G214" s="794"/>
      <c r="H214" s="794"/>
      <c r="I214" s="794"/>
      <c r="J214" s="794"/>
      <c r="K214" s="794"/>
      <c r="L214" s="780"/>
      <c r="M214" s="99">
        <f>M213*M211</f>
        <v>0.58012724141985206</v>
      </c>
      <c r="N214" s="101">
        <f>N213*M211</f>
        <v>0.57768218006607763</v>
      </c>
      <c r="O214" s="93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</row>
    <row r="215" spans="3:42" ht="12.75" customHeight="1" x14ac:dyDescent="0.3"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</row>
    <row r="216" spans="3:42" ht="12.75" customHeight="1" x14ac:dyDescent="0.3">
      <c r="C216" s="71" t="s">
        <v>76</v>
      </c>
      <c r="D216" s="1"/>
      <c r="E216" s="1"/>
      <c r="F216" s="103">
        <f>C$14</f>
        <v>50</v>
      </c>
      <c r="G216" s="103" t="str">
        <f t="shared" ref="G216" si="99">D$11</f>
        <v>Hz</v>
      </c>
      <c r="H216" s="4">
        <f t="shared" ref="H216" si="100">C$12</f>
        <v>50</v>
      </c>
      <c r="I216" s="4" t="str">
        <f t="shared" ref="I216" si="101">D$12</f>
        <v>Hz</v>
      </c>
      <c r="J216" s="12"/>
      <c r="K216" s="12"/>
      <c r="L216" s="12"/>
      <c r="M216" s="12"/>
      <c r="N216" s="12"/>
      <c r="O216" s="287" t="str">
        <f>O$34</f>
        <v>AC Voltage-Measure</v>
      </c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</row>
    <row r="217" spans="3:42" ht="12.75" customHeight="1" x14ac:dyDescent="0.3">
      <c r="C217" s="84" t="s">
        <v>2</v>
      </c>
      <c r="D217" s="85"/>
      <c r="E217" s="85"/>
      <c r="F217" s="2">
        <f>F216*0.5</f>
        <v>25</v>
      </c>
      <c r="G217" s="2" t="str">
        <f>F15</f>
        <v>V4</v>
      </c>
      <c r="H217" s="1"/>
      <c r="I217" s="1"/>
      <c r="J217" s="90">
        <v>1</v>
      </c>
      <c r="K217" s="90"/>
      <c r="L217" s="90"/>
      <c r="M217" s="90"/>
      <c r="N217" s="90"/>
      <c r="O217" s="76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</row>
    <row r="218" spans="3:42" ht="12.75" customHeight="1" x14ac:dyDescent="0.3">
      <c r="C218" s="91" t="s">
        <v>78</v>
      </c>
      <c r="D218" s="91" t="s">
        <v>79</v>
      </c>
      <c r="E218" s="91" t="s">
        <v>10</v>
      </c>
      <c r="F218" s="91" t="s">
        <v>80</v>
      </c>
      <c r="G218" s="91" t="s">
        <v>81</v>
      </c>
      <c r="H218" s="92" t="s">
        <v>82</v>
      </c>
      <c r="I218" s="91" t="s">
        <v>83</v>
      </c>
      <c r="J218" s="91" t="s">
        <v>84</v>
      </c>
      <c r="K218" s="91" t="s">
        <v>85</v>
      </c>
      <c r="L218" s="91" t="s">
        <v>86</v>
      </c>
      <c r="M218" s="91" t="s">
        <v>87</v>
      </c>
      <c r="N218" s="91" t="s">
        <v>88</v>
      </c>
      <c r="O218" s="91" t="s">
        <v>89</v>
      </c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</row>
    <row r="219" spans="3:42" ht="12.75" customHeight="1" x14ac:dyDescent="0.3">
      <c r="C219" s="93" t="s">
        <v>90</v>
      </c>
      <c r="D219" s="94" t="s">
        <v>91</v>
      </c>
      <c r="E219" s="94" t="s">
        <v>42</v>
      </c>
      <c r="F219" s="95" t="str">
        <f>G217</f>
        <v>V4</v>
      </c>
      <c r="G219" s="94" t="s">
        <v>631</v>
      </c>
      <c r="H219" s="94">
        <f>STDEV(Data!E70:N70)/SQRT(5)</f>
        <v>0</v>
      </c>
      <c r="I219" s="94">
        <v>1</v>
      </c>
      <c r="J219" s="94">
        <f>5-1</f>
        <v>4</v>
      </c>
      <c r="K219" s="94">
        <f t="shared" ref="K219:K222" si="102">(H219)/I219</f>
        <v>0</v>
      </c>
      <c r="L219" s="94">
        <v>1</v>
      </c>
      <c r="M219" s="94">
        <f t="shared" ref="M219:M222" si="103">K219*L219</f>
        <v>0</v>
      </c>
      <c r="N219" s="94">
        <f t="shared" ref="N219:N222" si="104">M219^2</f>
        <v>0</v>
      </c>
      <c r="O219" s="94">
        <f t="shared" ref="O219:O222" si="105">(M219^4)/J219</f>
        <v>0</v>
      </c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</row>
    <row r="220" spans="3:42" ht="12.75" customHeight="1" x14ac:dyDescent="0.3">
      <c r="C220" s="93" t="s">
        <v>93</v>
      </c>
      <c r="D220" s="94" t="s">
        <v>94</v>
      </c>
      <c r="E220" s="94" t="s">
        <v>95</v>
      </c>
      <c r="F220" s="95" t="str">
        <f>F219</f>
        <v>V4</v>
      </c>
      <c r="G220" s="94" t="s">
        <v>96</v>
      </c>
      <c r="H220" s="94">
        <f>J217/2</f>
        <v>0.5</v>
      </c>
      <c r="I220" s="94">
        <f>SQRT(3)</f>
        <v>1.7320508075688772</v>
      </c>
      <c r="J220" s="94">
        <v>50</v>
      </c>
      <c r="K220" s="94">
        <f t="shared" si="102"/>
        <v>0.28867513459481292</v>
      </c>
      <c r="L220" s="94">
        <v>1</v>
      </c>
      <c r="M220" s="94">
        <f t="shared" si="103"/>
        <v>0.28867513459481292</v>
      </c>
      <c r="N220" s="94">
        <f t="shared" si="104"/>
        <v>8.3333333333333356E-2</v>
      </c>
      <c r="O220" s="94">
        <f t="shared" si="105"/>
        <v>1.3888888888888897E-4</v>
      </c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</row>
    <row r="221" spans="3:42" ht="12.75" customHeight="1" x14ac:dyDescent="0.3">
      <c r="C221" s="93" t="s">
        <v>97</v>
      </c>
      <c r="D221" s="94" t="s">
        <v>98</v>
      </c>
      <c r="E221" s="94" t="s">
        <v>95</v>
      </c>
      <c r="F221" s="95" t="str">
        <f>F219</f>
        <v>V4</v>
      </c>
      <c r="G221" s="94" t="s">
        <v>92</v>
      </c>
      <c r="H221" s="140">
        <f>Y38</f>
        <v>0.09</v>
      </c>
      <c r="I221" s="94">
        <v>2</v>
      </c>
      <c r="J221" s="94">
        <v>60</v>
      </c>
      <c r="K221" s="94">
        <f t="shared" si="102"/>
        <v>4.4999999999999998E-2</v>
      </c>
      <c r="L221" s="94">
        <v>1</v>
      </c>
      <c r="M221" s="94">
        <f t="shared" si="103"/>
        <v>4.4999999999999998E-2</v>
      </c>
      <c r="N221" s="94">
        <f t="shared" si="104"/>
        <v>2.0249999999999999E-3</v>
      </c>
      <c r="O221" s="94">
        <f t="shared" si="105"/>
        <v>6.8343749999999986E-8</v>
      </c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</row>
    <row r="222" spans="3:42" ht="12.75" customHeight="1" x14ac:dyDescent="0.3">
      <c r="C222" s="93" t="s">
        <v>99</v>
      </c>
      <c r="D222" s="94" t="s">
        <v>100</v>
      </c>
      <c r="E222" s="94" t="s">
        <v>95</v>
      </c>
      <c r="F222" s="95" t="str">
        <f>F219</f>
        <v>V4</v>
      </c>
      <c r="G222" s="94" t="s">
        <v>96</v>
      </c>
      <c r="H222" s="94">
        <f>X38</f>
        <v>5.0866901630193577E-2</v>
      </c>
      <c r="I222" s="94">
        <f>SQRT(3)</f>
        <v>1.7320508075688772</v>
      </c>
      <c r="J222" s="94">
        <v>50</v>
      </c>
      <c r="K222" s="94">
        <f t="shared" si="102"/>
        <v>2.9368019349034477E-2</v>
      </c>
      <c r="L222" s="94">
        <v>1</v>
      </c>
      <c r="M222" s="94">
        <f t="shared" si="103"/>
        <v>2.9368019349034477E-2</v>
      </c>
      <c r="N222" s="94">
        <f t="shared" si="104"/>
        <v>8.6248056048526345E-4</v>
      </c>
      <c r="O222" s="94">
        <f t="shared" si="105"/>
        <v>1.4877454344299485E-8</v>
      </c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</row>
    <row r="223" spans="3:42" ht="12.75" customHeight="1" x14ac:dyDescent="0.3">
      <c r="C223" s="98"/>
      <c r="D223" s="98"/>
      <c r="E223" s="98"/>
      <c r="F223" s="93"/>
      <c r="G223" s="93"/>
      <c r="H223" s="93"/>
      <c r="I223" s="93"/>
      <c r="J223" s="93"/>
      <c r="K223" s="93"/>
      <c r="L223" s="93"/>
      <c r="M223" s="93"/>
      <c r="N223" s="93"/>
      <c r="O223" s="93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</row>
    <row r="224" spans="3:42" ht="12.75" customHeight="1" x14ac:dyDescent="0.3">
      <c r="C224" s="834" t="s">
        <v>103</v>
      </c>
      <c r="D224" s="794"/>
      <c r="E224" s="794"/>
      <c r="F224" s="794"/>
      <c r="G224" s="794"/>
      <c r="H224" s="794"/>
      <c r="I224" s="794"/>
      <c r="J224" s="794"/>
      <c r="K224" s="794"/>
      <c r="L224" s="780"/>
      <c r="M224" s="835">
        <f>SUM(N219:N223)</f>
        <v>8.6220813893818624E-2</v>
      </c>
      <c r="N224" s="780"/>
      <c r="O224" s="93">
        <f>SUM(O219:O223)</f>
        <v>1.3897211009323326E-4</v>
      </c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</row>
    <row r="225" spans="3:42" ht="12.75" customHeight="1" x14ac:dyDescent="0.3">
      <c r="C225" s="834" t="s">
        <v>104</v>
      </c>
      <c r="D225" s="794"/>
      <c r="E225" s="794"/>
      <c r="F225" s="794"/>
      <c r="G225" s="794"/>
      <c r="H225" s="794"/>
      <c r="I225" s="794"/>
      <c r="J225" s="794"/>
      <c r="K225" s="794"/>
      <c r="L225" s="780"/>
      <c r="M225" s="835">
        <f>SQRT(M224)</f>
        <v>0.29363380918044607</v>
      </c>
      <c r="N225" s="780"/>
      <c r="O225" s="93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</row>
    <row r="226" spans="3:42" ht="12.75" customHeight="1" x14ac:dyDescent="0.3">
      <c r="C226" s="834" t="s">
        <v>105</v>
      </c>
      <c r="D226" s="794"/>
      <c r="E226" s="794"/>
      <c r="F226" s="794"/>
      <c r="G226" s="794"/>
      <c r="H226" s="794"/>
      <c r="I226" s="794"/>
      <c r="J226" s="794"/>
      <c r="K226" s="794"/>
      <c r="L226" s="780"/>
      <c r="M226" s="99">
        <f>(M225^4)/O224</f>
        <v>53.492954403046639</v>
      </c>
      <c r="N226" s="101"/>
      <c r="O226" s="93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</row>
    <row r="227" spans="3:42" ht="12.75" customHeight="1" x14ac:dyDescent="0.3">
      <c r="C227" s="834" t="s">
        <v>106</v>
      </c>
      <c r="D227" s="794"/>
      <c r="E227" s="794"/>
      <c r="F227" s="794"/>
      <c r="G227" s="794"/>
      <c r="H227" s="794"/>
      <c r="I227" s="794"/>
      <c r="J227" s="794"/>
      <c r="K227" s="794"/>
      <c r="L227" s="780"/>
      <c r="M227" s="99">
        <f>1.95996+2.37356/M226+2.818745/M226^2+2.546662/M226^3+1.761829/M226^4+0.245458/M226^5+1.000764/M226^6</f>
        <v>2.0053333637792705</v>
      </c>
      <c r="N227" s="101">
        <v>2</v>
      </c>
      <c r="O227" s="93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</row>
    <row r="228" spans="3:42" ht="12.75" customHeight="1" x14ac:dyDescent="0.3">
      <c r="C228" s="834" t="s">
        <v>107</v>
      </c>
      <c r="D228" s="794"/>
      <c r="E228" s="794"/>
      <c r="F228" s="794"/>
      <c r="G228" s="794"/>
      <c r="H228" s="794"/>
      <c r="I228" s="794"/>
      <c r="J228" s="794"/>
      <c r="K228" s="794"/>
      <c r="L228" s="780"/>
      <c r="M228" s="99">
        <f>M227*M225</f>
        <v>0.58883367428314437</v>
      </c>
      <c r="N228" s="101">
        <f>N227*M225</f>
        <v>0.58726761836089214</v>
      </c>
      <c r="O228" s="93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</row>
    <row r="229" spans="3:42" ht="12.75" customHeight="1" x14ac:dyDescent="0.3"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</row>
    <row r="230" spans="3:42" ht="12.75" customHeight="1" x14ac:dyDescent="0.3">
      <c r="C230" s="71" t="s">
        <v>76</v>
      </c>
      <c r="D230" s="1"/>
      <c r="E230" s="1"/>
      <c r="F230" s="103">
        <f>C$14</f>
        <v>50</v>
      </c>
      <c r="G230" s="103" t="str">
        <f t="shared" ref="G230" si="106">D$11</f>
        <v>Hz</v>
      </c>
      <c r="H230" s="4">
        <f t="shared" ref="H230" si="107">C$12</f>
        <v>50</v>
      </c>
      <c r="I230" s="4" t="str">
        <f t="shared" ref="I230" si="108">D$12</f>
        <v>Hz</v>
      </c>
      <c r="J230" s="12"/>
      <c r="K230" s="12"/>
      <c r="L230" s="12"/>
      <c r="M230" s="12"/>
      <c r="N230" s="12"/>
      <c r="O230" s="287" t="str">
        <f>O$34</f>
        <v>AC Voltage-Measure</v>
      </c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</row>
    <row r="231" spans="3:42" ht="12.75" customHeight="1" x14ac:dyDescent="0.3">
      <c r="C231" s="84" t="s">
        <v>2</v>
      </c>
      <c r="D231" s="85"/>
      <c r="E231" s="85"/>
      <c r="F231" s="2">
        <f>F230*0.9</f>
        <v>45</v>
      </c>
      <c r="G231" s="2" t="str">
        <f>F16</f>
        <v>V4</v>
      </c>
      <c r="H231" s="1"/>
      <c r="I231" s="1"/>
      <c r="J231" s="90">
        <v>1</v>
      </c>
      <c r="K231" s="90"/>
      <c r="L231" s="90"/>
      <c r="M231" s="90"/>
      <c r="N231" s="90"/>
      <c r="O231" s="76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</row>
    <row r="232" spans="3:42" ht="12.75" customHeight="1" x14ac:dyDescent="0.3">
      <c r="C232" s="91" t="s">
        <v>78</v>
      </c>
      <c r="D232" s="91" t="s">
        <v>79</v>
      </c>
      <c r="E232" s="91" t="s">
        <v>10</v>
      </c>
      <c r="F232" s="91" t="s">
        <v>80</v>
      </c>
      <c r="G232" s="91" t="s">
        <v>81</v>
      </c>
      <c r="H232" s="92" t="s">
        <v>82</v>
      </c>
      <c r="I232" s="91" t="s">
        <v>83</v>
      </c>
      <c r="J232" s="91" t="s">
        <v>84</v>
      </c>
      <c r="K232" s="91" t="s">
        <v>85</v>
      </c>
      <c r="L232" s="91" t="s">
        <v>86</v>
      </c>
      <c r="M232" s="91" t="s">
        <v>87</v>
      </c>
      <c r="N232" s="91" t="s">
        <v>88</v>
      </c>
      <c r="O232" s="91" t="s">
        <v>89</v>
      </c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</row>
    <row r="233" spans="3:42" ht="12.75" customHeight="1" x14ac:dyDescent="0.3">
      <c r="C233" s="93" t="s">
        <v>90</v>
      </c>
      <c r="D233" s="94" t="s">
        <v>91</v>
      </c>
      <c r="E233" s="94" t="s">
        <v>42</v>
      </c>
      <c r="F233" s="95" t="str">
        <f>G231</f>
        <v>V4</v>
      </c>
      <c r="G233" s="94" t="s">
        <v>631</v>
      </c>
      <c r="H233" s="94">
        <f>STDEV(Data!E71:N71)/SQRT(5)</f>
        <v>0</v>
      </c>
      <c r="I233" s="94">
        <v>1</v>
      </c>
      <c r="J233" s="94">
        <f>5-1</f>
        <v>4</v>
      </c>
      <c r="K233" s="94">
        <f t="shared" ref="K233:K236" si="109">(H233)/I233</f>
        <v>0</v>
      </c>
      <c r="L233" s="94">
        <v>1</v>
      </c>
      <c r="M233" s="94">
        <f t="shared" ref="M233:M236" si="110">K233*L233</f>
        <v>0</v>
      </c>
      <c r="N233" s="94">
        <f t="shared" ref="N233:N236" si="111">M233^2</f>
        <v>0</v>
      </c>
      <c r="O233" s="94">
        <f t="shared" ref="O233:O236" si="112">(M233^4)/J233</f>
        <v>0</v>
      </c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</row>
    <row r="234" spans="3:42" ht="12.75" customHeight="1" x14ac:dyDescent="0.3">
      <c r="C234" s="93" t="s">
        <v>93</v>
      </c>
      <c r="D234" s="94" t="s">
        <v>94</v>
      </c>
      <c r="E234" s="94" t="s">
        <v>95</v>
      </c>
      <c r="F234" s="95" t="str">
        <f>F233</f>
        <v>V4</v>
      </c>
      <c r="G234" s="94" t="s">
        <v>96</v>
      </c>
      <c r="H234" s="94">
        <f>J231/2</f>
        <v>0.5</v>
      </c>
      <c r="I234" s="94">
        <f>SQRT(3)</f>
        <v>1.7320508075688772</v>
      </c>
      <c r="J234" s="94">
        <v>50</v>
      </c>
      <c r="K234" s="94">
        <f t="shared" si="109"/>
        <v>0.28867513459481292</v>
      </c>
      <c r="L234" s="94">
        <v>1</v>
      </c>
      <c r="M234" s="94">
        <f t="shared" si="110"/>
        <v>0.28867513459481292</v>
      </c>
      <c r="N234" s="94">
        <f t="shared" si="111"/>
        <v>8.3333333333333356E-2</v>
      </c>
      <c r="O234" s="94">
        <f t="shared" si="112"/>
        <v>1.3888888888888897E-4</v>
      </c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</row>
    <row r="235" spans="3:42" ht="12.75" customHeight="1" x14ac:dyDescent="0.3">
      <c r="C235" s="93" t="s">
        <v>97</v>
      </c>
      <c r="D235" s="94" t="s">
        <v>98</v>
      </c>
      <c r="E235" s="94" t="s">
        <v>95</v>
      </c>
      <c r="F235" s="95" t="str">
        <f>F233</f>
        <v>V4</v>
      </c>
      <c r="G235" s="94" t="s">
        <v>92</v>
      </c>
      <c r="H235" s="140">
        <f>Y39</f>
        <v>0.17</v>
      </c>
      <c r="I235" s="94">
        <v>2</v>
      </c>
      <c r="J235" s="94">
        <v>60</v>
      </c>
      <c r="K235" s="94">
        <f t="shared" si="109"/>
        <v>8.5000000000000006E-2</v>
      </c>
      <c r="L235" s="94">
        <v>1</v>
      </c>
      <c r="M235" s="94">
        <f t="shared" si="110"/>
        <v>8.5000000000000006E-2</v>
      </c>
      <c r="N235" s="94">
        <f t="shared" si="111"/>
        <v>7.2250000000000014E-3</v>
      </c>
      <c r="O235" s="94">
        <f t="shared" si="112"/>
        <v>8.7001041666666694E-7</v>
      </c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</row>
    <row r="236" spans="3:42" ht="12.75" customHeight="1" x14ac:dyDescent="0.3">
      <c r="C236" s="93" t="s">
        <v>99</v>
      </c>
      <c r="D236" s="94" t="s">
        <v>100</v>
      </c>
      <c r="E236" s="94" t="s">
        <v>95</v>
      </c>
      <c r="F236" s="95" t="str">
        <f>F233</f>
        <v>V4</v>
      </c>
      <c r="G236" s="94" t="s">
        <v>96</v>
      </c>
      <c r="H236" s="94">
        <f>X39</f>
        <v>4.1076488244712064E-2</v>
      </c>
      <c r="I236" s="94">
        <f>SQRT(3)</f>
        <v>1.7320508075688772</v>
      </c>
      <c r="J236" s="94">
        <v>50</v>
      </c>
      <c r="K236" s="94">
        <f t="shared" si="109"/>
        <v>2.3715521545449009E-2</v>
      </c>
      <c r="L236" s="94">
        <v>1</v>
      </c>
      <c r="M236" s="94">
        <f t="shared" si="110"/>
        <v>2.3715521545449009E-2</v>
      </c>
      <c r="N236" s="94">
        <f t="shared" si="111"/>
        <v>5.6242596217265619E-4</v>
      </c>
      <c r="O236" s="94">
        <f t="shared" si="112"/>
        <v>6.3264592585167623E-9</v>
      </c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</row>
    <row r="237" spans="3:42" ht="12.75" customHeight="1" x14ac:dyDescent="0.3">
      <c r="C237" s="98"/>
      <c r="D237" s="98"/>
      <c r="E237" s="98"/>
      <c r="F237" s="93"/>
      <c r="G237" s="93"/>
      <c r="H237" s="93"/>
      <c r="I237" s="93"/>
      <c r="J237" s="93"/>
      <c r="K237" s="93"/>
      <c r="L237" s="93"/>
      <c r="M237" s="93"/>
      <c r="N237" s="93"/>
      <c r="O237" s="93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</row>
    <row r="238" spans="3:42" ht="12.75" customHeight="1" x14ac:dyDescent="0.3">
      <c r="C238" s="834" t="s">
        <v>103</v>
      </c>
      <c r="D238" s="794"/>
      <c r="E238" s="794"/>
      <c r="F238" s="794"/>
      <c r="G238" s="794"/>
      <c r="H238" s="794"/>
      <c r="I238" s="794"/>
      <c r="J238" s="794"/>
      <c r="K238" s="794"/>
      <c r="L238" s="780"/>
      <c r="M238" s="835">
        <f>SUM(N233:N237)</f>
        <v>9.1120759295506004E-2</v>
      </c>
      <c r="N238" s="780"/>
      <c r="O238" s="93">
        <f>SUM(O233:O237)</f>
        <v>1.3976522576481415E-4</v>
      </c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</row>
    <row r="239" spans="3:42" ht="12.75" customHeight="1" x14ac:dyDescent="0.3">
      <c r="C239" s="834" t="s">
        <v>104</v>
      </c>
      <c r="D239" s="794"/>
      <c r="E239" s="794"/>
      <c r="F239" s="794"/>
      <c r="G239" s="794"/>
      <c r="H239" s="794"/>
      <c r="I239" s="794"/>
      <c r="J239" s="794"/>
      <c r="K239" s="794"/>
      <c r="L239" s="780"/>
      <c r="M239" s="835">
        <f>SQRT(M238)</f>
        <v>0.3018621528040672</v>
      </c>
      <c r="N239" s="780"/>
      <c r="O239" s="93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</row>
    <row r="240" spans="3:42" ht="12.75" customHeight="1" x14ac:dyDescent="0.3">
      <c r="C240" s="834" t="s">
        <v>105</v>
      </c>
      <c r="D240" s="794"/>
      <c r="E240" s="794"/>
      <c r="F240" s="794"/>
      <c r="G240" s="794"/>
      <c r="H240" s="794"/>
      <c r="I240" s="794"/>
      <c r="J240" s="794"/>
      <c r="K240" s="794"/>
      <c r="L240" s="780"/>
      <c r="M240" s="99">
        <f>(M239^4)/O238</f>
        <v>59.406713860006668</v>
      </c>
      <c r="N240" s="101"/>
      <c r="O240" s="93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</row>
    <row r="241" spans="3:42" ht="12.75" customHeight="1" x14ac:dyDescent="0.3">
      <c r="C241" s="834" t="s">
        <v>106</v>
      </c>
      <c r="D241" s="794"/>
      <c r="E241" s="794"/>
      <c r="F241" s="794"/>
      <c r="G241" s="794"/>
      <c r="H241" s="794"/>
      <c r="I241" s="794"/>
      <c r="J241" s="794"/>
      <c r="K241" s="794"/>
      <c r="L241" s="780"/>
      <c r="M241" s="99">
        <f>1.95996+2.37356/M240+2.818745/M240^2+2.546662/M240^3+1.761829/M240^4+0.245458/M240^5+1.000764/M240^6</f>
        <v>2.0007253972065508</v>
      </c>
      <c r="N241" s="101">
        <v>2</v>
      </c>
      <c r="O241" s="93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</row>
    <row r="242" spans="3:42" ht="12.75" customHeight="1" x14ac:dyDescent="0.3">
      <c r="C242" s="834" t="s">
        <v>107</v>
      </c>
      <c r="D242" s="794"/>
      <c r="E242" s="794"/>
      <c r="F242" s="794"/>
      <c r="G242" s="794"/>
      <c r="H242" s="794"/>
      <c r="I242" s="794"/>
      <c r="J242" s="794"/>
      <c r="K242" s="794"/>
      <c r="L242" s="780"/>
      <c r="M242" s="99">
        <f>M241*M239</f>
        <v>0.60394327557054184</v>
      </c>
      <c r="N242" s="101">
        <f>N241*M239</f>
        <v>0.60372430560813439</v>
      </c>
      <c r="O242" s="93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</row>
    <row r="243" spans="3:42" ht="12.75" customHeight="1" x14ac:dyDescent="0.3"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</row>
    <row r="244" spans="3:42" ht="12.75" customHeight="1" x14ac:dyDescent="0.3"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</row>
    <row r="245" spans="3:42" ht="12.75" customHeight="1" x14ac:dyDescent="0.3"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</row>
    <row r="246" spans="3:42" ht="12.75" customHeight="1" x14ac:dyDescent="0.3"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</row>
    <row r="247" spans="3:42" ht="12.75" customHeight="1" x14ac:dyDescent="0.3"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</row>
    <row r="248" spans="3:42" ht="12.75" customHeight="1" x14ac:dyDescent="0.3"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</row>
    <row r="249" spans="3:42" ht="12.75" customHeight="1" x14ac:dyDescent="0.3"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</row>
    <row r="250" spans="3:42" ht="12.75" customHeight="1" x14ac:dyDescent="0.3"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</row>
    <row r="251" spans="3:42" ht="12.75" customHeight="1" x14ac:dyDescent="0.3"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</row>
    <row r="252" spans="3:42" ht="12.75" customHeight="1" x14ac:dyDescent="0.3"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</row>
    <row r="253" spans="3:42" ht="12.75" customHeight="1" x14ac:dyDescent="0.3"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</row>
    <row r="254" spans="3:42" ht="12.75" customHeight="1" x14ac:dyDescent="0.3"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</row>
    <row r="255" spans="3:42" ht="12.75" customHeight="1" x14ac:dyDescent="0.3"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</row>
    <row r="256" spans="3:42" ht="12.75" customHeight="1" x14ac:dyDescent="0.3"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</row>
    <row r="257" spans="3:42" ht="12.75" customHeight="1" x14ac:dyDescent="0.3"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</row>
    <row r="258" spans="3:42" ht="12.75" customHeight="1" x14ac:dyDescent="0.3"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</row>
    <row r="259" spans="3:42" ht="12.75" customHeight="1" x14ac:dyDescent="0.3"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</row>
    <row r="260" spans="3:42" ht="12.75" customHeight="1" x14ac:dyDescent="0.3"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</row>
    <row r="261" spans="3:42" ht="12.75" customHeight="1" x14ac:dyDescent="0.3"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</row>
    <row r="262" spans="3:42" ht="12.75" customHeight="1" x14ac:dyDescent="0.3"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</row>
    <row r="263" spans="3:42" ht="12.75" customHeight="1" x14ac:dyDescent="0.3"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</row>
    <row r="264" spans="3:42" ht="12.75" customHeight="1" x14ac:dyDescent="0.3"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</row>
    <row r="265" spans="3:42" ht="12.75" customHeight="1" x14ac:dyDescent="0.3"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</row>
    <row r="266" spans="3:42" ht="12.75" customHeight="1" x14ac:dyDescent="0.3"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</row>
    <row r="267" spans="3:42" ht="12.75" customHeight="1" x14ac:dyDescent="0.3"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</row>
    <row r="268" spans="3:42" ht="12.75" customHeight="1" x14ac:dyDescent="0.3"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</row>
    <row r="269" spans="3:42" ht="12.75" customHeight="1" x14ac:dyDescent="0.3"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</row>
    <row r="270" spans="3:42" ht="12.75" customHeight="1" x14ac:dyDescent="0.3"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</row>
    <row r="271" spans="3:42" ht="12.75" customHeight="1" x14ac:dyDescent="0.3"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</row>
    <row r="272" spans="3:42" ht="12.75" customHeight="1" x14ac:dyDescent="0.3"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</row>
    <row r="273" spans="3:42" ht="12.75" customHeight="1" x14ac:dyDescent="0.3"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</row>
    <row r="274" spans="3:42" ht="12.75" customHeight="1" x14ac:dyDescent="0.3"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</row>
    <row r="275" spans="3:42" ht="12.75" customHeight="1" x14ac:dyDescent="0.3"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</row>
    <row r="276" spans="3:42" ht="12.75" customHeight="1" x14ac:dyDescent="0.3"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</row>
    <row r="277" spans="3:42" ht="12.75" customHeight="1" x14ac:dyDescent="0.3"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</row>
    <row r="278" spans="3:42" ht="12.75" customHeight="1" x14ac:dyDescent="0.3"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</row>
    <row r="279" spans="3:42" ht="12.75" customHeight="1" x14ac:dyDescent="0.3"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</row>
    <row r="280" spans="3:42" ht="12.75" customHeight="1" x14ac:dyDescent="0.3"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</row>
    <row r="281" spans="3:42" ht="12.75" customHeight="1" x14ac:dyDescent="0.3"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</row>
    <row r="282" spans="3:42" ht="12.75" customHeight="1" x14ac:dyDescent="0.3"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</row>
    <row r="283" spans="3:42" ht="12.75" customHeight="1" x14ac:dyDescent="0.3"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</row>
    <row r="284" spans="3:42" ht="12.75" customHeight="1" x14ac:dyDescent="0.3"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</row>
    <row r="285" spans="3:42" ht="12.75" customHeight="1" x14ac:dyDescent="0.3"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</row>
    <row r="286" spans="3:42" ht="12.75" customHeight="1" x14ac:dyDescent="0.3"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</row>
    <row r="287" spans="3:42" ht="12.75" customHeight="1" x14ac:dyDescent="0.3"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</row>
    <row r="288" spans="3:42" ht="12.75" customHeight="1" x14ac:dyDescent="0.3"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</row>
    <row r="289" spans="3:42" ht="12.75" customHeight="1" x14ac:dyDescent="0.3"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</row>
    <row r="290" spans="3:42" ht="12.75" customHeight="1" x14ac:dyDescent="0.3"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</row>
    <row r="291" spans="3:42" ht="12.75" customHeight="1" x14ac:dyDescent="0.3"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</row>
    <row r="292" spans="3:42" ht="12.75" customHeight="1" x14ac:dyDescent="0.3"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</row>
    <row r="293" spans="3:42" ht="12.75" customHeight="1" x14ac:dyDescent="0.3"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</row>
    <row r="294" spans="3:42" ht="12.75" customHeight="1" x14ac:dyDescent="0.3"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</row>
    <row r="295" spans="3:42" ht="12.75" customHeight="1" x14ac:dyDescent="0.3"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</row>
    <row r="296" spans="3:42" ht="12.75" customHeight="1" x14ac:dyDescent="0.3"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</row>
    <row r="297" spans="3:42" ht="12.75" customHeight="1" x14ac:dyDescent="0.3"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</row>
    <row r="298" spans="3:42" ht="12.75" customHeight="1" x14ac:dyDescent="0.3"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</row>
    <row r="299" spans="3:42" ht="12.75" customHeight="1" x14ac:dyDescent="0.3"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</row>
    <row r="300" spans="3:42" ht="12.75" customHeight="1" x14ac:dyDescent="0.3"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</row>
    <row r="301" spans="3:42" ht="12.75" customHeight="1" x14ac:dyDescent="0.3"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</row>
    <row r="302" spans="3:42" ht="12.75" customHeight="1" x14ac:dyDescent="0.3"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</row>
    <row r="303" spans="3:42" ht="12.75" customHeight="1" x14ac:dyDescent="0.3"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</row>
    <row r="304" spans="3:42" ht="12.75" customHeight="1" x14ac:dyDescent="0.3"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</row>
    <row r="305" spans="3:42" ht="12.75" customHeight="1" x14ac:dyDescent="0.3"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</row>
    <row r="306" spans="3:42" ht="12.75" customHeight="1" x14ac:dyDescent="0.3"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</row>
    <row r="307" spans="3:42" ht="12.75" customHeight="1" x14ac:dyDescent="0.3"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</row>
    <row r="308" spans="3:42" ht="12.75" customHeight="1" x14ac:dyDescent="0.3"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</row>
    <row r="309" spans="3:42" ht="12.75" customHeight="1" x14ac:dyDescent="0.3"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</row>
    <row r="310" spans="3:42" ht="12.75" customHeight="1" x14ac:dyDescent="0.3"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</row>
    <row r="311" spans="3:42" ht="12.75" customHeight="1" x14ac:dyDescent="0.3"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</row>
    <row r="312" spans="3:42" ht="12.75" customHeight="1" x14ac:dyDescent="0.3"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</row>
    <row r="313" spans="3:42" ht="12.75" customHeight="1" x14ac:dyDescent="0.3"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</row>
    <row r="314" spans="3:42" ht="12.75" customHeight="1" x14ac:dyDescent="0.3"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</row>
    <row r="315" spans="3:42" ht="12.75" customHeight="1" x14ac:dyDescent="0.3"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</row>
    <row r="316" spans="3:42" ht="12.75" customHeight="1" x14ac:dyDescent="0.3"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</row>
    <row r="317" spans="3:42" ht="12.75" customHeight="1" x14ac:dyDescent="0.3"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</row>
    <row r="318" spans="3:42" ht="12.75" customHeight="1" x14ac:dyDescent="0.3"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</row>
    <row r="319" spans="3:42" ht="12.75" customHeight="1" x14ac:dyDescent="0.3"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</row>
    <row r="320" spans="3:42" ht="12.75" customHeight="1" x14ac:dyDescent="0.3"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</row>
    <row r="321" spans="3:42" ht="12.75" customHeight="1" x14ac:dyDescent="0.3"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</row>
    <row r="322" spans="3:42" ht="12.75" customHeight="1" x14ac:dyDescent="0.3"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</row>
    <row r="323" spans="3:42" ht="12.75" customHeight="1" x14ac:dyDescent="0.3"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</row>
    <row r="324" spans="3:42" ht="12.75" customHeight="1" x14ac:dyDescent="0.3"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</row>
    <row r="325" spans="3:42" ht="12.75" customHeight="1" x14ac:dyDescent="0.3"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</row>
    <row r="326" spans="3:42" ht="12.75" customHeight="1" x14ac:dyDescent="0.3"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</row>
    <row r="327" spans="3:42" ht="12.75" customHeight="1" x14ac:dyDescent="0.3"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</row>
    <row r="328" spans="3:42" ht="12.75" customHeight="1" x14ac:dyDescent="0.3"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</row>
    <row r="329" spans="3:42" ht="12.75" customHeight="1" x14ac:dyDescent="0.3"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</row>
    <row r="330" spans="3:42" ht="12.75" customHeight="1" x14ac:dyDescent="0.3"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</row>
    <row r="331" spans="3:42" ht="12.75" customHeight="1" x14ac:dyDescent="0.3"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</row>
    <row r="332" spans="3:42" ht="12.75" customHeight="1" x14ac:dyDescent="0.3"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</row>
    <row r="333" spans="3:42" ht="12.75" customHeight="1" x14ac:dyDescent="0.3"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</row>
    <row r="334" spans="3:42" ht="12.75" customHeight="1" x14ac:dyDescent="0.3"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</row>
    <row r="335" spans="3:42" ht="12.75" customHeight="1" x14ac:dyDescent="0.3"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</row>
    <row r="336" spans="3:42" ht="12.75" customHeight="1" x14ac:dyDescent="0.3"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</row>
    <row r="337" spans="3:42" ht="12.75" customHeight="1" x14ac:dyDescent="0.3"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</row>
    <row r="338" spans="3:42" ht="12.75" customHeight="1" x14ac:dyDescent="0.3"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</row>
    <row r="339" spans="3:42" ht="12.75" customHeight="1" x14ac:dyDescent="0.3"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</row>
    <row r="340" spans="3:42" ht="12.75" customHeight="1" x14ac:dyDescent="0.3"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</row>
    <row r="341" spans="3:42" ht="12.75" customHeight="1" x14ac:dyDescent="0.3"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</row>
    <row r="342" spans="3:42" ht="12.75" customHeight="1" x14ac:dyDescent="0.3"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</row>
    <row r="343" spans="3:42" ht="12.75" customHeight="1" x14ac:dyDescent="0.3"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</row>
    <row r="344" spans="3:42" ht="12.75" customHeight="1" x14ac:dyDescent="0.3"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</row>
    <row r="345" spans="3:42" ht="12.75" customHeight="1" x14ac:dyDescent="0.3"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</row>
    <row r="346" spans="3:42" ht="12.75" customHeight="1" x14ac:dyDescent="0.3"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</row>
    <row r="347" spans="3:42" ht="12.75" customHeight="1" x14ac:dyDescent="0.3"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</row>
    <row r="348" spans="3:42" ht="12.75" customHeight="1" x14ac:dyDescent="0.3"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</row>
    <row r="349" spans="3:42" ht="12.75" customHeight="1" x14ac:dyDescent="0.3"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</row>
    <row r="350" spans="3:42" ht="12.75" customHeight="1" x14ac:dyDescent="0.3"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</row>
    <row r="351" spans="3:42" ht="12.75" customHeight="1" x14ac:dyDescent="0.3"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</row>
    <row r="352" spans="3:42" ht="12.75" customHeight="1" x14ac:dyDescent="0.3"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</row>
    <row r="353" spans="3:42" ht="12.75" customHeight="1" x14ac:dyDescent="0.3"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</row>
    <row r="354" spans="3:42" ht="12.75" customHeight="1" x14ac:dyDescent="0.3"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</row>
    <row r="355" spans="3:42" ht="12.75" customHeight="1" x14ac:dyDescent="0.3"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</row>
    <row r="356" spans="3:42" ht="12.75" customHeight="1" x14ac:dyDescent="0.3"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</row>
    <row r="357" spans="3:42" ht="12.75" customHeight="1" x14ac:dyDescent="0.3"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</row>
    <row r="358" spans="3:42" ht="12.75" customHeight="1" x14ac:dyDescent="0.3"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</row>
    <row r="359" spans="3:42" ht="12.75" customHeight="1" x14ac:dyDescent="0.3"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</row>
    <row r="360" spans="3:42" ht="12.75" customHeight="1" x14ac:dyDescent="0.3"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</row>
    <row r="361" spans="3:42" ht="12.75" customHeight="1" x14ac:dyDescent="0.3"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</row>
    <row r="362" spans="3:42" ht="12.75" customHeight="1" x14ac:dyDescent="0.3"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</row>
    <row r="363" spans="3:42" ht="12.75" customHeight="1" x14ac:dyDescent="0.3"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</row>
    <row r="364" spans="3:42" ht="12.75" customHeight="1" x14ac:dyDescent="0.3"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</row>
    <row r="365" spans="3:42" ht="12.75" customHeight="1" x14ac:dyDescent="0.3"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</row>
    <row r="366" spans="3:42" ht="12.75" customHeight="1" x14ac:dyDescent="0.3"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</row>
    <row r="367" spans="3:42" ht="12.75" customHeight="1" x14ac:dyDescent="0.3"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</row>
    <row r="368" spans="3:42" ht="12.75" customHeight="1" x14ac:dyDescent="0.3"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</row>
    <row r="369" spans="3:42" ht="12.75" customHeight="1" x14ac:dyDescent="0.3"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</row>
    <row r="370" spans="3:42" ht="12.75" customHeight="1" x14ac:dyDescent="0.3"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</row>
    <row r="371" spans="3:42" ht="12.75" customHeight="1" x14ac:dyDescent="0.3"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</row>
    <row r="372" spans="3:42" ht="12.75" customHeight="1" x14ac:dyDescent="0.3"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</row>
    <row r="373" spans="3:42" ht="12.75" customHeight="1" x14ac:dyDescent="0.3"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</row>
    <row r="374" spans="3:42" ht="12.75" customHeight="1" x14ac:dyDescent="0.3"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</row>
    <row r="375" spans="3:42" ht="12.75" customHeight="1" x14ac:dyDescent="0.3"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</row>
    <row r="376" spans="3:42" ht="12.75" customHeight="1" x14ac:dyDescent="0.3"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</row>
    <row r="377" spans="3:42" ht="12.75" customHeight="1" x14ac:dyDescent="0.3"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</row>
    <row r="378" spans="3:42" ht="12.75" customHeight="1" x14ac:dyDescent="0.3"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</row>
    <row r="379" spans="3:42" ht="12.75" customHeight="1" x14ac:dyDescent="0.3"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</row>
    <row r="380" spans="3:42" ht="12.75" customHeight="1" x14ac:dyDescent="0.3"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</row>
    <row r="381" spans="3:42" ht="12.75" customHeight="1" x14ac:dyDescent="0.3"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</row>
    <row r="382" spans="3:42" ht="12.75" customHeight="1" x14ac:dyDescent="0.3"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</row>
    <row r="383" spans="3:42" ht="12.75" customHeight="1" x14ac:dyDescent="0.3"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</row>
    <row r="384" spans="3:42" ht="12.75" customHeight="1" x14ac:dyDescent="0.3"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</row>
    <row r="385" spans="3:42" ht="12.75" customHeight="1" x14ac:dyDescent="0.3"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</row>
    <row r="386" spans="3:42" ht="12.75" customHeight="1" x14ac:dyDescent="0.3"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</row>
    <row r="387" spans="3:42" ht="12.75" customHeight="1" x14ac:dyDescent="0.3"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</row>
    <row r="388" spans="3:42" ht="12.75" customHeight="1" x14ac:dyDescent="0.3"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</row>
    <row r="389" spans="3:42" ht="12.75" customHeight="1" x14ac:dyDescent="0.3"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</row>
    <row r="390" spans="3:42" ht="12.75" customHeight="1" x14ac:dyDescent="0.3"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</row>
    <row r="391" spans="3:42" ht="12.75" customHeight="1" x14ac:dyDescent="0.3"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</row>
    <row r="392" spans="3:42" ht="12.75" customHeight="1" x14ac:dyDescent="0.3"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</row>
    <row r="393" spans="3:42" ht="12.75" customHeight="1" x14ac:dyDescent="0.3"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</row>
    <row r="394" spans="3:42" ht="12.75" customHeight="1" x14ac:dyDescent="0.3"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</row>
    <row r="395" spans="3:42" ht="12.75" customHeight="1" x14ac:dyDescent="0.3"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</row>
    <row r="396" spans="3:42" ht="12.75" customHeight="1" x14ac:dyDescent="0.3"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</row>
    <row r="397" spans="3:42" ht="12.75" customHeight="1" x14ac:dyDescent="0.3"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</row>
    <row r="398" spans="3:42" ht="12.75" customHeight="1" x14ac:dyDescent="0.3"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</row>
    <row r="399" spans="3:42" ht="12.75" customHeight="1" x14ac:dyDescent="0.3"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</row>
    <row r="400" spans="3:42" ht="12.75" customHeight="1" x14ac:dyDescent="0.3"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</row>
    <row r="401" spans="3:42" ht="12.75" customHeight="1" x14ac:dyDescent="0.3"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</row>
    <row r="402" spans="3:42" ht="12.75" customHeight="1" x14ac:dyDescent="0.3"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</row>
    <row r="403" spans="3:42" ht="12.75" customHeight="1" x14ac:dyDescent="0.3"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</row>
    <row r="404" spans="3:42" ht="12.75" customHeight="1" x14ac:dyDescent="0.3"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</row>
    <row r="405" spans="3:42" ht="12.75" customHeight="1" x14ac:dyDescent="0.3"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</row>
    <row r="406" spans="3:42" ht="12.75" customHeight="1" x14ac:dyDescent="0.3"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</row>
    <row r="407" spans="3:42" ht="12.75" customHeight="1" x14ac:dyDescent="0.3"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</row>
    <row r="408" spans="3:42" ht="12.75" customHeight="1" x14ac:dyDescent="0.3"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</row>
    <row r="409" spans="3:42" ht="12.75" customHeight="1" x14ac:dyDescent="0.3"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</row>
    <row r="410" spans="3:42" ht="12.75" customHeight="1" x14ac:dyDescent="0.3"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</row>
    <row r="411" spans="3:42" ht="12.75" customHeight="1" x14ac:dyDescent="0.3"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</row>
    <row r="412" spans="3:42" ht="12.75" customHeight="1" x14ac:dyDescent="0.3"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</row>
    <row r="413" spans="3:42" ht="12.75" customHeight="1" x14ac:dyDescent="0.3"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</row>
    <row r="414" spans="3:42" ht="12.75" customHeight="1" x14ac:dyDescent="0.3"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</row>
    <row r="415" spans="3:42" ht="12.75" customHeight="1" x14ac:dyDescent="0.3"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</row>
    <row r="416" spans="3:42" ht="12.75" customHeight="1" x14ac:dyDescent="0.3"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</row>
    <row r="417" spans="3:42" ht="12.75" customHeight="1" x14ac:dyDescent="0.3"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</row>
    <row r="418" spans="3:42" ht="12.75" customHeight="1" x14ac:dyDescent="0.3"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</row>
    <row r="419" spans="3:42" ht="12.75" customHeight="1" x14ac:dyDescent="0.3"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</row>
    <row r="420" spans="3:42" ht="12.75" customHeight="1" x14ac:dyDescent="0.3"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</row>
    <row r="421" spans="3:42" ht="12.75" customHeight="1" x14ac:dyDescent="0.3"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</row>
    <row r="422" spans="3:42" ht="12.75" customHeight="1" x14ac:dyDescent="0.3"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</row>
    <row r="423" spans="3:42" ht="12.75" customHeight="1" x14ac:dyDescent="0.3"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</row>
    <row r="424" spans="3:42" ht="12.75" customHeight="1" x14ac:dyDescent="0.3"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</row>
    <row r="425" spans="3:42" ht="12.75" customHeight="1" x14ac:dyDescent="0.3"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</row>
    <row r="426" spans="3:42" ht="12.75" customHeight="1" x14ac:dyDescent="0.3"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</row>
    <row r="427" spans="3:42" ht="12.75" customHeight="1" x14ac:dyDescent="0.3"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</row>
    <row r="428" spans="3:42" ht="12.75" customHeight="1" x14ac:dyDescent="0.3"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</row>
    <row r="429" spans="3:42" ht="12.75" customHeight="1" x14ac:dyDescent="0.3"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</row>
    <row r="430" spans="3:42" ht="12.75" customHeight="1" x14ac:dyDescent="0.3"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</row>
    <row r="431" spans="3:42" ht="12.75" customHeight="1" x14ac:dyDescent="0.3"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</row>
    <row r="432" spans="3:42" ht="12.75" customHeight="1" x14ac:dyDescent="0.3"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</row>
    <row r="433" spans="3:42" ht="12.75" customHeight="1" x14ac:dyDescent="0.3"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</row>
    <row r="434" spans="3:42" ht="12.75" customHeight="1" x14ac:dyDescent="0.3"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</row>
    <row r="435" spans="3:42" ht="12.75" customHeight="1" x14ac:dyDescent="0.3"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</row>
    <row r="436" spans="3:42" ht="12.75" customHeight="1" x14ac:dyDescent="0.3"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</row>
    <row r="437" spans="3:42" ht="12.75" customHeight="1" x14ac:dyDescent="0.3"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</row>
    <row r="438" spans="3:42" ht="12.75" customHeight="1" x14ac:dyDescent="0.3"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</row>
    <row r="439" spans="3:42" ht="12.75" customHeight="1" x14ac:dyDescent="0.3"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</row>
    <row r="440" spans="3:42" ht="12.75" customHeight="1" x14ac:dyDescent="0.3"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</row>
    <row r="441" spans="3:42" ht="12.75" customHeight="1" x14ac:dyDescent="0.3"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</row>
    <row r="442" spans="3:42" ht="12.75" customHeight="1" x14ac:dyDescent="0.3"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</row>
    <row r="443" spans="3:42" ht="12.75" customHeight="1" x14ac:dyDescent="0.3"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</row>
    <row r="444" spans="3:42" ht="12.75" customHeight="1" x14ac:dyDescent="0.3"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</row>
    <row r="445" spans="3:42" ht="12.75" customHeight="1" x14ac:dyDescent="0.3"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</row>
    <row r="446" spans="3:42" ht="12.75" customHeight="1" x14ac:dyDescent="0.3"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</row>
    <row r="447" spans="3:42" ht="12.75" customHeight="1" x14ac:dyDescent="0.3"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</row>
    <row r="448" spans="3:42" ht="12.75" customHeight="1" x14ac:dyDescent="0.3"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</row>
    <row r="449" spans="3:42" ht="12.75" customHeight="1" x14ac:dyDescent="0.3"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</row>
    <row r="450" spans="3:42" ht="12.75" customHeight="1" x14ac:dyDescent="0.3"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</row>
    <row r="451" spans="3:42" ht="12.75" customHeight="1" x14ac:dyDescent="0.3"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</row>
    <row r="452" spans="3:42" ht="12.75" customHeight="1" x14ac:dyDescent="0.3"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</row>
    <row r="453" spans="3:42" ht="12.75" customHeight="1" x14ac:dyDescent="0.3"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</row>
    <row r="454" spans="3:42" ht="12.75" customHeight="1" x14ac:dyDescent="0.3"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</row>
    <row r="455" spans="3:42" ht="12.75" customHeight="1" x14ac:dyDescent="0.3"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</row>
    <row r="456" spans="3:42" ht="12.75" customHeight="1" x14ac:dyDescent="0.3"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</row>
    <row r="457" spans="3:42" ht="12.75" customHeight="1" x14ac:dyDescent="0.3"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</row>
    <row r="458" spans="3:42" ht="12.75" customHeight="1" x14ac:dyDescent="0.3"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</row>
    <row r="459" spans="3:42" ht="12.75" customHeight="1" x14ac:dyDescent="0.3"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</row>
    <row r="460" spans="3:42" ht="12.75" customHeight="1" x14ac:dyDescent="0.3"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</row>
    <row r="461" spans="3:42" ht="12.75" customHeight="1" x14ac:dyDescent="0.3"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</row>
    <row r="462" spans="3:42" ht="12.75" customHeight="1" x14ac:dyDescent="0.3"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</row>
    <row r="463" spans="3:42" ht="12.75" customHeight="1" x14ac:dyDescent="0.3"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</row>
    <row r="464" spans="3:42" ht="12.75" customHeight="1" x14ac:dyDescent="0.3"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</row>
    <row r="465" spans="3:42" ht="12.75" customHeight="1" x14ac:dyDescent="0.3"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</row>
    <row r="466" spans="3:42" ht="12.75" customHeight="1" x14ac:dyDescent="0.3"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</row>
    <row r="467" spans="3:42" ht="12.75" customHeight="1" x14ac:dyDescent="0.3"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</row>
    <row r="468" spans="3:42" ht="12.75" customHeight="1" x14ac:dyDescent="0.3"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</row>
    <row r="469" spans="3:42" ht="12.75" customHeight="1" x14ac:dyDescent="0.3"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</row>
    <row r="470" spans="3:42" ht="12.75" customHeight="1" x14ac:dyDescent="0.3"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</row>
    <row r="471" spans="3:42" ht="12.75" customHeight="1" x14ac:dyDescent="0.3"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</row>
    <row r="472" spans="3:42" ht="12.75" customHeight="1" x14ac:dyDescent="0.3"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</row>
    <row r="473" spans="3:42" ht="12.75" customHeight="1" x14ac:dyDescent="0.3"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</row>
    <row r="474" spans="3:42" ht="12.75" customHeight="1" x14ac:dyDescent="0.3"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</row>
    <row r="475" spans="3:42" ht="12.75" customHeight="1" x14ac:dyDescent="0.3"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</row>
    <row r="476" spans="3:42" ht="12.75" customHeight="1" x14ac:dyDescent="0.3"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</row>
    <row r="477" spans="3:42" ht="12.75" customHeight="1" x14ac:dyDescent="0.3"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</row>
    <row r="478" spans="3:42" ht="12.75" customHeight="1" x14ac:dyDescent="0.3"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</row>
    <row r="479" spans="3:42" ht="12.75" customHeight="1" x14ac:dyDescent="0.3"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</row>
    <row r="480" spans="3:42" ht="12.75" customHeight="1" x14ac:dyDescent="0.3"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</row>
    <row r="481" spans="3:42" ht="12.75" customHeight="1" x14ac:dyDescent="0.3"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</row>
    <row r="482" spans="3:42" ht="12.75" customHeight="1" x14ac:dyDescent="0.3"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</row>
    <row r="483" spans="3:42" ht="12.75" customHeight="1" x14ac:dyDescent="0.3"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</row>
    <row r="484" spans="3:42" ht="12.75" customHeight="1" x14ac:dyDescent="0.3"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</row>
    <row r="485" spans="3:42" ht="12.75" customHeight="1" x14ac:dyDescent="0.3"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</row>
    <row r="486" spans="3:42" ht="12.75" customHeight="1" x14ac:dyDescent="0.3"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</row>
    <row r="487" spans="3:42" ht="12.75" customHeight="1" x14ac:dyDescent="0.3"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</row>
    <row r="488" spans="3:42" ht="12.75" customHeight="1" x14ac:dyDescent="0.3"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</row>
    <row r="489" spans="3:42" ht="12.75" customHeight="1" x14ac:dyDescent="0.3"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</row>
    <row r="490" spans="3:42" ht="12.75" customHeight="1" x14ac:dyDescent="0.3"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</row>
    <row r="491" spans="3:42" ht="12.75" customHeight="1" x14ac:dyDescent="0.3"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</row>
    <row r="492" spans="3:42" ht="12.75" customHeight="1" x14ac:dyDescent="0.3"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</row>
    <row r="493" spans="3:42" ht="12.75" customHeight="1" x14ac:dyDescent="0.3"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</row>
    <row r="494" spans="3:42" ht="12.75" customHeight="1" x14ac:dyDescent="0.3"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</row>
    <row r="495" spans="3:42" ht="12.75" customHeight="1" x14ac:dyDescent="0.3"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</row>
    <row r="496" spans="3:42" ht="12.75" customHeight="1" x14ac:dyDescent="0.3"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</row>
    <row r="497" spans="3:42" ht="12.75" customHeight="1" x14ac:dyDescent="0.3"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</row>
    <row r="498" spans="3:42" ht="12.75" customHeight="1" x14ac:dyDescent="0.3"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</row>
    <row r="499" spans="3:42" ht="12.75" customHeight="1" x14ac:dyDescent="0.3"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</row>
    <row r="500" spans="3:42" ht="12.75" customHeight="1" x14ac:dyDescent="0.3"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</row>
    <row r="501" spans="3:42" ht="12.75" customHeight="1" x14ac:dyDescent="0.3"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</row>
    <row r="502" spans="3:42" ht="12.75" customHeight="1" x14ac:dyDescent="0.3"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</row>
    <row r="503" spans="3:42" ht="12.75" customHeight="1" x14ac:dyDescent="0.3"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</row>
    <row r="504" spans="3:42" ht="12.75" customHeight="1" x14ac:dyDescent="0.3"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</row>
    <row r="505" spans="3:42" ht="12.75" customHeight="1" x14ac:dyDescent="0.3"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</row>
    <row r="506" spans="3:42" ht="12.75" customHeight="1" x14ac:dyDescent="0.3"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</row>
    <row r="507" spans="3:42" ht="12.75" customHeight="1" x14ac:dyDescent="0.3"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</row>
    <row r="508" spans="3:42" ht="12.75" customHeight="1" x14ac:dyDescent="0.3"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</row>
    <row r="509" spans="3:42" ht="12.75" customHeight="1" x14ac:dyDescent="0.3"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</row>
    <row r="510" spans="3:42" ht="12.75" customHeight="1" x14ac:dyDescent="0.3"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</row>
    <row r="511" spans="3:42" ht="12.75" customHeight="1" x14ac:dyDescent="0.3"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</row>
    <row r="512" spans="3:42" ht="12.75" customHeight="1" x14ac:dyDescent="0.3"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</row>
    <row r="513" spans="3:42" ht="12.75" customHeight="1" x14ac:dyDescent="0.3"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</row>
    <row r="514" spans="3:42" ht="12.75" customHeight="1" x14ac:dyDescent="0.3"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</row>
    <row r="515" spans="3:42" ht="12.75" customHeight="1" x14ac:dyDescent="0.3"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</row>
    <row r="516" spans="3:42" ht="12.75" customHeight="1" x14ac:dyDescent="0.3"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</row>
    <row r="517" spans="3:42" ht="12.75" customHeight="1" x14ac:dyDescent="0.3"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</row>
    <row r="518" spans="3:42" ht="12.75" customHeight="1" x14ac:dyDescent="0.3"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</row>
    <row r="519" spans="3:42" ht="12.75" customHeight="1" x14ac:dyDescent="0.3"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</row>
    <row r="520" spans="3:42" ht="12.75" customHeight="1" x14ac:dyDescent="0.3"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</row>
    <row r="521" spans="3:42" ht="12.75" customHeight="1" x14ac:dyDescent="0.3"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</row>
    <row r="522" spans="3:42" ht="12.75" customHeight="1" x14ac:dyDescent="0.3"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</row>
    <row r="523" spans="3:42" ht="12.75" customHeight="1" x14ac:dyDescent="0.3"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</row>
    <row r="524" spans="3:42" ht="12.75" customHeight="1" x14ac:dyDescent="0.3"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</row>
    <row r="525" spans="3:42" ht="12.75" customHeight="1" x14ac:dyDescent="0.3"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</row>
    <row r="526" spans="3:42" ht="12.75" customHeight="1" x14ac:dyDescent="0.3"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</row>
    <row r="527" spans="3:42" ht="12.75" customHeight="1" x14ac:dyDescent="0.3"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</row>
    <row r="528" spans="3:42" ht="12.75" customHeight="1" x14ac:dyDescent="0.3"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</row>
    <row r="529" spans="3:42" ht="12.75" customHeight="1" x14ac:dyDescent="0.3"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</row>
    <row r="530" spans="3:42" ht="12.75" customHeight="1" x14ac:dyDescent="0.3"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</row>
    <row r="531" spans="3:42" ht="12.75" customHeight="1" x14ac:dyDescent="0.3"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</row>
    <row r="532" spans="3:42" ht="12.75" customHeight="1" x14ac:dyDescent="0.3"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</row>
    <row r="533" spans="3:42" ht="12.75" customHeight="1" x14ac:dyDescent="0.3"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</row>
    <row r="534" spans="3:42" ht="12.75" customHeight="1" x14ac:dyDescent="0.3"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</row>
    <row r="535" spans="3:42" ht="12.75" customHeight="1" x14ac:dyDescent="0.3"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</row>
    <row r="536" spans="3:42" ht="12.75" customHeight="1" x14ac:dyDescent="0.3"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</row>
    <row r="537" spans="3:42" ht="12.75" customHeight="1" x14ac:dyDescent="0.3"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</row>
    <row r="538" spans="3:42" ht="12.75" customHeight="1" x14ac:dyDescent="0.3"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</row>
    <row r="539" spans="3:42" ht="12.75" customHeight="1" x14ac:dyDescent="0.3"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</row>
    <row r="540" spans="3:42" ht="12.75" customHeight="1" x14ac:dyDescent="0.3"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</row>
    <row r="541" spans="3:42" ht="12.75" customHeight="1" x14ac:dyDescent="0.3"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</row>
    <row r="542" spans="3:42" ht="12.75" customHeight="1" x14ac:dyDescent="0.3"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</row>
    <row r="543" spans="3:42" ht="12.75" customHeight="1" x14ac:dyDescent="0.3"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</row>
    <row r="544" spans="3:42" ht="12.75" customHeight="1" x14ac:dyDescent="0.3"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</row>
    <row r="545" spans="3:42" ht="12.75" customHeight="1" x14ac:dyDescent="0.3"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</row>
    <row r="546" spans="3:42" ht="12.75" customHeight="1" x14ac:dyDescent="0.3"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</row>
    <row r="547" spans="3:42" ht="12.75" customHeight="1" x14ac:dyDescent="0.3"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</row>
    <row r="548" spans="3:42" ht="12.75" customHeight="1" x14ac:dyDescent="0.3"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</row>
    <row r="549" spans="3:42" ht="12.75" customHeight="1" x14ac:dyDescent="0.3"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</row>
    <row r="550" spans="3:42" ht="12.75" customHeight="1" x14ac:dyDescent="0.3"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</row>
    <row r="551" spans="3:42" ht="12.75" customHeight="1" x14ac:dyDescent="0.3"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</row>
    <row r="552" spans="3:42" ht="12.75" customHeight="1" x14ac:dyDescent="0.3"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</row>
    <row r="553" spans="3:42" ht="12.75" customHeight="1" x14ac:dyDescent="0.3"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</row>
    <row r="554" spans="3:42" ht="12.75" customHeight="1" x14ac:dyDescent="0.3"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</row>
    <row r="555" spans="3:42" ht="12.75" customHeight="1" x14ac:dyDescent="0.3"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</row>
    <row r="556" spans="3:42" ht="12.75" customHeight="1" x14ac:dyDescent="0.3"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</row>
    <row r="557" spans="3:42" ht="12.75" customHeight="1" x14ac:dyDescent="0.3"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</row>
    <row r="558" spans="3:42" ht="12.75" customHeight="1" x14ac:dyDescent="0.3"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</row>
    <row r="559" spans="3:42" ht="12.75" customHeight="1" x14ac:dyDescent="0.3"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</row>
    <row r="560" spans="3:42" ht="12.75" customHeight="1" x14ac:dyDescent="0.3"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</row>
    <row r="561" spans="3:42" ht="12.75" customHeight="1" x14ac:dyDescent="0.3"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</row>
    <row r="562" spans="3:42" ht="12.75" customHeight="1" x14ac:dyDescent="0.3"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</row>
    <row r="563" spans="3:42" ht="12.75" customHeight="1" x14ac:dyDescent="0.3"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</row>
    <row r="564" spans="3:42" ht="12.75" customHeight="1" x14ac:dyDescent="0.3"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</row>
    <row r="565" spans="3:42" ht="12.75" customHeight="1" x14ac:dyDescent="0.3"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</row>
    <row r="566" spans="3:42" ht="12.75" customHeight="1" x14ac:dyDescent="0.3"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</row>
    <row r="567" spans="3:42" ht="12.75" customHeight="1" x14ac:dyDescent="0.3"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</row>
    <row r="568" spans="3:42" ht="12.75" customHeight="1" x14ac:dyDescent="0.3"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</row>
    <row r="569" spans="3:42" ht="12.75" customHeight="1" x14ac:dyDescent="0.3"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</row>
    <row r="570" spans="3:42" ht="12.75" customHeight="1" x14ac:dyDescent="0.3"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</row>
    <row r="571" spans="3:42" ht="12.75" customHeight="1" x14ac:dyDescent="0.3"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</row>
    <row r="572" spans="3:42" ht="12.75" customHeight="1" x14ac:dyDescent="0.3"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</row>
    <row r="573" spans="3:42" ht="12.75" customHeight="1" x14ac:dyDescent="0.3"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</row>
    <row r="574" spans="3:42" ht="12.75" customHeight="1" x14ac:dyDescent="0.3"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</row>
    <row r="575" spans="3:42" ht="12.75" customHeight="1" x14ac:dyDescent="0.3"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</row>
    <row r="576" spans="3:42" ht="12.75" customHeight="1" x14ac:dyDescent="0.3"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</row>
    <row r="577" spans="3:42" ht="12.75" customHeight="1" x14ac:dyDescent="0.3"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</row>
    <row r="578" spans="3:42" ht="12.75" customHeight="1" x14ac:dyDescent="0.3"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</row>
    <row r="579" spans="3:42" ht="12.75" customHeight="1" x14ac:dyDescent="0.3"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</row>
    <row r="580" spans="3:42" ht="12.75" customHeight="1" x14ac:dyDescent="0.3"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</row>
    <row r="581" spans="3:42" ht="12.75" customHeight="1" x14ac:dyDescent="0.3"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</row>
    <row r="582" spans="3:42" ht="12.75" customHeight="1" x14ac:dyDescent="0.3"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</row>
    <row r="583" spans="3:42" ht="12.75" customHeight="1" x14ac:dyDescent="0.3"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</row>
    <row r="584" spans="3:42" ht="12.75" customHeight="1" x14ac:dyDescent="0.3"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</row>
    <row r="585" spans="3:42" ht="12.75" customHeight="1" x14ac:dyDescent="0.3"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</row>
    <row r="586" spans="3:42" ht="12.75" customHeight="1" x14ac:dyDescent="0.3"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</row>
    <row r="587" spans="3:42" ht="12.75" customHeight="1" x14ac:dyDescent="0.3"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</row>
    <row r="588" spans="3:42" ht="12.75" customHeight="1" x14ac:dyDescent="0.3"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</row>
    <row r="589" spans="3:42" ht="12.75" customHeight="1" x14ac:dyDescent="0.3"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</row>
    <row r="590" spans="3:42" ht="12.75" customHeight="1" x14ac:dyDescent="0.3"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</row>
    <row r="591" spans="3:42" ht="12.75" customHeight="1" x14ac:dyDescent="0.3"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</row>
    <row r="592" spans="3:42" ht="12.75" customHeight="1" x14ac:dyDescent="0.3"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</row>
    <row r="593" spans="3:42" ht="12.75" customHeight="1" x14ac:dyDescent="0.3"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</row>
    <row r="594" spans="3:42" ht="12.75" customHeight="1" x14ac:dyDescent="0.3"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</row>
    <row r="595" spans="3:42" ht="12.75" customHeight="1" x14ac:dyDescent="0.3"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</row>
    <row r="596" spans="3:42" ht="12.75" customHeight="1" x14ac:dyDescent="0.3"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</row>
    <row r="597" spans="3:42" ht="12.75" customHeight="1" x14ac:dyDescent="0.3"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</row>
    <row r="598" spans="3:42" ht="12.75" customHeight="1" x14ac:dyDescent="0.3"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</row>
    <row r="599" spans="3:42" ht="12.75" customHeight="1" x14ac:dyDescent="0.3"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</row>
    <row r="600" spans="3:42" ht="12.75" customHeight="1" x14ac:dyDescent="0.3"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</row>
    <row r="601" spans="3:42" ht="12.75" customHeight="1" x14ac:dyDescent="0.3"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</row>
    <row r="602" spans="3:42" ht="12.75" customHeight="1" x14ac:dyDescent="0.3"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</row>
    <row r="603" spans="3:42" ht="12.75" customHeight="1" x14ac:dyDescent="0.3"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</row>
    <row r="604" spans="3:42" ht="12.75" customHeight="1" x14ac:dyDescent="0.3"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</row>
    <row r="605" spans="3:42" ht="12.75" customHeight="1" x14ac:dyDescent="0.3"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</row>
    <row r="606" spans="3:42" ht="12.75" customHeight="1" x14ac:dyDescent="0.3"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</row>
    <row r="607" spans="3:42" ht="12.75" customHeight="1" x14ac:dyDescent="0.3"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</row>
    <row r="608" spans="3:42" ht="12.75" customHeight="1" x14ac:dyDescent="0.3"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</row>
    <row r="609" spans="3:42" ht="12.75" customHeight="1" x14ac:dyDescent="0.3"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</row>
    <row r="610" spans="3:42" ht="12.75" customHeight="1" x14ac:dyDescent="0.3"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</row>
    <row r="611" spans="3:42" ht="12.75" customHeight="1" x14ac:dyDescent="0.3"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</row>
    <row r="612" spans="3:42" ht="12.75" customHeight="1" x14ac:dyDescent="0.3"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</row>
    <row r="613" spans="3:42" ht="12.75" customHeight="1" x14ac:dyDescent="0.3"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</row>
    <row r="614" spans="3:42" ht="12.75" customHeight="1" x14ac:dyDescent="0.3"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</row>
    <row r="615" spans="3:42" ht="12.75" customHeight="1" x14ac:dyDescent="0.3"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</row>
    <row r="616" spans="3:42" ht="12.75" customHeight="1" x14ac:dyDescent="0.3"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</row>
    <row r="617" spans="3:42" ht="12.75" customHeight="1" x14ac:dyDescent="0.3"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</row>
    <row r="618" spans="3:42" ht="12.75" customHeight="1" x14ac:dyDescent="0.3"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</row>
    <row r="619" spans="3:42" ht="12.75" customHeight="1" x14ac:dyDescent="0.3"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</row>
    <row r="620" spans="3:42" ht="12.75" customHeight="1" x14ac:dyDescent="0.3"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</row>
    <row r="621" spans="3:42" ht="12.75" customHeight="1" x14ac:dyDescent="0.3"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</row>
    <row r="622" spans="3:42" ht="12.75" customHeight="1" x14ac:dyDescent="0.3"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</row>
    <row r="623" spans="3:42" ht="12.75" customHeight="1" x14ac:dyDescent="0.3"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</row>
    <row r="624" spans="3:42" ht="12.75" customHeight="1" x14ac:dyDescent="0.3"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</row>
    <row r="625" spans="3:42" ht="12.75" customHeight="1" x14ac:dyDescent="0.3"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</row>
    <row r="626" spans="3:42" ht="12.75" customHeight="1" x14ac:dyDescent="0.3"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</row>
    <row r="627" spans="3:42" ht="12.75" customHeight="1" x14ac:dyDescent="0.3"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</row>
    <row r="628" spans="3:42" ht="12.75" customHeight="1" x14ac:dyDescent="0.3"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</row>
    <row r="629" spans="3:42" ht="12.75" customHeight="1" x14ac:dyDescent="0.3"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</row>
    <row r="630" spans="3:42" ht="12.75" customHeight="1" x14ac:dyDescent="0.3"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</row>
    <row r="631" spans="3:42" ht="12.75" customHeight="1" x14ac:dyDescent="0.3"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</row>
    <row r="632" spans="3:42" ht="12.75" customHeight="1" x14ac:dyDescent="0.3"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</row>
    <row r="633" spans="3:42" ht="12.75" customHeight="1" x14ac:dyDescent="0.3"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</row>
    <row r="634" spans="3:42" ht="12.75" customHeight="1" x14ac:dyDescent="0.3"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</row>
    <row r="635" spans="3:42" ht="12.75" customHeight="1" x14ac:dyDescent="0.3"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</row>
    <row r="636" spans="3:42" ht="12.75" customHeight="1" x14ac:dyDescent="0.3"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</row>
    <row r="637" spans="3:42" ht="12.75" customHeight="1" x14ac:dyDescent="0.3"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</row>
    <row r="638" spans="3:42" ht="12.75" customHeight="1" x14ac:dyDescent="0.3"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</row>
    <row r="639" spans="3:42" ht="12.75" customHeight="1" x14ac:dyDescent="0.3"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</row>
    <row r="640" spans="3:42" ht="12.75" customHeight="1" x14ac:dyDescent="0.3"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</row>
    <row r="641" spans="3:42" ht="12.75" customHeight="1" x14ac:dyDescent="0.3"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</row>
    <row r="642" spans="3:42" ht="12.75" customHeight="1" x14ac:dyDescent="0.3"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</row>
    <row r="643" spans="3:42" ht="12.75" customHeight="1" x14ac:dyDescent="0.3"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</row>
    <row r="644" spans="3:42" ht="12.75" customHeight="1" x14ac:dyDescent="0.3"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</row>
    <row r="645" spans="3:42" ht="12.75" customHeight="1" x14ac:dyDescent="0.3"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</row>
    <row r="646" spans="3:42" ht="12.75" customHeight="1" x14ac:dyDescent="0.3"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</row>
    <row r="647" spans="3:42" ht="12.75" customHeight="1" x14ac:dyDescent="0.3"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</row>
    <row r="648" spans="3:42" ht="12.75" customHeight="1" x14ac:dyDescent="0.3"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</row>
    <row r="649" spans="3:42" ht="12.75" customHeight="1" x14ac:dyDescent="0.3"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</row>
    <row r="650" spans="3:42" ht="12.75" customHeight="1" x14ac:dyDescent="0.3"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</row>
    <row r="651" spans="3:42" ht="12.75" customHeight="1" x14ac:dyDescent="0.3"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</row>
    <row r="652" spans="3:42" ht="12.75" customHeight="1" x14ac:dyDescent="0.3"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</row>
    <row r="653" spans="3:42" ht="12.75" customHeight="1" x14ac:dyDescent="0.3"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</row>
    <row r="654" spans="3:42" ht="12.75" customHeight="1" x14ac:dyDescent="0.3"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</row>
    <row r="655" spans="3:42" ht="12.75" customHeight="1" x14ac:dyDescent="0.3"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</row>
    <row r="656" spans="3:42" ht="12.75" customHeight="1" x14ac:dyDescent="0.3"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</row>
    <row r="657" spans="3:42" ht="12.75" customHeight="1" x14ac:dyDescent="0.3"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</row>
    <row r="658" spans="3:42" ht="12.75" customHeight="1" x14ac:dyDescent="0.3"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</row>
    <row r="659" spans="3:42" ht="12.75" customHeight="1" x14ac:dyDescent="0.3"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</row>
    <row r="660" spans="3:42" ht="12.75" customHeight="1" x14ac:dyDescent="0.3"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</row>
    <row r="661" spans="3:42" ht="12.75" customHeight="1" x14ac:dyDescent="0.3"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</row>
    <row r="662" spans="3:42" ht="12.75" customHeight="1" x14ac:dyDescent="0.3"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</row>
    <row r="663" spans="3:42" ht="12.75" customHeight="1" x14ac:dyDescent="0.3"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</row>
    <row r="664" spans="3:42" ht="12.75" customHeight="1" x14ac:dyDescent="0.3"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</row>
    <row r="665" spans="3:42" ht="12.75" customHeight="1" x14ac:dyDescent="0.3"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</row>
    <row r="666" spans="3:42" ht="12.75" customHeight="1" x14ac:dyDescent="0.3"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</row>
    <row r="667" spans="3:42" ht="12.75" customHeight="1" x14ac:dyDescent="0.3"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</row>
    <row r="668" spans="3:42" ht="12.75" customHeight="1" x14ac:dyDescent="0.3"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</row>
    <row r="669" spans="3:42" ht="12.75" customHeight="1" x14ac:dyDescent="0.3"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</row>
    <row r="670" spans="3:42" ht="12.75" customHeight="1" x14ac:dyDescent="0.3"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</row>
    <row r="671" spans="3:42" ht="12.75" customHeight="1" x14ac:dyDescent="0.3"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</row>
    <row r="672" spans="3:42" ht="12.75" customHeight="1" x14ac:dyDescent="0.3"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</row>
    <row r="673" spans="3:42" ht="12.75" customHeight="1" x14ac:dyDescent="0.3"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</row>
    <row r="674" spans="3:42" ht="12.75" customHeight="1" x14ac:dyDescent="0.3"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</row>
    <row r="675" spans="3:42" ht="12.75" customHeight="1" x14ac:dyDescent="0.3"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</row>
    <row r="676" spans="3:42" ht="12.75" customHeight="1" x14ac:dyDescent="0.3"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</row>
    <row r="677" spans="3:42" ht="12.75" customHeight="1" x14ac:dyDescent="0.3"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</row>
    <row r="678" spans="3:42" ht="12.75" customHeight="1" x14ac:dyDescent="0.3"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</row>
    <row r="679" spans="3:42" ht="12.75" customHeight="1" x14ac:dyDescent="0.3"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</row>
    <row r="680" spans="3:42" ht="12.75" customHeight="1" x14ac:dyDescent="0.3"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</row>
    <row r="681" spans="3:42" ht="12.75" customHeight="1" x14ac:dyDescent="0.3"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</row>
    <row r="682" spans="3:42" ht="12.75" customHeight="1" x14ac:dyDescent="0.3"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</row>
    <row r="683" spans="3:42" ht="12.75" customHeight="1" x14ac:dyDescent="0.3"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</row>
    <row r="684" spans="3:42" ht="12.75" customHeight="1" x14ac:dyDescent="0.3"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</row>
    <row r="685" spans="3:42" ht="12.75" customHeight="1" x14ac:dyDescent="0.3"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</row>
    <row r="686" spans="3:42" ht="12.75" customHeight="1" x14ac:dyDescent="0.3"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</row>
    <row r="687" spans="3:42" ht="12.75" customHeight="1" x14ac:dyDescent="0.3"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</row>
    <row r="688" spans="3:42" ht="12.75" customHeight="1" x14ac:dyDescent="0.3"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</row>
    <row r="689" spans="3:42" ht="12.75" customHeight="1" x14ac:dyDescent="0.3"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</row>
    <row r="690" spans="3:42" ht="12.75" customHeight="1" x14ac:dyDescent="0.3"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</row>
    <row r="691" spans="3:42" ht="12.75" customHeight="1" x14ac:dyDescent="0.3"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</row>
    <row r="692" spans="3:42" ht="12.75" customHeight="1" x14ac:dyDescent="0.3"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</row>
    <row r="693" spans="3:42" ht="12.75" customHeight="1" x14ac:dyDescent="0.3"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</row>
    <row r="694" spans="3:42" ht="12.75" customHeight="1" x14ac:dyDescent="0.3"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</row>
    <row r="695" spans="3:42" ht="12.75" customHeight="1" x14ac:dyDescent="0.3"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</row>
    <row r="696" spans="3:42" ht="12.75" customHeight="1" x14ac:dyDescent="0.3"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</row>
    <row r="697" spans="3:42" ht="12.75" customHeight="1" x14ac:dyDescent="0.3"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</row>
    <row r="698" spans="3:42" ht="12.75" customHeight="1" x14ac:dyDescent="0.3"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</row>
    <row r="699" spans="3:42" ht="12.75" customHeight="1" x14ac:dyDescent="0.3"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</row>
    <row r="700" spans="3:42" ht="12.75" customHeight="1" x14ac:dyDescent="0.3"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</row>
    <row r="701" spans="3:42" ht="12.75" customHeight="1" x14ac:dyDescent="0.3"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</row>
    <row r="702" spans="3:42" ht="12.75" customHeight="1" x14ac:dyDescent="0.3"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</row>
    <row r="703" spans="3:42" ht="12.75" customHeight="1" x14ac:dyDescent="0.3"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</row>
    <row r="704" spans="3:42" ht="12.75" customHeight="1" x14ac:dyDescent="0.3"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</row>
    <row r="705" spans="3:42" ht="12.75" customHeight="1" x14ac:dyDescent="0.3"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</row>
    <row r="706" spans="3:42" ht="12.75" customHeight="1" x14ac:dyDescent="0.3"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</row>
    <row r="707" spans="3:42" ht="12.75" customHeight="1" x14ac:dyDescent="0.3"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</row>
    <row r="708" spans="3:42" ht="12.75" customHeight="1" x14ac:dyDescent="0.3"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</row>
    <row r="709" spans="3:42" ht="12.75" customHeight="1" x14ac:dyDescent="0.3"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</row>
    <row r="710" spans="3:42" ht="12.75" customHeight="1" x14ac:dyDescent="0.3"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</row>
    <row r="711" spans="3:42" ht="12.75" customHeight="1" x14ac:dyDescent="0.3"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</row>
    <row r="712" spans="3:42" ht="12.75" customHeight="1" x14ac:dyDescent="0.3"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</row>
    <row r="713" spans="3:42" ht="12.75" customHeight="1" x14ac:dyDescent="0.3"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</row>
    <row r="714" spans="3:42" ht="12.75" customHeight="1" x14ac:dyDescent="0.3"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</row>
    <row r="715" spans="3:42" ht="12.75" customHeight="1" x14ac:dyDescent="0.3"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</row>
    <row r="716" spans="3:42" ht="12.75" customHeight="1" x14ac:dyDescent="0.3"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</row>
    <row r="717" spans="3:42" ht="12.75" customHeight="1" x14ac:dyDescent="0.3"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</row>
    <row r="718" spans="3:42" ht="12.75" customHeight="1" x14ac:dyDescent="0.3"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</row>
    <row r="719" spans="3:42" ht="12.75" customHeight="1" x14ac:dyDescent="0.3"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</row>
    <row r="720" spans="3:42" ht="12.75" customHeight="1" x14ac:dyDescent="0.3"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</row>
    <row r="721" spans="3:42" ht="12.75" customHeight="1" x14ac:dyDescent="0.3"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</row>
    <row r="722" spans="3:42" ht="12.75" customHeight="1" x14ac:dyDescent="0.3"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</row>
    <row r="723" spans="3:42" ht="12.75" customHeight="1" x14ac:dyDescent="0.3"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</row>
    <row r="724" spans="3:42" ht="12.75" customHeight="1" x14ac:dyDescent="0.3"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</row>
    <row r="725" spans="3:42" ht="12.75" customHeight="1" x14ac:dyDescent="0.3"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</row>
    <row r="726" spans="3:42" ht="12.75" customHeight="1" x14ac:dyDescent="0.3"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</row>
    <row r="727" spans="3:42" ht="12.75" customHeight="1" x14ac:dyDescent="0.3"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</row>
    <row r="728" spans="3:42" ht="12.75" customHeight="1" x14ac:dyDescent="0.3"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</row>
    <row r="729" spans="3:42" ht="12.75" customHeight="1" x14ac:dyDescent="0.3"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</row>
    <row r="730" spans="3:42" ht="12.75" customHeight="1" x14ac:dyDescent="0.3"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</row>
    <row r="731" spans="3:42" ht="12.75" customHeight="1" x14ac:dyDescent="0.3"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</row>
    <row r="732" spans="3:42" ht="12.75" customHeight="1" x14ac:dyDescent="0.3"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</row>
    <row r="733" spans="3:42" ht="12.75" customHeight="1" x14ac:dyDescent="0.3"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</row>
    <row r="734" spans="3:42" ht="12.75" customHeight="1" x14ac:dyDescent="0.3"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</row>
    <row r="735" spans="3:42" ht="12.75" customHeight="1" x14ac:dyDescent="0.3"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</row>
    <row r="736" spans="3:42" ht="12.75" customHeight="1" x14ac:dyDescent="0.3"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</row>
    <row r="737" spans="3:42" ht="12.75" customHeight="1" x14ac:dyDescent="0.3"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</row>
    <row r="738" spans="3:42" ht="12.75" customHeight="1" x14ac:dyDescent="0.3"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</row>
    <row r="739" spans="3:42" ht="12.75" customHeight="1" x14ac:dyDescent="0.3"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</row>
    <row r="740" spans="3:42" ht="12.75" customHeight="1" x14ac:dyDescent="0.3"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</row>
    <row r="741" spans="3:42" ht="12.75" customHeight="1" x14ac:dyDescent="0.3"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</row>
    <row r="742" spans="3:42" ht="12.75" customHeight="1" x14ac:dyDescent="0.3"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</row>
    <row r="743" spans="3:42" ht="12.75" customHeight="1" x14ac:dyDescent="0.3"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</row>
    <row r="744" spans="3:42" ht="12.75" customHeight="1" x14ac:dyDescent="0.3"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</row>
    <row r="745" spans="3:42" ht="12.75" customHeight="1" x14ac:dyDescent="0.3"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</row>
    <row r="746" spans="3:42" ht="12.75" customHeight="1" x14ac:dyDescent="0.3"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</row>
    <row r="747" spans="3:42" ht="12.75" customHeight="1" x14ac:dyDescent="0.3"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</row>
    <row r="748" spans="3:42" ht="12.75" customHeight="1" x14ac:dyDescent="0.3"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</row>
    <row r="749" spans="3:42" ht="12.75" customHeight="1" x14ac:dyDescent="0.3"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</row>
    <row r="750" spans="3:42" ht="12.75" customHeight="1" x14ac:dyDescent="0.3"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</row>
    <row r="751" spans="3:42" ht="12.75" customHeight="1" x14ac:dyDescent="0.3"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</row>
    <row r="752" spans="3:42" ht="12.75" customHeight="1" x14ac:dyDescent="0.3"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</row>
    <row r="753" spans="3:42" ht="12.75" customHeight="1" x14ac:dyDescent="0.3"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</row>
    <row r="754" spans="3:42" ht="12.75" customHeight="1" x14ac:dyDescent="0.3"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</row>
    <row r="755" spans="3:42" ht="12.75" customHeight="1" x14ac:dyDescent="0.3"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</row>
    <row r="756" spans="3:42" ht="12.75" customHeight="1" x14ac:dyDescent="0.3"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</row>
    <row r="757" spans="3:42" ht="12.75" customHeight="1" x14ac:dyDescent="0.3"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</row>
    <row r="758" spans="3:42" ht="12.75" customHeight="1" x14ac:dyDescent="0.3"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</row>
    <row r="759" spans="3:42" ht="12.75" customHeight="1" x14ac:dyDescent="0.3"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</row>
    <row r="760" spans="3:42" ht="12.75" customHeight="1" x14ac:dyDescent="0.3"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</row>
    <row r="761" spans="3:42" ht="12.75" customHeight="1" x14ac:dyDescent="0.3"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</row>
    <row r="762" spans="3:42" ht="12.75" customHeight="1" x14ac:dyDescent="0.3"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</row>
    <row r="763" spans="3:42" ht="12.75" customHeight="1" x14ac:dyDescent="0.3"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</row>
    <row r="764" spans="3:42" ht="12.75" customHeight="1" x14ac:dyDescent="0.3"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</row>
    <row r="765" spans="3:42" ht="12.75" customHeight="1" x14ac:dyDescent="0.3"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</row>
    <row r="766" spans="3:42" ht="12.75" customHeight="1" x14ac:dyDescent="0.3"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</row>
    <row r="767" spans="3:42" ht="12.75" customHeight="1" x14ac:dyDescent="0.3"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</row>
    <row r="768" spans="3:42" ht="12.75" customHeight="1" x14ac:dyDescent="0.3"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</row>
    <row r="769" spans="3:42" ht="12.75" customHeight="1" x14ac:dyDescent="0.3"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</row>
    <row r="770" spans="3:42" ht="12.75" customHeight="1" x14ac:dyDescent="0.3"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</row>
    <row r="771" spans="3:42" ht="12.75" customHeight="1" x14ac:dyDescent="0.3"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</row>
    <row r="772" spans="3:42" ht="12.75" customHeight="1" x14ac:dyDescent="0.3"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</row>
    <row r="773" spans="3:42" ht="12.75" customHeight="1" x14ac:dyDescent="0.3"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</row>
    <row r="774" spans="3:42" ht="12.75" customHeight="1" x14ac:dyDescent="0.3"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</row>
    <row r="775" spans="3:42" ht="12.75" customHeight="1" x14ac:dyDescent="0.3"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</row>
    <row r="776" spans="3:42" ht="12.75" customHeight="1" x14ac:dyDescent="0.3"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</row>
    <row r="777" spans="3:42" ht="12.75" customHeight="1" x14ac:dyDescent="0.3"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</row>
    <row r="778" spans="3:42" ht="12.75" customHeight="1" x14ac:dyDescent="0.3"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</row>
    <row r="779" spans="3:42" ht="12.75" customHeight="1" x14ac:dyDescent="0.3"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</row>
    <row r="780" spans="3:42" ht="12.75" customHeight="1" x14ac:dyDescent="0.3"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</row>
    <row r="781" spans="3:42" ht="12.75" customHeight="1" x14ac:dyDescent="0.3"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</row>
    <row r="782" spans="3:42" ht="12.75" customHeight="1" x14ac:dyDescent="0.3"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</row>
    <row r="783" spans="3:42" ht="12.75" customHeight="1" x14ac:dyDescent="0.3"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</row>
    <row r="784" spans="3:42" ht="12.75" customHeight="1" x14ac:dyDescent="0.3"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</row>
    <row r="785" spans="3:42" ht="12.75" customHeight="1" x14ac:dyDescent="0.3"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</row>
    <row r="786" spans="3:42" ht="12.75" customHeight="1" x14ac:dyDescent="0.3"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</row>
    <row r="787" spans="3:42" ht="12.75" customHeight="1" x14ac:dyDescent="0.3"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</row>
    <row r="788" spans="3:42" ht="12.75" customHeight="1" x14ac:dyDescent="0.3"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</row>
    <row r="789" spans="3:42" ht="12.75" customHeight="1" x14ac:dyDescent="0.3"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</row>
    <row r="790" spans="3:42" ht="12.75" customHeight="1" x14ac:dyDescent="0.3"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</row>
    <row r="791" spans="3:42" ht="12.75" customHeight="1" x14ac:dyDescent="0.3"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</row>
    <row r="792" spans="3:42" ht="12.75" customHeight="1" x14ac:dyDescent="0.3"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</row>
    <row r="793" spans="3:42" ht="12.75" customHeight="1" x14ac:dyDescent="0.3"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</row>
    <row r="794" spans="3:42" ht="12.75" customHeight="1" x14ac:dyDescent="0.3"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</row>
    <row r="795" spans="3:42" ht="12.75" customHeight="1" x14ac:dyDescent="0.3"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</row>
    <row r="796" spans="3:42" ht="12.75" customHeight="1" x14ac:dyDescent="0.3"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</row>
    <row r="797" spans="3:42" ht="12.75" customHeight="1" x14ac:dyDescent="0.3"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</row>
    <row r="798" spans="3:42" ht="12.75" customHeight="1" x14ac:dyDescent="0.3"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</row>
    <row r="799" spans="3:42" ht="12.75" customHeight="1" x14ac:dyDescent="0.3"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</row>
    <row r="800" spans="3:42" ht="12.75" customHeight="1" x14ac:dyDescent="0.3"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</row>
    <row r="801" spans="3:42" ht="12.75" customHeight="1" x14ac:dyDescent="0.3"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</row>
    <row r="802" spans="3:42" ht="12.75" customHeight="1" x14ac:dyDescent="0.3"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</row>
    <row r="803" spans="3:42" ht="12.75" customHeight="1" x14ac:dyDescent="0.3"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</row>
    <row r="804" spans="3:42" ht="12.75" customHeight="1" x14ac:dyDescent="0.3"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</row>
    <row r="805" spans="3:42" ht="12.75" customHeight="1" x14ac:dyDescent="0.3"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</row>
    <row r="806" spans="3:42" ht="12.75" customHeight="1" x14ac:dyDescent="0.3"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</row>
    <row r="807" spans="3:42" ht="12.75" customHeight="1" x14ac:dyDescent="0.3"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</row>
    <row r="808" spans="3:42" ht="12.75" customHeight="1" x14ac:dyDescent="0.3"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</row>
    <row r="809" spans="3:42" ht="12.75" customHeight="1" x14ac:dyDescent="0.3"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</row>
    <row r="810" spans="3:42" ht="12.75" customHeight="1" x14ac:dyDescent="0.3"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</row>
    <row r="811" spans="3:42" ht="12.75" customHeight="1" x14ac:dyDescent="0.3"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</row>
    <row r="812" spans="3:42" ht="12.75" customHeight="1" x14ac:dyDescent="0.3"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</row>
    <row r="813" spans="3:42" ht="12.75" customHeight="1" x14ac:dyDescent="0.3"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</row>
    <row r="814" spans="3:42" ht="12.75" customHeight="1" x14ac:dyDescent="0.3"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</row>
    <row r="815" spans="3:42" ht="12.75" customHeight="1" x14ac:dyDescent="0.3"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</row>
    <row r="816" spans="3:42" ht="12.75" customHeight="1" x14ac:dyDescent="0.3"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</row>
    <row r="817" spans="3:42" ht="12.75" customHeight="1" x14ac:dyDescent="0.3"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</row>
    <row r="818" spans="3:42" ht="12.75" customHeight="1" x14ac:dyDescent="0.3"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</row>
    <row r="819" spans="3:42" ht="12.75" customHeight="1" x14ac:dyDescent="0.3"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</row>
    <row r="820" spans="3:42" ht="12.75" customHeight="1" x14ac:dyDescent="0.3"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</row>
    <row r="821" spans="3:42" ht="12.75" customHeight="1" x14ac:dyDescent="0.3"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</row>
    <row r="822" spans="3:42" ht="12.75" customHeight="1" x14ac:dyDescent="0.3"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</row>
    <row r="823" spans="3:42" ht="12.75" customHeight="1" x14ac:dyDescent="0.3"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</row>
    <row r="824" spans="3:42" ht="12.75" customHeight="1" x14ac:dyDescent="0.3"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</row>
    <row r="825" spans="3:42" ht="12.75" customHeight="1" x14ac:dyDescent="0.3"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</row>
    <row r="826" spans="3:42" ht="12.75" customHeight="1" x14ac:dyDescent="0.3"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</row>
    <row r="827" spans="3:42" ht="12.75" customHeight="1" x14ac:dyDescent="0.3"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</row>
    <row r="828" spans="3:42" ht="12.75" customHeight="1" x14ac:dyDescent="0.3"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</row>
    <row r="829" spans="3:42" ht="12.75" customHeight="1" x14ac:dyDescent="0.3"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</row>
    <row r="830" spans="3:42" ht="12.75" customHeight="1" x14ac:dyDescent="0.3"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</row>
    <row r="831" spans="3:42" ht="12.75" customHeight="1" x14ac:dyDescent="0.3"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</row>
    <row r="832" spans="3:42" ht="12.75" customHeight="1" x14ac:dyDescent="0.3"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</row>
    <row r="833" spans="3:42" ht="12.75" customHeight="1" x14ac:dyDescent="0.3"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</row>
    <row r="834" spans="3:42" ht="12.75" customHeight="1" x14ac:dyDescent="0.3"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</row>
    <row r="835" spans="3:42" ht="12.75" customHeight="1" x14ac:dyDescent="0.3"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</row>
    <row r="836" spans="3:42" ht="12.75" customHeight="1" x14ac:dyDescent="0.3"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</row>
    <row r="837" spans="3:42" ht="12.75" customHeight="1" x14ac:dyDescent="0.3"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</row>
    <row r="838" spans="3:42" ht="12.75" customHeight="1" x14ac:dyDescent="0.3"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</row>
    <row r="839" spans="3:42" ht="12.75" customHeight="1" x14ac:dyDescent="0.3"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</row>
    <row r="840" spans="3:42" ht="12.75" customHeight="1" x14ac:dyDescent="0.3"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</row>
    <row r="841" spans="3:42" ht="12.75" customHeight="1" x14ac:dyDescent="0.3"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</row>
    <row r="842" spans="3:42" ht="12.75" customHeight="1" x14ac:dyDescent="0.3"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</row>
    <row r="843" spans="3:42" ht="12.75" customHeight="1" x14ac:dyDescent="0.3"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</row>
    <row r="844" spans="3:42" ht="12.75" customHeight="1" x14ac:dyDescent="0.3"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</row>
    <row r="845" spans="3:42" ht="12.75" customHeight="1" x14ac:dyDescent="0.3"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</row>
    <row r="846" spans="3:42" ht="12.75" customHeight="1" x14ac:dyDescent="0.3"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</row>
    <row r="847" spans="3:42" ht="12.75" customHeight="1" x14ac:dyDescent="0.3"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</row>
    <row r="848" spans="3:42" ht="12.75" customHeight="1" x14ac:dyDescent="0.3"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</row>
    <row r="849" spans="3:42" ht="12.75" customHeight="1" x14ac:dyDescent="0.3"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</row>
    <row r="850" spans="3:42" ht="12.75" customHeight="1" x14ac:dyDescent="0.3"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</row>
    <row r="851" spans="3:42" ht="12.75" customHeight="1" x14ac:dyDescent="0.3"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</row>
    <row r="852" spans="3:42" ht="12.75" customHeight="1" x14ac:dyDescent="0.3"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</row>
    <row r="853" spans="3:42" ht="12.75" customHeight="1" x14ac:dyDescent="0.3"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</row>
    <row r="854" spans="3:42" ht="12.75" customHeight="1" x14ac:dyDescent="0.3"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</row>
    <row r="855" spans="3:42" ht="12.75" customHeight="1" x14ac:dyDescent="0.3"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</row>
    <row r="856" spans="3:42" ht="12.75" customHeight="1" x14ac:dyDescent="0.3"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</row>
    <row r="857" spans="3:42" ht="12.75" customHeight="1" x14ac:dyDescent="0.3"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</row>
    <row r="858" spans="3:42" ht="12.75" customHeight="1" x14ac:dyDescent="0.3"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</row>
    <row r="859" spans="3:42" ht="12.75" customHeight="1" x14ac:dyDescent="0.3"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</row>
    <row r="860" spans="3:42" ht="12.75" customHeight="1" x14ac:dyDescent="0.3"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</row>
    <row r="861" spans="3:42" ht="12.75" customHeight="1" x14ac:dyDescent="0.3"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</row>
    <row r="862" spans="3:42" ht="12.75" customHeight="1" x14ac:dyDescent="0.3"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</row>
    <row r="863" spans="3:42" ht="12.75" customHeight="1" x14ac:dyDescent="0.3"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</row>
    <row r="864" spans="3:42" ht="12.75" customHeight="1" x14ac:dyDescent="0.3"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</row>
    <row r="865" spans="3:42" ht="12.75" customHeight="1" x14ac:dyDescent="0.3"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</row>
    <row r="866" spans="3:42" ht="12.75" customHeight="1" x14ac:dyDescent="0.3"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</row>
    <row r="867" spans="3:42" ht="12.75" customHeight="1" x14ac:dyDescent="0.3"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</row>
    <row r="868" spans="3:42" ht="12.75" customHeight="1" x14ac:dyDescent="0.3"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</row>
    <row r="869" spans="3:42" ht="12.75" customHeight="1" x14ac:dyDescent="0.3"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</row>
    <row r="870" spans="3:42" ht="12.75" customHeight="1" x14ac:dyDescent="0.3"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</row>
    <row r="871" spans="3:42" ht="12.75" customHeight="1" x14ac:dyDescent="0.3"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</row>
    <row r="872" spans="3:42" ht="12.75" customHeight="1" x14ac:dyDescent="0.3"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</row>
    <row r="873" spans="3:42" ht="12.75" customHeight="1" x14ac:dyDescent="0.3"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</row>
    <row r="874" spans="3:42" ht="12.75" customHeight="1" x14ac:dyDescent="0.3"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</row>
    <row r="875" spans="3:42" ht="12.75" customHeight="1" x14ac:dyDescent="0.3"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</row>
    <row r="876" spans="3:42" ht="12.75" customHeight="1" x14ac:dyDescent="0.3"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</row>
    <row r="877" spans="3:42" ht="12.75" customHeight="1" x14ac:dyDescent="0.3"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</row>
    <row r="878" spans="3:42" ht="12.75" customHeight="1" x14ac:dyDescent="0.3"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</row>
    <row r="879" spans="3:42" ht="12.75" customHeight="1" x14ac:dyDescent="0.3"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</row>
    <row r="880" spans="3:42" ht="12.75" customHeight="1" x14ac:dyDescent="0.3"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</row>
    <row r="881" spans="3:42" ht="12.75" customHeight="1" x14ac:dyDescent="0.3"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</row>
    <row r="882" spans="3:42" ht="12.75" customHeight="1" x14ac:dyDescent="0.3"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</row>
    <row r="883" spans="3:42" ht="12.75" customHeight="1" x14ac:dyDescent="0.3"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</row>
    <row r="884" spans="3:42" ht="12.75" customHeight="1" x14ac:dyDescent="0.3"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</row>
    <row r="885" spans="3:42" ht="12.75" customHeight="1" x14ac:dyDescent="0.3"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</row>
    <row r="886" spans="3:42" ht="12.75" customHeight="1" x14ac:dyDescent="0.3"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</row>
    <row r="887" spans="3:42" ht="12.75" customHeight="1" x14ac:dyDescent="0.3"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</row>
    <row r="888" spans="3:42" ht="12.75" customHeight="1" x14ac:dyDescent="0.3"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</row>
    <row r="889" spans="3:42" ht="12.75" customHeight="1" x14ac:dyDescent="0.3"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</row>
    <row r="890" spans="3:42" ht="12.75" customHeight="1" x14ac:dyDescent="0.3"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</row>
    <row r="891" spans="3:42" ht="12.75" customHeight="1" x14ac:dyDescent="0.3"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</row>
    <row r="892" spans="3:42" ht="12.75" customHeight="1" x14ac:dyDescent="0.3"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</row>
    <row r="893" spans="3:42" ht="12.75" customHeight="1" x14ac:dyDescent="0.3"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</row>
    <row r="894" spans="3:42" ht="12.75" customHeight="1" x14ac:dyDescent="0.3"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</row>
    <row r="895" spans="3:42" ht="12.75" customHeight="1" x14ac:dyDescent="0.3"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</row>
    <row r="896" spans="3:42" ht="12.75" customHeight="1" x14ac:dyDescent="0.3"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</row>
    <row r="897" spans="3:42" ht="12.75" customHeight="1" x14ac:dyDescent="0.3"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</row>
    <row r="898" spans="3:42" ht="12.75" customHeight="1" x14ac:dyDescent="0.3"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</row>
    <row r="899" spans="3:42" ht="12.75" customHeight="1" x14ac:dyDescent="0.3"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</row>
    <row r="900" spans="3:42" ht="12.75" customHeight="1" x14ac:dyDescent="0.3"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</row>
    <row r="901" spans="3:42" ht="12.75" customHeight="1" x14ac:dyDescent="0.3"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</row>
    <row r="902" spans="3:42" ht="12.75" customHeight="1" x14ac:dyDescent="0.3"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</row>
    <row r="903" spans="3:42" ht="12.75" customHeight="1" x14ac:dyDescent="0.3"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</row>
    <row r="904" spans="3:42" ht="12.75" customHeight="1" x14ac:dyDescent="0.3"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</row>
    <row r="905" spans="3:42" ht="12.75" customHeight="1" x14ac:dyDescent="0.3"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</row>
    <row r="906" spans="3:42" ht="12.75" customHeight="1" x14ac:dyDescent="0.3"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</row>
    <row r="907" spans="3:42" ht="12.75" customHeight="1" x14ac:dyDescent="0.3"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</row>
    <row r="908" spans="3:42" ht="12.75" customHeight="1" x14ac:dyDescent="0.3"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</row>
    <row r="909" spans="3:42" ht="12.75" customHeight="1" x14ac:dyDescent="0.3"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</row>
    <row r="910" spans="3:42" ht="12.75" customHeight="1" x14ac:dyDescent="0.3"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</row>
    <row r="911" spans="3:42" ht="12.75" customHeight="1" x14ac:dyDescent="0.3"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</row>
    <row r="912" spans="3:42" ht="12.75" customHeight="1" x14ac:dyDescent="0.3"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</row>
    <row r="913" spans="3:42" ht="12.75" customHeight="1" x14ac:dyDescent="0.3"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</row>
    <row r="914" spans="3:42" ht="12.75" customHeight="1" x14ac:dyDescent="0.3"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</row>
    <row r="915" spans="3:42" ht="12.75" customHeight="1" x14ac:dyDescent="0.3"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</row>
    <row r="916" spans="3:42" ht="12.75" customHeight="1" x14ac:dyDescent="0.3"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</row>
    <row r="917" spans="3:42" ht="12.75" customHeight="1" x14ac:dyDescent="0.3"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</row>
    <row r="918" spans="3:42" ht="12.75" customHeight="1" x14ac:dyDescent="0.3"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</row>
    <row r="919" spans="3:42" ht="12.75" customHeight="1" x14ac:dyDescent="0.3"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</row>
    <row r="920" spans="3:42" ht="12.75" customHeight="1" x14ac:dyDescent="0.3"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</row>
    <row r="921" spans="3:42" ht="12.75" customHeight="1" x14ac:dyDescent="0.3"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</row>
    <row r="922" spans="3:42" ht="12.75" customHeight="1" x14ac:dyDescent="0.3"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</row>
    <row r="923" spans="3:42" ht="12.75" customHeight="1" x14ac:dyDescent="0.3"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</row>
    <row r="924" spans="3:42" ht="12.75" customHeight="1" x14ac:dyDescent="0.3"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</row>
    <row r="925" spans="3:42" ht="12.75" customHeight="1" x14ac:dyDescent="0.3"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</row>
    <row r="926" spans="3:42" ht="12.75" customHeight="1" x14ac:dyDescent="0.3"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</row>
    <row r="927" spans="3:42" ht="12.75" customHeight="1" x14ac:dyDescent="0.3"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</row>
    <row r="928" spans="3:42" ht="12.75" customHeight="1" x14ac:dyDescent="0.3"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</row>
    <row r="929" spans="3:42" ht="12.75" customHeight="1" x14ac:dyDescent="0.3"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</row>
    <row r="930" spans="3:42" ht="12.75" customHeight="1" x14ac:dyDescent="0.3"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</row>
    <row r="931" spans="3:42" ht="12.75" customHeight="1" x14ac:dyDescent="0.3"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</row>
    <row r="932" spans="3:42" ht="12.75" customHeight="1" x14ac:dyDescent="0.3"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</row>
    <row r="933" spans="3:42" ht="12.75" customHeight="1" x14ac:dyDescent="0.3"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</row>
    <row r="934" spans="3:42" ht="12.75" customHeight="1" x14ac:dyDescent="0.3"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</row>
    <row r="935" spans="3:42" ht="12.75" customHeight="1" x14ac:dyDescent="0.3"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</row>
    <row r="936" spans="3:42" ht="12.75" customHeight="1" x14ac:dyDescent="0.3"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</row>
    <row r="937" spans="3:42" ht="12.75" customHeight="1" x14ac:dyDescent="0.3"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</row>
    <row r="938" spans="3:42" ht="12.75" customHeight="1" x14ac:dyDescent="0.3"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</row>
    <row r="939" spans="3:42" ht="12.75" customHeight="1" x14ac:dyDescent="0.3"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</row>
    <row r="940" spans="3:42" ht="12.75" customHeight="1" x14ac:dyDescent="0.3"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</row>
    <row r="941" spans="3:42" ht="12.75" customHeight="1" x14ac:dyDescent="0.3"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</row>
    <row r="942" spans="3:42" ht="12.75" customHeight="1" x14ac:dyDescent="0.3"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</row>
    <row r="943" spans="3:42" ht="12.75" customHeight="1" x14ac:dyDescent="0.3"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</row>
    <row r="944" spans="3:42" ht="12.75" customHeight="1" x14ac:dyDescent="0.3"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</row>
    <row r="945" spans="3:42" ht="12.75" customHeight="1" x14ac:dyDescent="0.3"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</row>
    <row r="946" spans="3:42" ht="12.75" customHeight="1" x14ac:dyDescent="0.3"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</row>
    <row r="947" spans="3:42" ht="12.75" customHeight="1" x14ac:dyDescent="0.3"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</row>
    <row r="948" spans="3:42" ht="12.75" customHeight="1" x14ac:dyDescent="0.3"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</row>
    <row r="949" spans="3:42" ht="12.75" customHeight="1" x14ac:dyDescent="0.3"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</row>
    <row r="950" spans="3:42" ht="12.75" customHeight="1" x14ac:dyDescent="0.3"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</row>
    <row r="951" spans="3:42" ht="12.75" customHeight="1" x14ac:dyDescent="0.3"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</row>
    <row r="952" spans="3:42" ht="12.75" customHeight="1" x14ac:dyDescent="0.3"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</row>
    <row r="953" spans="3:42" ht="12.75" customHeight="1" x14ac:dyDescent="0.3"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</row>
    <row r="954" spans="3:42" ht="12.75" customHeight="1" x14ac:dyDescent="0.3"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</row>
    <row r="955" spans="3:42" ht="12.75" customHeight="1" x14ac:dyDescent="0.3"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</row>
    <row r="956" spans="3:42" ht="12.75" customHeight="1" x14ac:dyDescent="0.3"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</row>
    <row r="957" spans="3:42" ht="12.75" customHeight="1" x14ac:dyDescent="0.3"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</row>
    <row r="958" spans="3:42" ht="12.75" customHeight="1" x14ac:dyDescent="0.3"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</row>
    <row r="959" spans="3:42" ht="12.75" customHeight="1" x14ac:dyDescent="0.3"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</row>
    <row r="960" spans="3:42" ht="12.75" customHeight="1" x14ac:dyDescent="0.3"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</row>
    <row r="961" spans="3:42" ht="12.75" customHeight="1" x14ac:dyDescent="0.3"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</row>
    <row r="962" spans="3:42" ht="12.75" customHeight="1" x14ac:dyDescent="0.3"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</row>
    <row r="963" spans="3:42" ht="12.75" customHeight="1" x14ac:dyDescent="0.3"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</row>
    <row r="964" spans="3:42" ht="12.75" customHeight="1" x14ac:dyDescent="0.3"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</row>
    <row r="965" spans="3:42" ht="12.75" customHeight="1" x14ac:dyDescent="0.3"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</row>
    <row r="966" spans="3:42" ht="12.75" customHeight="1" x14ac:dyDescent="0.3"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</row>
    <row r="967" spans="3:42" ht="12.75" customHeight="1" x14ac:dyDescent="0.3"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</row>
    <row r="968" spans="3:42" ht="12.75" customHeight="1" x14ac:dyDescent="0.3"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</row>
    <row r="969" spans="3:42" ht="12.75" customHeight="1" x14ac:dyDescent="0.3"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</row>
    <row r="970" spans="3:42" ht="12.75" customHeight="1" x14ac:dyDescent="0.3"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</row>
    <row r="971" spans="3:42" ht="12.75" customHeight="1" x14ac:dyDescent="0.3"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</row>
    <row r="972" spans="3:42" ht="12.75" customHeight="1" x14ac:dyDescent="0.3"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</row>
    <row r="973" spans="3:42" ht="12.75" customHeight="1" x14ac:dyDescent="0.3"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</row>
    <row r="974" spans="3:42" ht="12.75" customHeight="1" x14ac:dyDescent="0.3"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</row>
    <row r="975" spans="3:42" ht="12.75" customHeight="1" x14ac:dyDescent="0.3"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</row>
    <row r="976" spans="3:42" ht="12.75" customHeight="1" x14ac:dyDescent="0.3"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</row>
    <row r="977" spans="3:42" ht="12.75" customHeight="1" x14ac:dyDescent="0.3"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</row>
    <row r="978" spans="3:42" ht="12.75" customHeight="1" x14ac:dyDescent="0.3"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</row>
    <row r="979" spans="3:42" ht="12.75" customHeight="1" x14ac:dyDescent="0.3"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</row>
    <row r="980" spans="3:42" ht="12.75" customHeight="1" x14ac:dyDescent="0.3"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</row>
    <row r="981" spans="3:42" ht="12.75" customHeight="1" x14ac:dyDescent="0.3"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</row>
    <row r="982" spans="3:42" ht="12.75" customHeight="1" x14ac:dyDescent="0.3"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</row>
    <row r="983" spans="3:42" ht="12.75" customHeight="1" x14ac:dyDescent="0.3"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</row>
    <row r="984" spans="3:42" ht="12.75" customHeight="1" x14ac:dyDescent="0.3"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</row>
    <row r="985" spans="3:42" ht="12.75" customHeight="1" x14ac:dyDescent="0.3"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</row>
    <row r="986" spans="3:42" ht="12.75" customHeight="1" x14ac:dyDescent="0.3"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</row>
    <row r="987" spans="3:42" ht="12.75" customHeight="1" x14ac:dyDescent="0.3"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</row>
    <row r="988" spans="3:42" ht="12.75" customHeight="1" x14ac:dyDescent="0.3"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</row>
    <row r="989" spans="3:42" ht="12.75" customHeight="1" x14ac:dyDescent="0.3"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</row>
    <row r="990" spans="3:42" ht="12.75" customHeight="1" x14ac:dyDescent="0.3"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</row>
    <row r="991" spans="3:42" ht="12.75" customHeight="1" x14ac:dyDescent="0.3"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</row>
    <row r="992" spans="3:42" ht="12.75" customHeight="1" x14ac:dyDescent="0.3"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</row>
    <row r="993" spans="3:42" ht="12.75" customHeight="1" x14ac:dyDescent="0.3"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</row>
    <row r="994" spans="3:42" ht="12.75" customHeight="1" x14ac:dyDescent="0.3"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</row>
    <row r="995" spans="3:42" ht="12.75" customHeight="1" x14ac:dyDescent="0.3"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</row>
    <row r="996" spans="3:42" ht="12.75" customHeight="1" x14ac:dyDescent="0.3"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</row>
    <row r="997" spans="3:42" ht="12.75" customHeight="1" x14ac:dyDescent="0.3"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</row>
    <row r="998" spans="3:42" ht="12.75" customHeight="1" x14ac:dyDescent="0.3"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</row>
    <row r="999" spans="3:42" ht="12.75" customHeight="1" x14ac:dyDescent="0.3"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</row>
    <row r="1000" spans="3:42" ht="12.75" customHeight="1" x14ac:dyDescent="0.3"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</row>
    <row r="1001" spans="3:42" ht="12.75" customHeight="1" x14ac:dyDescent="0.3"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</row>
    <row r="1002" spans="3:42" ht="12.75" customHeight="1" x14ac:dyDescent="0.3"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</row>
    <row r="1003" spans="3:42" ht="12.75" customHeight="1" x14ac:dyDescent="0.3"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</row>
  </sheetData>
  <mergeCells count="115">
    <mergeCell ref="A1:B1"/>
    <mergeCell ref="C88:L88"/>
    <mergeCell ref="C98:L98"/>
    <mergeCell ref="M98:N98"/>
    <mergeCell ref="C99:L99"/>
    <mergeCell ref="M99:N99"/>
    <mergeCell ref="C72:L72"/>
    <mergeCell ref="C73:L73"/>
    <mergeCell ref="C74:L74"/>
    <mergeCell ref="C84:L84"/>
    <mergeCell ref="M84:N84"/>
    <mergeCell ref="C85:L85"/>
    <mergeCell ref="M85:N85"/>
    <mergeCell ref="C86:L86"/>
    <mergeCell ref="C87:L87"/>
    <mergeCell ref="AA24:AB24"/>
    <mergeCell ref="AC24:AD24"/>
    <mergeCell ref="C25:F25"/>
    <mergeCell ref="C26:F26"/>
    <mergeCell ref="C42:L42"/>
    <mergeCell ref="M42:N42"/>
    <mergeCell ref="C43:L43"/>
    <mergeCell ref="M43:N43"/>
    <mergeCell ref="C197:L197"/>
    <mergeCell ref="M197:N197"/>
    <mergeCell ref="M196:N196"/>
    <mergeCell ref="C182:L182"/>
    <mergeCell ref="M182:N182"/>
    <mergeCell ref="C183:L183"/>
    <mergeCell ref="M183:N183"/>
    <mergeCell ref="C184:L184"/>
    <mergeCell ref="C185:L185"/>
    <mergeCell ref="C186:L186"/>
    <mergeCell ref="C156:L156"/>
    <mergeCell ref="C157:L157"/>
    <mergeCell ref="C158:L158"/>
    <mergeCell ref="C168:L168"/>
    <mergeCell ref="M168:N168"/>
    <mergeCell ref="C169:L169"/>
    <mergeCell ref="C198:L198"/>
    <mergeCell ref="C199:L199"/>
    <mergeCell ref="C200:L200"/>
    <mergeCell ref="C1:D1"/>
    <mergeCell ref="E1:F1"/>
    <mergeCell ref="H1:I1"/>
    <mergeCell ref="M1:N1"/>
    <mergeCell ref="C24:F24"/>
    <mergeCell ref="C44:L44"/>
    <mergeCell ref="C45:L45"/>
    <mergeCell ref="C46:L46"/>
    <mergeCell ref="C56:L56"/>
    <mergeCell ref="M56:N56"/>
    <mergeCell ref="C57:L57"/>
    <mergeCell ref="M57:N57"/>
    <mergeCell ref="C58:L58"/>
    <mergeCell ref="C59:L59"/>
    <mergeCell ref="C60:L60"/>
    <mergeCell ref="C70:L70"/>
    <mergeCell ref="M70:N70"/>
    <mergeCell ref="C71:L71"/>
    <mergeCell ref="M71:N71"/>
    <mergeCell ref="C172:L172"/>
    <mergeCell ref="C196:L196"/>
    <mergeCell ref="M169:N169"/>
    <mergeCell ref="C170:L170"/>
    <mergeCell ref="C171:L171"/>
    <mergeCell ref="C141:L141"/>
    <mergeCell ref="M141:N141"/>
    <mergeCell ref="C142:L142"/>
    <mergeCell ref="C143:L143"/>
    <mergeCell ref="C144:L144"/>
    <mergeCell ref="C154:L154"/>
    <mergeCell ref="M154:N154"/>
    <mergeCell ref="C155:L155"/>
    <mergeCell ref="M155:N155"/>
    <mergeCell ref="C116:L116"/>
    <mergeCell ref="C126:L126"/>
    <mergeCell ref="M126:N126"/>
    <mergeCell ref="C127:L127"/>
    <mergeCell ref="M127:N127"/>
    <mergeCell ref="C140:L140"/>
    <mergeCell ref="M140:N140"/>
    <mergeCell ref="C128:L128"/>
    <mergeCell ref="C129:L129"/>
    <mergeCell ref="C130:L130"/>
    <mergeCell ref="C100:L100"/>
    <mergeCell ref="C101:L101"/>
    <mergeCell ref="C102:L102"/>
    <mergeCell ref="C112:L112"/>
    <mergeCell ref="M112:N112"/>
    <mergeCell ref="C113:L113"/>
    <mergeCell ref="M113:N113"/>
    <mergeCell ref="C114:L114"/>
    <mergeCell ref="C115:L115"/>
    <mergeCell ref="C213:L213"/>
    <mergeCell ref="C214:L214"/>
    <mergeCell ref="C224:L224"/>
    <mergeCell ref="M224:N224"/>
    <mergeCell ref="C225:L225"/>
    <mergeCell ref="M225:N225"/>
    <mergeCell ref="C210:L210"/>
    <mergeCell ref="M210:N210"/>
    <mergeCell ref="C211:L211"/>
    <mergeCell ref="M211:N211"/>
    <mergeCell ref="C212:L212"/>
    <mergeCell ref="C239:L239"/>
    <mergeCell ref="M239:N239"/>
    <mergeCell ref="C240:L240"/>
    <mergeCell ref="C241:L241"/>
    <mergeCell ref="C242:L242"/>
    <mergeCell ref="C226:L226"/>
    <mergeCell ref="C227:L227"/>
    <mergeCell ref="C228:L228"/>
    <mergeCell ref="C238:L238"/>
    <mergeCell ref="M238:N238"/>
  </mergeCells>
  <phoneticPr fontId="61" type="noConversion"/>
  <pageMargins left="0.7" right="0.7" top="0.75" bottom="0.75" header="0" footer="0"/>
  <pageSetup orientation="portrait" r:id="rId1"/>
  <drawing r:id="rId2"/>
  <legacyDrawing r:id="rId3"/>
  <tableParts count="1"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900"/>
  <sheetViews>
    <sheetView zoomScaleNormal="100" workbookViewId="0">
      <selection activeCell="G9" sqref="G9"/>
    </sheetView>
  </sheetViews>
  <sheetFormatPr defaultColWidth="14.44140625" defaultRowHeight="15" customHeight="1" x14ac:dyDescent="0.3"/>
  <cols>
    <col min="1" max="1" width="11.33203125" customWidth="1"/>
    <col min="2" max="2" width="8.109375" customWidth="1"/>
    <col min="3" max="3" width="8.6640625" customWidth="1"/>
    <col min="4" max="4" width="8.5546875" customWidth="1"/>
    <col min="5" max="10" width="9.109375" customWidth="1"/>
    <col min="11" max="13" width="11.33203125" customWidth="1"/>
    <col min="14" max="14" width="5.6640625" customWidth="1"/>
    <col min="15" max="15" width="10.33203125" bestFit="1" customWidth="1"/>
    <col min="16" max="16" width="4.44140625" customWidth="1"/>
    <col min="17" max="17" width="10.5546875" style="334" customWidth="1"/>
    <col min="18" max="20" width="10.6640625" customWidth="1"/>
    <col min="21" max="21" width="12" customWidth="1"/>
    <col min="22" max="22" width="9.5546875" customWidth="1"/>
    <col min="23" max="23" width="3.88671875" customWidth="1"/>
    <col min="24" max="24" width="9" bestFit="1" customWidth="1"/>
    <col min="25" max="25" width="5.77734375" bestFit="1" customWidth="1"/>
    <col min="26" max="26" width="11.88671875" customWidth="1"/>
    <col min="27" max="27" width="9" customWidth="1"/>
    <col min="28" max="30" width="9.5546875" customWidth="1"/>
    <col min="31" max="31" width="9.109375" customWidth="1"/>
    <col min="32" max="32" width="10.44140625" customWidth="1"/>
    <col min="33" max="35" width="9.109375" customWidth="1"/>
    <col min="36" max="36" width="12.33203125" customWidth="1"/>
    <col min="37" max="38" width="9.109375" customWidth="1"/>
  </cols>
  <sheetData>
    <row r="1" spans="1:38" ht="15.75" customHeight="1" thickBot="1" x14ac:dyDescent="0.35">
      <c r="A1" s="838" t="s">
        <v>1</v>
      </c>
      <c r="B1" s="837"/>
      <c r="C1" s="838" t="s">
        <v>558</v>
      </c>
      <c r="D1" s="837"/>
      <c r="E1" s="53" t="s">
        <v>559</v>
      </c>
      <c r="F1" s="838" t="s">
        <v>560</v>
      </c>
      <c r="G1" s="837"/>
      <c r="H1" s="52" t="s">
        <v>561</v>
      </c>
      <c r="I1" s="53" t="s">
        <v>535</v>
      </c>
      <c r="J1" s="54" t="s">
        <v>46</v>
      </c>
      <c r="K1" s="838" t="s">
        <v>47</v>
      </c>
      <c r="L1" s="839"/>
      <c r="M1" s="1"/>
      <c r="N1" s="1"/>
      <c r="O1" s="1"/>
      <c r="P1" s="1"/>
      <c r="Q1" s="243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12.75" customHeight="1" thickBot="1" x14ac:dyDescent="0.35">
      <c r="A2" s="278">
        <f>Data!A27</f>
        <v>600</v>
      </c>
      <c r="B2" s="113" t="str">
        <f>Data!B27</f>
        <v>mV</v>
      </c>
      <c r="C2" s="270">
        <f>Data!C28</f>
        <v>60</v>
      </c>
      <c r="D2" s="115" t="str">
        <f>Sheet1!D7</f>
        <v>mV</v>
      </c>
      <c r="E2" s="256">
        <f>Q25</f>
        <v>-2.2033294456707407E-3</v>
      </c>
      <c r="F2" s="257">
        <f>AVERAGE(Data!E28:N28)</f>
        <v>60</v>
      </c>
      <c r="G2" s="258" t="s">
        <v>35</v>
      </c>
      <c r="H2" s="254">
        <f>(C2+E2)-F2</f>
        <v>-2.2033294456704766E-3</v>
      </c>
      <c r="I2" s="256">
        <f>L47</f>
        <v>5.7876078643173512E-2</v>
      </c>
      <c r="J2" s="259">
        <f>K46</f>
        <v>2.0080964852866012</v>
      </c>
      <c r="K2" s="605">
        <f>C2/10^3*0.36</f>
        <v>2.1599999999999998E-2</v>
      </c>
      <c r="L2" s="260" t="str">
        <f>G2</f>
        <v>mV</v>
      </c>
      <c r="M2" s="1"/>
      <c r="N2" s="1"/>
      <c r="O2" s="1"/>
      <c r="P2" s="1"/>
      <c r="Q2" s="243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 ht="12.75" customHeight="1" thickBot="1" x14ac:dyDescent="0.35">
      <c r="A3" s="129"/>
      <c r="B3" s="124"/>
      <c r="C3" s="270">
        <f>Data!C29</f>
        <v>300</v>
      </c>
      <c r="D3" s="115" t="str">
        <f>Sheet1!D8</f>
        <v>mV</v>
      </c>
      <c r="E3" s="375">
        <f t="shared" ref="E3:E15" si="0">Q26</f>
        <v>-1.0368902418213989E-2</v>
      </c>
      <c r="F3" s="178">
        <f>AVERAGE(Data!E29:N29)</f>
        <v>299.89999999999998</v>
      </c>
      <c r="G3" s="262" t="s">
        <v>35</v>
      </c>
      <c r="H3" s="263">
        <f>(C3+E3)-F3</f>
        <v>8.9631097581786889E-2</v>
      </c>
      <c r="I3" s="261">
        <f>L62</f>
        <v>5.8648283085999328E-2</v>
      </c>
      <c r="J3" s="264">
        <f>K61</f>
        <v>2.0055857963765167</v>
      </c>
      <c r="K3" s="606">
        <f>C3/10^3*0.36</f>
        <v>0.108</v>
      </c>
      <c r="L3" s="184" t="str">
        <f t="shared" ref="L3:L16" si="1">G3</f>
        <v>mV</v>
      </c>
      <c r="M3" s="1"/>
      <c r="N3" s="1"/>
      <c r="O3" s="1"/>
      <c r="P3" s="1"/>
      <c r="Q3" s="243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1:38" ht="12.75" customHeight="1" thickBot="1" x14ac:dyDescent="0.35">
      <c r="A4" s="119"/>
      <c r="B4" s="120"/>
      <c r="C4" s="270">
        <f>Data!C30</f>
        <v>0.54</v>
      </c>
      <c r="D4" s="115" t="str">
        <f>Sheet1!D9</f>
        <v>V1</v>
      </c>
      <c r="E4" s="182">
        <f>Q27</f>
        <v>-7.0746268656716433E-6</v>
      </c>
      <c r="F4" s="265">
        <f>AVERAGE(Data!E30:N30)</f>
        <v>539.9</v>
      </c>
      <c r="G4" s="266" t="s">
        <v>35</v>
      </c>
      <c r="H4" s="267">
        <f>(C4+E4)*1000-F4</f>
        <v>9.2925373134335132E-2</v>
      </c>
      <c r="I4" s="600">
        <f>L77</f>
        <v>5.845041202284848E-2</v>
      </c>
      <c r="J4" s="268">
        <f>K76</f>
        <v>2.0062002033749899</v>
      </c>
      <c r="K4" s="607">
        <f>C4/10^0*0.072</f>
        <v>3.8879999999999998E-2</v>
      </c>
      <c r="L4" s="269" t="str">
        <f t="shared" si="1"/>
        <v>mV</v>
      </c>
      <c r="M4" s="1"/>
      <c r="N4" s="1"/>
      <c r="O4" s="1"/>
      <c r="P4" s="1"/>
      <c r="Q4" s="243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1:38" ht="12.75" customHeight="1" thickBot="1" x14ac:dyDescent="0.35">
      <c r="A5" s="278">
        <f>Data!A31</f>
        <v>6</v>
      </c>
      <c r="B5" s="113" t="str">
        <f>Data!B31</f>
        <v>V</v>
      </c>
      <c r="C5" s="270">
        <f>Data!C32</f>
        <v>0.60000000000000009</v>
      </c>
      <c r="D5" s="115" t="str">
        <f>Sheet1!D11</f>
        <v>V1</v>
      </c>
      <c r="E5" s="256">
        <f t="shared" si="0"/>
        <v>-7.6388059701492564E-6</v>
      </c>
      <c r="F5" s="323">
        <f>AVERAGE(Data!E32:N32)</f>
        <v>0.6</v>
      </c>
      <c r="G5" s="282" t="s">
        <v>36</v>
      </c>
      <c r="H5" s="303">
        <f t="shared" ref="H5:H15" si="2">(C5+E5)-F5</f>
        <v>-7.6388059699894484E-6</v>
      </c>
      <c r="I5" s="256">
        <f>L92</f>
        <v>5.7742017455908619E-4</v>
      </c>
      <c r="J5" s="259">
        <f>K91</f>
        <v>2.0085552492352936</v>
      </c>
      <c r="K5" s="605">
        <f>C5/10^3*0.072</f>
        <v>4.32E-5</v>
      </c>
      <c r="L5" s="115" t="str">
        <f t="shared" si="1"/>
        <v>V</v>
      </c>
      <c r="M5" s="1"/>
      <c r="N5" s="1"/>
      <c r="O5" s="1"/>
      <c r="P5" s="1"/>
      <c r="Q5" s="243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spans="1:38" ht="12.75" customHeight="1" thickBot="1" x14ac:dyDescent="0.35">
      <c r="A6" s="129"/>
      <c r="B6" s="124"/>
      <c r="C6" s="130">
        <f>Data!C33</f>
        <v>3</v>
      </c>
      <c r="D6" s="115" t="str">
        <f>Sheet1!D12</f>
        <v>V1</v>
      </c>
      <c r="E6" s="261">
        <f t="shared" si="0"/>
        <v>-1.9982059467812327E-5</v>
      </c>
      <c r="F6" s="271">
        <f>AVERAGE(Data!E33:N33)</f>
        <v>2.9990000000000001</v>
      </c>
      <c r="G6" s="262" t="s">
        <v>36</v>
      </c>
      <c r="H6" s="272">
        <f t="shared" si="2"/>
        <v>9.8001794053192981E-4</v>
      </c>
      <c r="I6" s="261">
        <f>L107</f>
        <v>5.7815222525249078E-4</v>
      </c>
      <c r="J6" s="264">
        <f>K106</f>
        <v>2.0083039311093072</v>
      </c>
      <c r="K6" s="606">
        <f>C6/10^3*0.072</f>
        <v>2.1599999999999999E-4</v>
      </c>
      <c r="L6" s="126" t="str">
        <f t="shared" si="1"/>
        <v>V</v>
      </c>
      <c r="M6" s="1"/>
      <c r="N6" s="1"/>
      <c r="O6" s="1"/>
      <c r="P6" s="1"/>
      <c r="Q6" s="243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</row>
    <row r="7" spans="1:38" ht="12.75" customHeight="1" thickBot="1" x14ac:dyDescent="0.35">
      <c r="A7" s="119"/>
      <c r="B7" s="120"/>
      <c r="C7" s="121">
        <f>Data!C34</f>
        <v>5.4</v>
      </c>
      <c r="D7" s="115" t="str">
        <f>Sheet1!D13</f>
        <v>V2</v>
      </c>
      <c r="E7" s="182">
        <f t="shared" si="0"/>
        <v>-5.0864176570458402E-5</v>
      </c>
      <c r="F7" s="450">
        <f>AVERAGE(Data!E34:N34)</f>
        <v>5.399</v>
      </c>
      <c r="G7" s="451" t="s">
        <v>36</v>
      </c>
      <c r="H7" s="274">
        <f t="shared" si="2"/>
        <v>9.4913582343014724E-4</v>
      </c>
      <c r="I7" s="600">
        <f>L122</f>
        <v>5.7967403821807223E-4</v>
      </c>
      <c r="J7" s="268">
        <f>K121</f>
        <v>2.007787538348309</v>
      </c>
      <c r="K7" s="607">
        <f>C7/10^3*0.067</f>
        <v>3.6180000000000007E-4</v>
      </c>
      <c r="L7" s="122" t="str">
        <f t="shared" si="1"/>
        <v>V</v>
      </c>
      <c r="M7" s="1"/>
      <c r="N7" s="1"/>
      <c r="O7" s="1"/>
      <c r="P7" s="1"/>
      <c r="Q7" s="243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</row>
    <row r="8" spans="1:38" ht="12.75" customHeight="1" thickBot="1" x14ac:dyDescent="0.35">
      <c r="A8" s="278">
        <f>Data!A35</f>
        <v>60</v>
      </c>
      <c r="B8" s="113" t="str">
        <f>Data!B35</f>
        <v>V</v>
      </c>
      <c r="C8" s="270">
        <f>Data!C36</f>
        <v>6</v>
      </c>
      <c r="D8" s="115" t="str">
        <f>Sheet1!D15</f>
        <v>V2</v>
      </c>
      <c r="E8" s="181">
        <f t="shared" si="0"/>
        <v>-5.4297113752122236E-5</v>
      </c>
      <c r="F8" s="276">
        <f>AVERAGE(Data!E36:N36)</f>
        <v>6</v>
      </c>
      <c r="G8" s="258" t="s">
        <v>36</v>
      </c>
      <c r="H8" s="277">
        <f t="shared" si="2"/>
        <v>-5.4297113751822224E-5</v>
      </c>
      <c r="I8" s="256">
        <f>L137</f>
        <v>5.7737591694116451E-3</v>
      </c>
      <c r="J8" s="259">
        <f>K136</f>
        <v>2.0085705081851044</v>
      </c>
      <c r="K8" s="278">
        <f>C8/10^3*0.067</f>
        <v>4.0200000000000001E-4</v>
      </c>
      <c r="L8" s="115" t="str">
        <f t="shared" si="1"/>
        <v>V</v>
      </c>
      <c r="M8" s="1"/>
      <c r="N8" s="1"/>
      <c r="O8" s="1"/>
      <c r="P8" s="1"/>
      <c r="Q8" s="243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F8" s="1"/>
      <c r="AG8" s="1"/>
      <c r="AH8" s="1"/>
      <c r="AI8" s="1"/>
      <c r="AJ8" s="1"/>
      <c r="AK8" s="1"/>
      <c r="AL8" s="1"/>
    </row>
    <row r="9" spans="1:38" ht="12.75" customHeight="1" thickBot="1" x14ac:dyDescent="0.35">
      <c r="A9" s="129"/>
      <c r="B9" s="124"/>
      <c r="C9" s="272">
        <f>Data!C37</f>
        <v>30</v>
      </c>
      <c r="D9" s="115" t="str">
        <f>Sheet1!D16</f>
        <v>V2</v>
      </c>
      <c r="E9" s="279">
        <f t="shared" si="0"/>
        <v>-6.6790980665991883E-5</v>
      </c>
      <c r="F9" s="246">
        <f>AVERAGE(Data!E37:N37)</f>
        <v>30</v>
      </c>
      <c r="G9" s="262" t="s">
        <v>36</v>
      </c>
      <c r="H9" s="280">
        <f t="shared" si="2"/>
        <v>-6.6790980664421795E-5</v>
      </c>
      <c r="I9" s="261">
        <f>L152</f>
        <v>5.7862811393845654E-3</v>
      </c>
      <c r="J9" s="264">
        <f>K151</f>
        <v>2.0081418609313864</v>
      </c>
      <c r="K9" s="129">
        <f>C9/10^3*0.067</f>
        <v>2.0100000000000001E-3</v>
      </c>
      <c r="L9" s="126" t="str">
        <f t="shared" si="1"/>
        <v>V</v>
      </c>
      <c r="M9" s="1"/>
      <c r="N9" s="1"/>
      <c r="O9" s="1"/>
      <c r="P9" s="1"/>
      <c r="Q9" s="243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</row>
    <row r="10" spans="1:38" ht="12.75" customHeight="1" thickBot="1" x14ac:dyDescent="0.35">
      <c r="A10" s="119"/>
      <c r="B10" s="120"/>
      <c r="C10" s="274">
        <f>Data!C38</f>
        <v>54</v>
      </c>
      <c r="D10" s="115" t="str">
        <f>Sheet1!D17</f>
        <v>V3</v>
      </c>
      <c r="E10" s="182">
        <f t="shared" si="0"/>
        <v>-1.2865671641791045E-4</v>
      </c>
      <c r="F10" s="177">
        <f>AVERAGE(Data!E38:N38)</f>
        <v>53.989999999999995</v>
      </c>
      <c r="G10" s="266" t="s">
        <v>36</v>
      </c>
      <c r="H10" s="281">
        <f t="shared" si="2"/>
        <v>9.8713432835850767E-3</v>
      </c>
      <c r="I10" s="600">
        <f>L167</f>
        <v>5.8416325843444325E-3</v>
      </c>
      <c r="J10" s="268">
        <f>K166</f>
        <v>2.0063136551232641</v>
      </c>
      <c r="K10" s="119">
        <f>C10/10^3*0.076</f>
        <v>4.104E-3</v>
      </c>
      <c r="L10" s="123" t="str">
        <f t="shared" si="1"/>
        <v>V</v>
      </c>
      <c r="M10" s="1"/>
      <c r="N10" s="1"/>
      <c r="O10" s="1"/>
      <c r="P10" s="1"/>
      <c r="Q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</row>
    <row r="11" spans="1:38" ht="12.75" customHeight="1" thickBot="1" x14ac:dyDescent="0.35">
      <c r="A11" s="278">
        <f>Data!A39</f>
        <v>600</v>
      </c>
      <c r="B11" s="113" t="str">
        <f>Data!B39</f>
        <v>V</v>
      </c>
      <c r="C11" s="270">
        <f>Data!C40</f>
        <v>60</v>
      </c>
      <c r="D11" s="115" t="str">
        <f>Sheet1!D19</f>
        <v>V3</v>
      </c>
      <c r="E11" s="256">
        <f t="shared" si="0"/>
        <v>-1.1970149253731342E-4</v>
      </c>
      <c r="F11" s="257">
        <f>AVERAGE(Data!E40:N40)</f>
        <v>60</v>
      </c>
      <c r="G11" s="282" t="s">
        <v>36</v>
      </c>
      <c r="H11" s="254">
        <f t="shared" si="2"/>
        <v>-1.197014925367057E-4</v>
      </c>
      <c r="I11" s="256">
        <f>L182</f>
        <v>5.7741856623817089E-2</v>
      </c>
      <c r="J11" s="259">
        <f>K181</f>
        <v>2.0085558040634144</v>
      </c>
      <c r="K11" s="605">
        <f>C11/10^3*0.076</f>
        <v>4.5599999999999998E-3</v>
      </c>
      <c r="L11" s="115" t="str">
        <f t="shared" si="1"/>
        <v>V</v>
      </c>
      <c r="M11" s="1"/>
      <c r="N11" s="1"/>
      <c r="O11" s="1"/>
      <c r="P11" s="1"/>
      <c r="Q11" s="243"/>
      <c r="R11" cm="1">
        <f t="array" ref="R11:R16">ABS($AB$12:$AB$17-Y13)</f>
        <v>2.67</v>
      </c>
      <c r="T11" s="341"/>
      <c r="U11" s="356"/>
      <c r="V11" s="1"/>
      <c r="W11" s="1"/>
      <c r="X11" s="1"/>
      <c r="Y11" s="1"/>
      <c r="Z11" s="1"/>
      <c r="AA11" s="1"/>
      <c r="AB11" s="1" t="s">
        <v>646</v>
      </c>
      <c r="AC11" s="1" t="s">
        <v>647</v>
      </c>
      <c r="AD11" s="1"/>
      <c r="AE11" s="1"/>
      <c r="AF11" s="1"/>
      <c r="AG11" s="1"/>
      <c r="AH11" s="1"/>
      <c r="AI11" s="1"/>
      <c r="AJ11" s="1"/>
      <c r="AK11" s="1"/>
      <c r="AL11" s="1"/>
    </row>
    <row r="12" spans="1:38" ht="12.75" customHeight="1" thickBot="1" x14ac:dyDescent="0.35">
      <c r="A12" s="129"/>
      <c r="B12" s="124"/>
      <c r="C12" s="130">
        <f>Data!C41</f>
        <v>300</v>
      </c>
      <c r="D12" s="115" t="str">
        <f>Sheet1!D20</f>
        <v>V3</v>
      </c>
      <c r="E12" s="261">
        <f t="shared" si="0"/>
        <v>2.3796148079319152E-4</v>
      </c>
      <c r="F12" s="178">
        <f>AVERAGE(Data!E41:N41)</f>
        <v>299.89999999999998</v>
      </c>
      <c r="G12" s="283" t="s">
        <v>36</v>
      </c>
      <c r="H12" s="263">
        <f t="shared" si="2"/>
        <v>0.1002379614808433</v>
      </c>
      <c r="I12" s="261">
        <f>L197</f>
        <v>5.7863117689304119E-2</v>
      </c>
      <c r="J12" s="264">
        <f>K196</f>
        <v>2.008140816547141</v>
      </c>
      <c r="K12" s="606">
        <f>C12/10^3*0.076</f>
        <v>2.2799999999999997E-2</v>
      </c>
      <c r="L12" s="126" t="str">
        <f t="shared" si="1"/>
        <v>V</v>
      </c>
      <c r="M12" s="1"/>
      <c r="N12" s="1"/>
      <c r="O12" s="1"/>
      <c r="P12" s="1"/>
      <c r="Q12" s="243"/>
      <c r="R12">
        <v>2</v>
      </c>
      <c r="S12" s="1"/>
      <c r="T12" s="1"/>
      <c r="U12" s="1"/>
      <c r="V12" s="1"/>
      <c r="W12" s="1"/>
      <c r="Y12" s="1" t="s">
        <v>644</v>
      </c>
      <c r="Z12" s="1" t="s">
        <v>645</v>
      </c>
      <c r="AB12" s="553">
        <v>0.33</v>
      </c>
      <c r="AC12" s="553" t="s">
        <v>637</v>
      </c>
      <c r="AD12" s="1"/>
      <c r="AE12" s="1"/>
      <c r="AF12" s="1"/>
      <c r="AG12" s="1"/>
      <c r="AH12" s="1"/>
      <c r="AI12" s="1"/>
      <c r="AJ12" s="1"/>
      <c r="AK12" s="1"/>
      <c r="AL12" s="1"/>
    </row>
    <row r="13" spans="1:38" ht="12.75" customHeight="1" thickBot="1" x14ac:dyDescent="0.35">
      <c r="A13" s="119"/>
      <c r="B13" s="120"/>
      <c r="C13" s="121">
        <f>Data!C42</f>
        <v>540</v>
      </c>
      <c r="D13" s="115" t="str">
        <f>Sheet1!D21</f>
        <v>V4</v>
      </c>
      <c r="E13" s="182">
        <f t="shared" si="0"/>
        <v>-3.7769864626250732E-3</v>
      </c>
      <c r="F13" s="265">
        <f>AVERAGE(Data!E42:N42)</f>
        <v>539.9</v>
      </c>
      <c r="G13" s="266" t="s">
        <v>36</v>
      </c>
      <c r="H13" s="267">
        <f t="shared" si="2"/>
        <v>9.622301353738294E-2</v>
      </c>
      <c r="I13" s="600">
        <f>L212</f>
        <v>5.8200411371685579E-2</v>
      </c>
      <c r="J13" s="268">
        <f>K211</f>
        <v>2.0070138492351712</v>
      </c>
      <c r="K13" s="607">
        <f>C13/10^3*0.079</f>
        <v>4.2660000000000003E-2</v>
      </c>
      <c r="L13" s="122" t="str">
        <f t="shared" si="1"/>
        <v>V</v>
      </c>
      <c r="M13" s="1"/>
      <c r="N13" s="1"/>
      <c r="O13" s="1"/>
      <c r="P13" s="1"/>
      <c r="Q13" s="243"/>
      <c r="R13" s="1">
        <v>1.2</v>
      </c>
      <c r="S13" s="1"/>
      <c r="T13" s="358"/>
      <c r="U13" s="356"/>
      <c r="V13" s="1"/>
      <c r="W13" s="1"/>
      <c r="Y13" s="1">
        <v>3</v>
      </c>
      <c r="Z13" s="1" t="e" cm="1">
        <f t="array" ref="Z13">INDEX(AA25:AA58,
MATCH(
MIN(IF(AND($AA$25:$AA$58&lt;&gt;"x",Y25:Y58=P25),ABS($Z$25:$Z$58-O25))),
IF(AND($AA$25:$AA$58&lt;&gt;"x",Y25:Y58=P25,ABS($Z$25:$Z$58-O25)),
0
)))</f>
        <v>#N/A</v>
      </c>
      <c r="AB13" s="553">
        <v>1</v>
      </c>
      <c r="AC13" s="626">
        <v>-9.0000000000000002E-6</v>
      </c>
      <c r="AD13" s="1"/>
      <c r="AE13" s="1"/>
      <c r="AF13" s="1"/>
      <c r="AG13" s="1"/>
      <c r="AH13" s="1"/>
      <c r="AI13" s="1"/>
      <c r="AJ13" s="1"/>
      <c r="AK13" s="1"/>
      <c r="AL13" s="1"/>
    </row>
    <row r="14" spans="1:38" ht="12.75" customHeight="1" thickBot="1" x14ac:dyDescent="0.35">
      <c r="A14" s="278">
        <f>Data!A43</f>
        <v>1000</v>
      </c>
      <c r="B14" s="113" t="str">
        <f>Data!B43</f>
        <v>V</v>
      </c>
      <c r="C14" s="270">
        <f>Data!C44</f>
        <v>100</v>
      </c>
      <c r="D14" s="115" t="str">
        <f>Sheet1!D23</f>
        <v>V3</v>
      </c>
      <c r="E14" s="256">
        <f t="shared" si="0"/>
        <v>-5.9999999999999968E-5</v>
      </c>
      <c r="F14" s="593">
        <f>AVERAGE(Data!E44:N44)</f>
        <v>100</v>
      </c>
      <c r="G14" s="282" t="s">
        <v>36</v>
      </c>
      <c r="H14" s="596">
        <f t="shared" si="2"/>
        <v>-6.0000000004833964E-5</v>
      </c>
      <c r="I14" s="256">
        <f>L227</f>
        <v>0.57735093721312358</v>
      </c>
      <c r="J14" s="259">
        <f>K226</f>
        <v>2.0085791236079706</v>
      </c>
      <c r="K14" s="605">
        <f>C14/10^3*0.076</f>
        <v>7.6E-3</v>
      </c>
      <c r="L14" s="115" t="str">
        <f t="shared" si="1"/>
        <v>V</v>
      </c>
      <c r="M14" s="1"/>
      <c r="N14" s="1"/>
      <c r="O14" s="1"/>
      <c r="P14" s="1"/>
      <c r="Q14" s="243"/>
      <c r="R14" s="1">
        <v>1</v>
      </c>
      <c r="S14" s="1"/>
      <c r="T14" s="1"/>
      <c r="U14" s="1"/>
      <c r="V14" s="1"/>
      <c r="W14" s="1"/>
      <c r="AB14" s="553">
        <v>1.8</v>
      </c>
      <c r="AC14" s="564">
        <v>-1.2999999999999999E-5</v>
      </c>
      <c r="AD14" s="1"/>
      <c r="AE14" s="1"/>
      <c r="AF14" s="1"/>
      <c r="AG14" s="1"/>
      <c r="AH14" s="1"/>
      <c r="AI14" s="1"/>
      <c r="AJ14" s="1"/>
      <c r="AK14" s="1"/>
      <c r="AL14" s="1"/>
    </row>
    <row r="15" spans="1:38" ht="12.75" customHeight="1" x14ac:dyDescent="0.3">
      <c r="A15" s="129"/>
      <c r="B15" s="124"/>
      <c r="C15" s="130">
        <f>Data!C45</f>
        <v>500</v>
      </c>
      <c r="D15" s="115" t="str">
        <f>Sheet1!D24</f>
        <v>V4</v>
      </c>
      <c r="E15" s="261">
        <f t="shared" si="0"/>
        <v>-3.7000000000000006E-3</v>
      </c>
      <c r="F15" s="594">
        <f>AVERAGE(Data!E45:N45)</f>
        <v>500</v>
      </c>
      <c r="G15" s="283" t="s">
        <v>36</v>
      </c>
      <c r="H15" s="597">
        <f t="shared" si="2"/>
        <v>-3.6999999999807187E-3</v>
      </c>
      <c r="I15" s="261">
        <f>L242</f>
        <v>0.57737942443551882</v>
      </c>
      <c r="J15" s="264">
        <f>K241</f>
        <v>2.0085692985528101</v>
      </c>
      <c r="K15" s="606">
        <f>C15/10^3*0.079</f>
        <v>3.95E-2</v>
      </c>
      <c r="L15" s="126" t="str">
        <f t="shared" si="1"/>
        <v>V</v>
      </c>
      <c r="M15" s="1"/>
      <c r="N15" s="1"/>
      <c r="O15" s="1"/>
      <c r="P15" s="1"/>
      <c r="Q15" s="243"/>
      <c r="R15" s="1">
        <v>3.0000999999999944E-2</v>
      </c>
      <c r="S15" s="1"/>
      <c r="T15" s="1" cm="1">
        <f t="array" ref="T15">MIN(IF($AC$12:$AC$17&lt;&gt;"x",ABS($AB$12:$AB$17-Y13)))</f>
        <v>3.0000999999999944E-2</v>
      </c>
      <c r="U15" s="1"/>
      <c r="V15" s="1" cm="1">
        <f t="array" ref="V15:V20">ABS($AB$12:$AB$17-O29)</f>
        <v>2.67</v>
      </c>
      <c r="W15" s="1"/>
      <c r="X15" t="b" cm="1">
        <f t="array" ref="X15:X20">IF($AC$12:$AC$17&lt;&gt;"x",ABS($AB$12:$AB$17-O29))</f>
        <v>0</v>
      </c>
      <c r="AB15" s="553">
        <v>2</v>
      </c>
      <c r="AC15" s="564">
        <v>-1.5E-5</v>
      </c>
      <c r="AD15" s="1"/>
      <c r="AE15" s="1"/>
      <c r="AF15" s="1"/>
      <c r="AG15" s="1"/>
      <c r="AH15" s="1"/>
      <c r="AI15" s="1"/>
      <c r="AJ15" s="1"/>
      <c r="AK15" s="1"/>
      <c r="AL15" s="1"/>
    </row>
    <row r="16" spans="1:38" ht="12.75" customHeight="1" thickBot="1" x14ac:dyDescent="0.35">
      <c r="A16" s="119"/>
      <c r="B16" s="120"/>
      <c r="C16" s="121">
        <f>Data!C46</f>
        <v>900</v>
      </c>
      <c r="D16" s="553" t="str">
        <f>Sheet1!D25</f>
        <v>V4</v>
      </c>
      <c r="E16" s="120">
        <f t="shared" ref="E16" si="3">Q39</f>
        <v>-5.3959766385463983E-3</v>
      </c>
      <c r="F16" s="595">
        <f>AVERAGE(Data!E46:N46)</f>
        <v>900</v>
      </c>
      <c r="G16" s="266" t="s">
        <v>36</v>
      </c>
      <c r="H16" s="598">
        <f t="shared" ref="H16" si="4">(C16+E16)-F16</f>
        <v>-5.3959766385105468E-3</v>
      </c>
      <c r="I16" s="600">
        <f>L257</f>
        <v>0.57741786652262717</v>
      </c>
      <c r="J16" s="268">
        <f>K256</f>
        <v>2.0085560453096871</v>
      </c>
      <c r="K16" s="607">
        <f>C16/10^3*0.079</f>
        <v>7.1099999999999997E-2</v>
      </c>
      <c r="L16" s="122" t="str">
        <f t="shared" si="1"/>
        <v>V</v>
      </c>
      <c r="M16" s="1"/>
      <c r="N16" s="1"/>
      <c r="O16" s="1"/>
      <c r="P16" s="1"/>
      <c r="Q16" s="243"/>
      <c r="R16" s="1">
        <v>0.20000000000000018</v>
      </c>
      <c r="S16" s="1"/>
      <c r="T16" s="1"/>
      <c r="U16" s="1"/>
      <c r="V16" s="1">
        <v>2</v>
      </c>
      <c r="W16" s="1"/>
      <c r="X16">
        <v>2</v>
      </c>
      <c r="AB16" s="553">
        <v>2.9699990000000001</v>
      </c>
      <c r="AC16" s="564">
        <v>-1.2999999999999999E-5</v>
      </c>
      <c r="AD16" s="1"/>
      <c r="AE16" s="1"/>
      <c r="AF16" s="1"/>
      <c r="AG16" s="1"/>
      <c r="AH16" s="1"/>
      <c r="AI16" s="1"/>
      <c r="AJ16" s="1"/>
      <c r="AK16" s="1"/>
      <c r="AL16" s="1"/>
    </row>
    <row r="17" spans="1:38" ht="12.75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243"/>
      <c r="R17" s="1"/>
      <c r="S17" s="1"/>
      <c r="T17" s="1"/>
      <c r="U17" s="1"/>
      <c r="V17" s="1">
        <v>1.2</v>
      </c>
      <c r="W17" s="1"/>
      <c r="X17">
        <v>1.2</v>
      </c>
      <c r="AB17" s="553">
        <v>3.2</v>
      </c>
      <c r="AC17" s="553" t="s">
        <v>637</v>
      </c>
      <c r="AD17" s="1"/>
      <c r="AE17" s="1"/>
      <c r="AF17" s="1"/>
      <c r="AG17" s="1"/>
      <c r="AH17" s="1"/>
      <c r="AI17" s="1"/>
      <c r="AJ17" s="55"/>
      <c r="AK17" s="55"/>
      <c r="AL17" s="55"/>
    </row>
    <row r="18" spans="1:38" ht="12.75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243"/>
      <c r="R18" s="1"/>
      <c r="S18" s="1"/>
      <c r="T18" s="1"/>
      <c r="U18" s="1"/>
      <c r="V18" s="1">
        <v>1</v>
      </c>
      <c r="W18" s="1"/>
      <c r="X18" s="1">
        <v>1</v>
      </c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55"/>
      <c r="AK18" s="55"/>
      <c r="AL18" s="55"/>
    </row>
    <row r="19" spans="1:38" ht="12.75" customHeight="1" x14ac:dyDescent="0.3">
      <c r="A19" s="284" t="s">
        <v>550</v>
      </c>
      <c r="B19" s="12"/>
      <c r="C19" s="12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243"/>
      <c r="R19" s="1"/>
      <c r="S19" s="1"/>
      <c r="T19" s="1"/>
      <c r="U19" s="1"/>
      <c r="V19" s="1">
        <v>3.0000999999999944E-2</v>
      </c>
      <c r="W19" s="1"/>
      <c r="X19" s="1">
        <v>3.0000999999999944E-2</v>
      </c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55"/>
      <c r="AK19" s="55"/>
      <c r="AL19" s="55"/>
    </row>
    <row r="20" spans="1:38" ht="12.7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243"/>
      <c r="R20" s="1"/>
      <c r="S20" s="1"/>
      <c r="T20" s="1"/>
      <c r="U20" s="1"/>
      <c r="V20" s="1">
        <v>0.20000000000000018</v>
      </c>
      <c r="W20" s="1"/>
      <c r="X20" s="1" t="b">
        <v>0</v>
      </c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1:38" ht="12.75" customHeight="1" x14ac:dyDescent="0.3">
      <c r="A21" s="48" t="s">
        <v>48</v>
      </c>
      <c r="B21" s="48"/>
      <c r="C21" s="56" t="s">
        <v>49</v>
      </c>
      <c r="D21" s="288" t="s">
        <v>552</v>
      </c>
      <c r="E21" s="48"/>
      <c r="F21" s="48"/>
      <c r="G21" s="48"/>
      <c r="H21" s="48"/>
      <c r="I21" s="48"/>
      <c r="J21" s="48"/>
      <c r="K21" s="48"/>
      <c r="L21" s="48"/>
      <c r="M21" s="1"/>
      <c r="N21" s="1"/>
      <c r="O21" s="1"/>
      <c r="P21" s="1"/>
      <c r="Q21" s="243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</row>
    <row r="22" spans="1:38" ht="12.75" customHeight="1" x14ac:dyDescent="0.3">
      <c r="A22" s="48" t="s">
        <v>50</v>
      </c>
      <c r="B22" s="48"/>
      <c r="C22" s="56" t="s">
        <v>49</v>
      </c>
      <c r="D22" s="48" t="s">
        <v>51</v>
      </c>
      <c r="E22" s="48"/>
      <c r="F22" s="48"/>
      <c r="G22" s="48"/>
      <c r="H22" s="48"/>
      <c r="I22" s="48"/>
      <c r="J22" s="48"/>
      <c r="K22" s="48"/>
      <c r="L22" s="48"/>
      <c r="M22" s="1"/>
      <c r="N22" s="1"/>
      <c r="O22" s="1"/>
      <c r="P22" s="1"/>
      <c r="Q22" s="243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</row>
    <row r="23" spans="1:38" ht="12.75" customHeight="1" x14ac:dyDescent="0.3">
      <c r="A23" s="48"/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1"/>
      <c r="N23" s="1"/>
      <c r="O23" s="1"/>
      <c r="P23" s="1"/>
      <c r="Q23" s="1" t="s">
        <v>636</v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</row>
    <row r="24" spans="1:38" ht="12.75" customHeight="1" x14ac:dyDescent="0.3">
      <c r="A24" s="840" t="s">
        <v>52</v>
      </c>
      <c r="B24" s="807"/>
      <c r="C24" s="807"/>
      <c r="D24" s="807"/>
      <c r="E24" s="8" t="s">
        <v>53</v>
      </c>
      <c r="F24" s="8"/>
      <c r="G24" s="8"/>
      <c r="H24" s="8"/>
      <c r="I24" s="8"/>
      <c r="J24" s="8"/>
      <c r="K24" s="8"/>
      <c r="L24" s="8"/>
      <c r="M24" s="285" t="s">
        <v>551</v>
      </c>
      <c r="N24" s="1"/>
      <c r="O24" s="841" t="s">
        <v>54</v>
      </c>
      <c r="P24" s="794"/>
      <c r="Q24" s="331">
        <v>45506</v>
      </c>
      <c r="R24" s="57">
        <v>44655</v>
      </c>
      <c r="S24" s="57">
        <v>43854</v>
      </c>
      <c r="T24" s="57">
        <v>43283</v>
      </c>
      <c r="U24" s="555" t="s">
        <v>55</v>
      </c>
      <c r="V24" s="553" t="s">
        <v>626</v>
      </c>
      <c r="W24" s="1"/>
      <c r="X24" s="844" t="s">
        <v>1</v>
      </c>
      <c r="Y24" s="790"/>
      <c r="Z24" s="60" t="s">
        <v>56</v>
      </c>
      <c r="AA24" s="60" t="s">
        <v>555</v>
      </c>
      <c r="AB24" s="60" t="s">
        <v>57</v>
      </c>
      <c r="AC24" s="60" t="s">
        <v>58</v>
      </c>
      <c r="AD24" s="59" t="s">
        <v>59</v>
      </c>
      <c r="AE24" s="60" t="s">
        <v>554</v>
      </c>
      <c r="AF24" s="1"/>
      <c r="AG24" s="1"/>
      <c r="AH24" s="1"/>
      <c r="AI24" s="1"/>
      <c r="AJ24" s="1"/>
      <c r="AK24" s="1"/>
      <c r="AL24" s="1"/>
    </row>
    <row r="25" spans="1:38" ht="12.75" customHeight="1" x14ac:dyDescent="0.3">
      <c r="A25" s="842" t="s">
        <v>60</v>
      </c>
      <c r="B25" s="809"/>
      <c r="C25" s="809"/>
      <c r="D25" s="809"/>
      <c r="E25" s="48" t="s">
        <v>61</v>
      </c>
      <c r="F25" s="48"/>
      <c r="G25" s="48"/>
      <c r="H25" s="48"/>
      <c r="I25" s="48"/>
      <c r="J25" s="48"/>
      <c r="K25" s="48"/>
      <c r="L25" s="48"/>
      <c r="M25" s="61"/>
      <c r="N25" s="1"/>
      <c r="O25" s="62">
        <f t="shared" ref="O25:O39" si="5">C2</f>
        <v>60</v>
      </c>
      <c r="P25" s="63" t="str">
        <f t="shared" ref="P25:P39" si="6">D2</f>
        <v>mV</v>
      </c>
      <c r="Q25" s="332" cm="1">
        <f t="array" ref="Q25">IFERROR(
_xlfn.FORECAST.LINEAR(
O25,
INDEX($AA$25:$AA$58,
MATCH(1,
($Z$25:$Z$58&lt;=O25)*($AA$25:$AA$58&lt;&gt;"x")*($Y$25:$Y$58=P25),
0)
):
INDEX($AA$25:$AA$58,
MATCH(1,
($Z$25:$Z$58&gt;=O25)*($AA$25:$AA$58&lt;&gt;"x")*($Y$25:$Y$58=P25),
0)
),
INDEX($Z$25:$Z$58,
MATCH(1,
($Z$25:$Z$58&lt;=O25)*($AA$25:$AA$58&lt;&gt;"x")*($Y$25:$Y$58=P25),
0)
):
INDEX($Z$25:$Z$58,
MATCH(1,
($Z$25:$Z$58&gt;=O25)*($AA$25:$AA$58&lt;&gt;"x")*($Y$25:$Y$58=P25),
0)
)
),INDEX($AA$25:$AA$58,
MATCH(
MIN(IF(($AA$25:$AA$58&lt;&gt;"x")*($Y$25:$Y$58=P25),ABS($Z$25:$Z$58-O25))),
IF(($AA$25:$AA$58&lt;&gt;"x")*($Y$25:$Y$58=P25),ABS($Z$25:$Z$58-O25)),
0
)))</f>
        <v>-2.2033294456707407E-3</v>
      </c>
      <c r="R25" s="332" cm="1">
        <f t="array" ref="R25">IFERROR(
_xlfn.FORECAST.LINEAR(
O25,
INDEX($AB$25:$AB$58,
MATCH(1,
($Z$25:$Z$58&lt;=O25)*($AB$25:$AB$58&lt;&gt;"x")*($Y$25:$Y$58=P25),
0)
):
INDEX($AB$25:$AB$58,
MATCH(1,
($Z$25:$Z$58&gt;=O25)*($AB$25:$AB$58&lt;&gt;"x")*($Y$25:$Y$58=P25),
0)
),
INDEX($Z$25:$Z$58,
MATCH(1,
($Z$25:$Z$58&lt;=O25)*($AB$25:$AB$58&lt;&gt;"x")*($Y$25:$Y$58=P25),
0)
):
INDEX($Z$25:$Z$58,
MATCH(1,
($Z$25:$Z$58&gt;=O25)*($AB$25:$AB$58&lt;&gt;"x")*($Y$25:$Y$58=P25),
0)
)
),INDEX($AB$25:$AB$58,
MATCH(
MIN(IF(($AB$25:$AB$58&lt;&gt;"x")*($Y$25:$Y$58=P25),ABS($Z$25:$Z$58-O25))),
IF(($AB$25:$AB$58&lt;&gt;"x")*($Y$25:$Y$58=P25),ABS($Z$25:$Z$58-O25)),
0
)))</f>
        <v>1.8351444628951713E-5</v>
      </c>
      <c r="S25" s="64" cm="1">
        <f t="array" ref="S25">IFERROR(
_xlfn.FORECAST.LINEAR(
O25,
INDEX($AC$25:$AC$58,
MATCH(1,
($Z$25:$Z$58&lt;=O25)*($AC$25:$AC$58&lt;&gt;"x")*($Y$25:$Y$58=P25),
0)
):
INDEX($AC$25:$AC$58,
MATCH(1,
($Z$25:$Z$58&gt;=O25)*($AC$25:$AC$58&lt;&gt;"x")*($Y$25:$Y$58=P25),
0)
),
INDEX($Z$25:$Z$58,
MATCH(1,
($Z$25:$Z$58&lt;=O25)*($AC$25:$AC$58&lt;&gt;"x")*($Y$25:$Y$58=P25),
0)
):
INDEX($Z$25:$Z$58,
MATCH(1,
($Z$25:$Z$58&gt;=O25)*($AC$25:$AC$58&lt;&gt;"x")*($Y$25:$Y$58=P25),
0)
)
),INDEX($AC$25:$AC$58,
MATCH(
MIN(IF(($AC$25:$AC$58&lt;&gt;"x")*($Y$25:$Y$58=P25),ABS($Z$25:$Z$58-O25))),
IF(($AC$25:$AC$58&lt;&gt;"x")*($Y$25:$Y$58=P25),ABS($Z$25:$Z$58-O25)),
0
)))</f>
        <v>-1.885E-3</v>
      </c>
      <c r="T25" s="64" cm="1">
        <f t="array" ref="T25">IFERROR(
_xlfn.FORECAST.LINEAR(
O25,
INDEX($AD$25:$AD$58,
MATCH(1,
($Z$25:$Z$58&lt;=O25)*($AD$25:$AD$58&lt;&gt;"x")*($Y$25:$Y$58=P25),
0)
):
INDEX($AD$25:$AD$58,
MATCH(1,
($Z$25:$Z$58&gt;=O25)*($AD$25:$AD$58&lt;&gt;"x")*($Y$25:$Y$58=P25),
0)
),
INDEX($Z$25:$Z$58,
MATCH(1,
($Z$25:$Z$58&lt;=O25)*($AD$25:$AD$58&lt;&gt;"x")*($Y$25:$Y$58=P25),
0)
):
INDEX($Z$25:$Z$58,
MATCH(1,
($Z$25:$Z$58&gt;=O25)*($AD$25:$AD$58&lt;&gt;"x")*($Y$25:$Y$58=P25),
0)
)
),INDEX($AD$25:$AD$58,
MATCH(
MIN(IF(($AD$25:$AD$58&lt;&gt;"x")*($Y$25:$Y$58=P25),ABS($Z$25:$Z$58-O25))),
IF(($AD$25:$AD$58&lt;&gt;"x")*($Y$25:$Y$58=P25),ABS($Z$25:$Z$58-O25)),
0
)))</f>
        <v>-3.5999999999999999E-3</v>
      </c>
      <c r="U25" s="556">
        <f>((((ABS(Q25-R25)/(Q$24-R$24))+(ABS(R25-S25)/(R$24-S$24))+(ABS(S25-T25)/(S$24-T$24)))/3)*(((Q$24-R$24)+(R$24-S$24)+(S$24-T$24))/3))</f>
        <v>1.9736269488293645E-3</v>
      </c>
      <c r="V25" s="575">
        <f>AE30</f>
        <v>7.6999999999999996E-4</v>
      </c>
      <c r="W25" s="1"/>
      <c r="X25" s="65">
        <v>329.99990000000003</v>
      </c>
      <c r="Y25" s="66" t="s">
        <v>35</v>
      </c>
      <c r="Z25" s="67">
        <v>0</v>
      </c>
      <c r="AA25" s="335">
        <v>7.3999999999999999E-4</v>
      </c>
      <c r="AB25" s="66">
        <v>1.8E-3</v>
      </c>
      <c r="AC25" s="68" t="s">
        <v>637</v>
      </c>
      <c r="AD25" s="66" t="s">
        <v>637</v>
      </c>
      <c r="AE25" s="66">
        <v>4.0999999999999999E-4</v>
      </c>
      <c r="AF25" s="1"/>
      <c r="AG25" s="1"/>
      <c r="AH25" s="1"/>
      <c r="AI25" s="1"/>
      <c r="AJ25" s="1"/>
      <c r="AK25" s="1"/>
      <c r="AL25" s="1"/>
    </row>
    <row r="26" spans="1:38" ht="12.75" customHeight="1" x14ac:dyDescent="0.3">
      <c r="A26" s="842" t="s">
        <v>62</v>
      </c>
      <c r="B26" s="809"/>
      <c r="C26" s="809"/>
      <c r="D26" s="809"/>
      <c r="E26" s="48" t="s">
        <v>63</v>
      </c>
      <c r="F26" s="48"/>
      <c r="G26" s="48"/>
      <c r="H26" s="48"/>
      <c r="I26" s="48"/>
      <c r="J26" s="48"/>
      <c r="K26" s="48"/>
      <c r="L26" s="48"/>
      <c r="M26" s="61"/>
      <c r="N26" s="1"/>
      <c r="O26" s="62">
        <f>C3</f>
        <v>300</v>
      </c>
      <c r="P26" s="63" t="str">
        <f t="shared" si="6"/>
        <v>mV</v>
      </c>
      <c r="Q26" s="332" cm="1">
        <f t="array" ref="Q26">IFERROR(
_xlfn.FORECAST.LINEAR(
O26,
INDEX($AA$25:$AA$58,
MATCH(1,
($Z$25:$Z$58&lt;=O26)*($AA$25:$AA$58&lt;&gt;"x")*($Y$25:$Y$58=P26),
0)
):
INDEX($AA$25:$AA$58,
MATCH(1,
($Z$25:$Z$58&gt;=O26)*($AA$25:$AA$58&lt;&gt;"x")*($Y$25:$Y$58=P26),
0)
),
INDEX($Z$25:$Z$58,
MATCH(1,
($Z$25:$Z$58&lt;=O26)*($AA$25:$AA$58&lt;&gt;"x")*($Y$25:$Y$58=P26),
0)
):
INDEX($Z$25:$Z$58,
MATCH(1,
($Z$25:$Z$58&gt;=O26)*($AA$25:$AA$58&lt;&gt;"x")*($Y$25:$Y$58=P26),
0)
)
),INDEX($AA$25:$AA$58,
MATCH(
MIN(IF(($AA$25:$AA$58&lt;&gt;"x")*($Y$25:$Y$58=P26),ABS($Z$25:$Z$58-O26))),
IF(($AA$25:$AA$58&lt;&gt;"x")*($Y$25:$Y$58=P26),ABS($Z$25:$Z$58-O26)),
0
)))</f>
        <v>-1.0368902418213989E-2</v>
      </c>
      <c r="R26" s="332" cm="1">
        <f t="array" ref="R26">IFERROR(
_xlfn.FORECAST.LINEAR(
O26,
INDEX($AB$25:$AB$58,
MATCH(1,
($Z$25:$Z$58&lt;=O26)*($AB$25:$AB$58&lt;&gt;"x")*($Y$25:$Y$58=P26),
0)
):
INDEX($AB$25:$AB$58,
MATCH(1,
($Z$25:$Z$58&gt;=O26)*($AB$25:$AB$58&lt;&gt;"x")*($Y$25:$Y$58=P26),
0)
),
INDEX($Z$25:$Z$58,
MATCH(1,
($Z$25:$Z$58&lt;=O26)*($AB$25:$AB$58&lt;&gt;"x")*($Y$25:$Y$58=P26),
0)
):
INDEX($Z$25:$Z$58,
MATCH(1,
($Z$25:$Z$58&gt;=O26)*($AB$25:$AB$58&lt;&gt;"x")*($Y$25:$Y$58=P26),
0)
)
),INDEX($AB$25:$AB$58,
MATCH(
MIN(IF(($AB$25:$AB$58&lt;&gt;"x")*($Y$25:$Y$58=P26),ABS($Z$25:$Z$58-O26))),
IF(($AB$25:$AB$58&lt;&gt;"x")*($Y$25:$Y$58=P26),ABS($Z$25:$Z$58-O26)),
0
)))</f>
        <v>-2.1999999999999999E-2</v>
      </c>
      <c r="S26" s="64" cm="1">
        <f t="array" ref="S26">IFERROR(
_xlfn.FORECAST.LINEAR(
O26,
INDEX($AC$25:$AC$58,
MATCH(1,
($Z$25:$Z$58&lt;=O26)*($AC$25:$AC$58&lt;&gt;"x")*($Y$25:$Y$58=P26),
0)
):
INDEX($AC$25:$AC$58,
MATCH(1,
($Z$25:$Z$58&gt;=O26)*($AC$25:$AC$58&lt;&gt;"x")*($Y$25:$Y$58=P26),
0)
),
INDEX($Z$25:$Z$58,
MATCH(1,
($Z$25:$Z$58&lt;=O26)*($AC$25:$AC$58&lt;&gt;"x")*($Y$25:$Y$58=P26),
0)
):
INDEX($Z$25:$Z$58,
MATCH(1,
($Z$25:$Z$58&gt;=O26)*($AC$25:$AC$58&lt;&gt;"x")*($Y$25:$Y$58=P26),
0)
)
),INDEX($AC$25:$AC$58,
MATCH(
MIN(IF(($AC$25:$AC$58&lt;&gt;"x")*($Y$25:$Y$58=P26),ABS($Z$25:$Z$58-O26))),
IF(($AC$25:$AC$58&lt;&gt;"x")*($Y$25:$Y$58=P26),ABS($Z$25:$Z$58-O26)),
0
)))</f>
        <v>-9.4999999999999998E-3</v>
      </c>
      <c r="T26" s="64" cm="1">
        <f t="array" ref="T26">IFERROR(
_xlfn.FORECAST.LINEAR(
O26,
INDEX($AD$25:$AD$58,
MATCH(1,
($Z$25:$Z$58&lt;=O26)*($AD$25:$AD$58&lt;&gt;"x")*($Y$25:$Y$58=P26),
0)
):
INDEX($AD$25:$AD$58,
MATCH(1,
($Z$25:$Z$58&gt;=O26)*($AD$25:$AD$58&lt;&gt;"x")*($Y$25:$Y$58=P26),
0)
),
INDEX($Z$25:$Z$58,
MATCH(1,
($Z$25:$Z$58&lt;=O26)*($AD$25:$AD$58&lt;&gt;"x")*($Y$25:$Y$58=P26),
0)
):
INDEX($Z$25:$Z$58,
MATCH(1,
($Z$25:$Z$58&gt;=O26)*($AD$25:$AD$58&lt;&gt;"x")*($Y$25:$Y$58=P26),
0)
)
),INDEX($AD$25:$AD$58,
MATCH(
MIN(IF(($AD$25:$AD$58&lt;&gt;"x")*($Y$25:$Y$58=P26),ABS($Z$25:$Z$58-O26))),
IF(($AD$25:$AD$58&lt;&gt;"x")*($Y$25:$Y$58=P26),ABS($Z$25:$Z$58-O26)),
0
)))</f>
        <v>-7.7000000000000002E-3</v>
      </c>
      <c r="U26" s="556">
        <f t="shared" ref="U26:U39" si="7">((((ABS(Q26-R26)/(Q$24-R$24))+(ABS(R26-S26)/(R$24-S$24))+(ABS(S26-T26)/(S$24-T$24)))/3)*(((Q$24-R$24)+(R$24-S$24)+(S$24-T$24))/3))</f>
        <v>8.0090792667870114E-3</v>
      </c>
      <c r="V26" s="553">
        <f>AE33</f>
        <v>3.2000000000000002E-3</v>
      </c>
      <c r="W26" s="1"/>
      <c r="X26" s="353"/>
      <c r="Y26" s="66" t="s">
        <v>35</v>
      </c>
      <c r="Z26" s="355">
        <v>3</v>
      </c>
      <c r="AA26" s="356">
        <v>3.6999999999999999E-4</v>
      </c>
      <c r="AB26" s="385" t="s">
        <v>637</v>
      </c>
      <c r="AC26" s="385" t="s">
        <v>637</v>
      </c>
      <c r="AD26" s="385" t="s">
        <v>637</v>
      </c>
      <c r="AE26" s="356">
        <v>4.2999999999999999E-4</v>
      </c>
      <c r="AF26" s="1"/>
      <c r="AG26" s="1"/>
      <c r="AH26" s="1"/>
      <c r="AI26" s="1"/>
      <c r="AJ26" s="1"/>
      <c r="AK26" s="1"/>
      <c r="AL26" s="1"/>
    </row>
    <row r="27" spans="1:38" ht="12.75" customHeight="1" x14ac:dyDescent="0.3">
      <c r="A27" s="71" t="s">
        <v>64</v>
      </c>
      <c r="B27" s="48"/>
      <c r="C27" s="48"/>
      <c r="D27" s="56" t="s">
        <v>49</v>
      </c>
      <c r="E27" s="48" t="s">
        <v>65</v>
      </c>
      <c r="F27" s="1"/>
      <c r="G27" s="4" t="s">
        <v>66</v>
      </c>
      <c r="H27" s="48"/>
      <c r="I27" s="48"/>
      <c r="J27" s="48"/>
      <c r="K27" s="48"/>
      <c r="L27" s="48"/>
      <c r="M27" s="61"/>
      <c r="N27" s="1"/>
      <c r="O27" s="78">
        <f>C4</f>
        <v>0.54</v>
      </c>
      <c r="P27" s="63" t="str">
        <f>D4</f>
        <v>V1</v>
      </c>
      <c r="Q27" s="332" cm="1">
        <f t="array" ref="Q27">IFERROR(
_xlfn.FORECAST.LINEAR(
O27,
INDEX($AA$25:$AA$58,
MATCH(1,
($Z$25:$Z$58&lt;=O27)*($AA$25:$AA$58&lt;&gt;"x")*($Y$25:$Y$58=P27),
0)
):
INDEX($AA$25:$AA$58,
MATCH(1,
($Z$25:$Z$58&gt;=O27)*($AA$25:$AA$58&lt;&gt;"x")*($Y$25:$Y$58=P27),
0)
),
INDEX($Z$25:$Z$58,
MATCH(1,
($Z$25:$Z$58&lt;=O27)*($AA$25:$AA$58&lt;&gt;"x")*($Y$25:$Y$58=P27),
0)
):
INDEX($Z$25:$Z$58,
MATCH(1,
($Z$25:$Z$58&gt;=O27)*($AA$25:$AA$58&lt;&gt;"x")*($Y$25:$Y$58=P27),
0)
)
),INDEX($AA$25:$AA$58,
MATCH(
MIN(IF(($AA$25:$AA$58&lt;&gt;"x")*($Y$25:$Y$58=P27),ABS($Z$25:$Z$58-O27))),
IF(($AA$25:$AA$58&lt;&gt;"x")*($Y$25:$Y$58=P27),ABS($Z$25:$Z$58-O27)),
0
)))</f>
        <v>-7.0746268656716433E-6</v>
      </c>
      <c r="R27" s="332" cm="1">
        <f t="array" ref="R27">IFERROR(
_xlfn.FORECAST.LINEAR(
O27,
INDEX($AB$25:$AB$58,
MATCH(1,
($Z$25:$Z$58&lt;=O27)*($AB$25:$AB$58&lt;&gt;"x")*($Y$25:$Y$58=P27),
0)
):
INDEX($AB$25:$AB$58,
MATCH(1,
($Z$25:$Z$58&gt;=O27)*($AB$25:$AB$58&lt;&gt;"x")*($Y$25:$Y$58=P27),
0)
),
INDEX($Z$25:$Z$58,
MATCH(1,
($Z$25:$Z$58&lt;=O27)*($AB$25:$AB$58&lt;&gt;"x")*($Y$25:$Y$58=P27),
0)
):
INDEX($Z$25:$Z$58,
MATCH(1,
($Z$25:$Z$58&gt;=O27)*($AB$25:$AB$58&lt;&gt;"x")*($Y$25:$Y$58=P27),
0)
)
),INDEX($AB$25:$AB$58,
MATCH(
MIN(IF(($AB$25:$AB$58&lt;&gt;"x")*($Y$25:$Y$58=P27),ABS($Z$25:$Z$58-O27))),
IF(($AB$25:$AB$58&lt;&gt;"x")*($Y$25:$Y$58=P27),ABS($Z$25:$Z$58-O27)),
0
)))</f>
        <v>-9.0000000000000002E-6</v>
      </c>
      <c r="S27" s="64" cm="1">
        <f t="array" ref="S27">IFERROR(
_xlfn.FORECAST.LINEAR(
O27,
INDEX($AC$25:$AC$58,
MATCH(1,
($Z$25:$Z$58&lt;=O27)*($AC$25:$AC$58&lt;&gt;"x")*($Y$25:$Y$58=P27),
0)
):
INDEX($AC$25:$AC$58,
MATCH(1,
($Z$25:$Z$58&gt;=O27)*($AC$25:$AC$58&lt;&gt;"x")*($Y$25:$Y$58=P27),
0)
),
INDEX($Z$25:$Z$58,
MATCH(1,
($Z$25:$Z$58&lt;=O27)*($AC$25:$AC$58&lt;&gt;"x")*($Y$25:$Y$58=P27),
0)
):
INDEX($Z$25:$Z$58,
MATCH(1,
($Z$25:$Z$58&gt;=O27)*($AC$25:$AC$58&lt;&gt;"x")*($Y$25:$Y$58=P27),
0)
)
),INDEX($AC$25:$AC$58,
MATCH(
MIN(IF(($AC$25:$AC$58&lt;&gt;"x")*($Y$25:$Y$58=P27),ABS($Z$25:$Z$58-O27))),
IF(($AC$25:$AC$58&lt;&gt;"x")*($Y$25:$Y$58=P27),ABS($Z$25:$Z$58-O27)),
0
)))</f>
        <v>-1.4E-5</v>
      </c>
      <c r="T27" s="64" cm="1">
        <f t="array" ref="T27">IFERROR(
_xlfn.FORECAST.LINEAR(
O27,
INDEX($AD$25:$AD$58,
MATCH(1,
($Z$25:$Z$58&lt;=O27)*($AD$25:$AD$58&lt;&gt;"x")*($Y$25:$Y$58=P27),
0)
):
INDEX($AD$25:$AD$58,
MATCH(1,
($Z$25:$Z$58&gt;=O27)*($AD$25:$AD$58&lt;&gt;"x")*($Y$25:$Y$58=P27),
0)
),
INDEX($Z$25:$Z$58,
MATCH(1,
($Z$25:$Z$58&lt;=O27)*($AD$25:$AD$58&lt;&gt;"x")*($Y$25:$Y$58=P27),
0)
):
INDEX($Z$25:$Z$58,
MATCH(1,
($Z$25:$Z$58&gt;=O27)*($AD$25:$AD$58&lt;&gt;"x")*($Y$25:$Y$58=P27),
0)
)
),INDEX($AD$25:$AD$58,
MATCH(
MIN(IF(($AD$25:$AD$58&lt;&gt;"x")*($Y$25:$Y$58=P27),ABS($Z$25:$Z$58-O27))),
IF(($AD$25:$AD$58&lt;&gt;"x")*($Y$25:$Y$58=P27),ABS($Z$25:$Z$58-O27)),
0
)))</f>
        <v>-6.0000000000000002E-6</v>
      </c>
      <c r="U27" s="556">
        <f t="shared" si="7"/>
        <v>5.5612514985931692E-6</v>
      </c>
      <c r="V27" s="553">
        <f>AE35</f>
        <v>5.5999999999999997E-6</v>
      </c>
      <c r="W27" s="1"/>
      <c r="X27" s="338"/>
      <c r="Y27" s="66" t="s">
        <v>35</v>
      </c>
      <c r="Z27" s="339">
        <v>3.2999000000000001</v>
      </c>
      <c r="AA27" s="61" t="s">
        <v>637</v>
      </c>
      <c r="AB27" s="339">
        <v>1.6000000000000001E-3</v>
      </c>
      <c r="AC27" s="70" t="s">
        <v>637</v>
      </c>
      <c r="AD27" s="61" t="s">
        <v>637</v>
      </c>
      <c r="AE27" s="339"/>
      <c r="AF27" s="1"/>
      <c r="AG27" s="1"/>
      <c r="AH27" s="1"/>
      <c r="AI27" s="1"/>
      <c r="AJ27" s="1"/>
      <c r="AK27" s="1"/>
      <c r="AL27" s="1"/>
    </row>
    <row r="28" spans="1:38" ht="12.75" customHeight="1" x14ac:dyDescent="0.3">
      <c r="A28" s="71"/>
      <c r="B28" s="48"/>
      <c r="C28" s="48"/>
      <c r="D28" s="56" t="s">
        <v>49</v>
      </c>
      <c r="E28" s="48" t="s">
        <v>67</v>
      </c>
      <c r="F28" s="48"/>
      <c r="G28" s="48"/>
      <c r="H28" s="48"/>
      <c r="I28" s="48"/>
      <c r="J28" s="48"/>
      <c r="K28" s="48"/>
      <c r="L28" s="48"/>
      <c r="M28" s="61"/>
      <c r="N28" s="1"/>
      <c r="O28" s="78">
        <f t="shared" si="5"/>
        <v>0.60000000000000009</v>
      </c>
      <c r="P28" s="63" t="str">
        <f t="shared" si="6"/>
        <v>V1</v>
      </c>
      <c r="Q28" s="332" cm="1">
        <f t="array" ref="Q28">IFERROR(
_xlfn.FORECAST.LINEAR(
O28,
INDEX($AA$25:$AA$58,
MATCH(1,
($Z$25:$Z$58&lt;=O28)*($AA$25:$AA$58&lt;&gt;"x")*($Y$25:$Y$58=P28),
0)
):
INDEX($AA$25:$AA$58,
MATCH(1,
($Z$25:$Z$58&gt;=O28)*($AA$25:$AA$58&lt;&gt;"x")*($Y$25:$Y$58=P28),
0)
),
INDEX($Z$25:$Z$58,
MATCH(1,
($Z$25:$Z$58&lt;=O28)*($AA$25:$AA$58&lt;&gt;"x")*($Y$25:$Y$58=P28),
0)
):
INDEX($Z$25:$Z$58,
MATCH(1,
($Z$25:$Z$58&gt;=O28)*($AA$25:$AA$58&lt;&gt;"x")*($Y$25:$Y$58=P28),
0)
)
),INDEX($AA$25:$AA$58,
MATCH(
MIN(IF(($AA$25:$AA$58&lt;&gt;"x")*($Y$25:$Y$58=P28),ABS($Z$25:$Z$58-O28))),
IF(($AA$25:$AA$58&lt;&gt;"x")*($Y$25:$Y$58=P28),ABS($Z$25:$Z$58-O28)),
0
)))</f>
        <v>-7.6388059701492564E-6</v>
      </c>
      <c r="R28" s="332" cm="1">
        <f t="array" ref="R28">IFERROR(
_xlfn.FORECAST.LINEAR(
O28,
INDEX($AB$25:$AB$58,
MATCH(1,
($Z$25:$Z$58&lt;=O28)*($AB$25:$AB$58&lt;&gt;"x")*($Y$25:$Y$58=P28),
0)
):
INDEX($AB$25:$AB$58,
MATCH(1,
($Z$25:$Z$58&gt;=O28)*($AB$25:$AB$58&lt;&gt;"x")*($Y$25:$Y$58=P28),
0)
),
INDEX($Z$25:$Z$58,
MATCH(1,
($Z$25:$Z$58&lt;=O28)*($AB$25:$AB$58&lt;&gt;"x")*($Y$25:$Y$58=P28),
0)
):
INDEX($Z$25:$Z$58,
MATCH(1,
($Z$25:$Z$58&gt;=O28)*($AB$25:$AB$58&lt;&gt;"x")*($Y$25:$Y$58=P28),
0)
)
),INDEX($AB$25:$AB$58,
MATCH(
MIN(IF(($AB$25:$AB$58&lt;&gt;"x")*($Y$25:$Y$58=P28),ABS($Z$25:$Z$58-O28))),
IF(($AB$25:$AB$58&lt;&gt;"x")*($Y$25:$Y$58=P28),ABS($Z$25:$Z$58-O28)),
0
)))</f>
        <v>-9.0000000000000002E-6</v>
      </c>
      <c r="S28" s="64" cm="1">
        <f t="array" ref="S28">IFERROR(
_xlfn.FORECAST.LINEAR(
O28,
INDEX($AC$25:$AC$58,
MATCH(1,
($Z$25:$Z$58&lt;=O28)*($AC$25:$AC$58&lt;&gt;"x")*($Y$25:$Y$58=P28),
0)
):
INDEX($AC$25:$AC$58,
MATCH(1,
($Z$25:$Z$58&gt;=O28)*($AC$25:$AC$58&lt;&gt;"x")*($Y$25:$Y$58=P28),
0)
),
INDEX($Z$25:$Z$58,
MATCH(1,
($Z$25:$Z$58&lt;=O28)*($AC$25:$AC$58&lt;&gt;"x")*($Y$25:$Y$58=P28),
0)
):
INDEX($Z$25:$Z$58,
MATCH(1,
($Z$25:$Z$58&gt;=O28)*($AC$25:$AC$58&lt;&gt;"x")*($Y$25:$Y$58=P28),
0)
)
),INDEX($AC$25:$AC$58,
MATCH(
MIN(IF(($AC$25:$AC$58&lt;&gt;"x")*($Y$25:$Y$58=P28),ABS($Z$25:$Z$58-O28))),
IF(($AC$25:$AC$58&lt;&gt;"x")*($Y$25:$Y$58=P28),ABS($Z$25:$Z$58-O28)),
0
)))</f>
        <v>-1.4E-5</v>
      </c>
      <c r="T28" s="64" cm="1">
        <f t="array" ref="T28">IFERROR(
_xlfn.FORECAST.LINEAR(
O28,
INDEX($AD$25:$AD$58,
MATCH(1,
($Z$25:$Z$58&lt;=O28)*($AD$25:$AD$58&lt;&gt;"x")*($Y$25:$Y$58=P28),
0)
):
INDEX($AD$25:$AD$58,
MATCH(1,
($Z$25:$Z$58&gt;=O28)*($AD$25:$AD$58&lt;&gt;"x")*($Y$25:$Y$58=P28),
0)
),
INDEX($Z$25:$Z$58,
MATCH(1,
($Z$25:$Z$58&lt;=O28)*($AD$25:$AD$58&lt;&gt;"x")*($Y$25:$Y$58=P28),
0)
):
INDEX($Z$25:$Z$58,
MATCH(1,
($Z$25:$Z$58&gt;=O28)*($AD$25:$AD$58&lt;&gt;"x")*($Y$25:$Y$58=P28),
0)
)
),INDEX($AD$25:$AD$58,
MATCH(
MIN(IF(($AD$25:$AD$58&lt;&gt;"x")*($Y$25:$Y$58=P28),ABS($Z$25:$Z$58-O28))),
IF(($AD$25:$AD$58&lt;&gt;"x")*($Y$25:$Y$58=P28),ABS($Z$25:$Z$58-O28)),
0
)))</f>
        <v>-6.0000000000000002E-6</v>
      </c>
      <c r="U28" s="556">
        <f t="shared" si="7"/>
        <v>5.3975003366590085E-6</v>
      </c>
      <c r="V28" s="553">
        <f>AE35</f>
        <v>5.5999999999999997E-6</v>
      </c>
      <c r="W28" s="1"/>
      <c r="X28" s="338"/>
      <c r="Y28" s="66" t="s">
        <v>35</v>
      </c>
      <c r="Z28" s="341">
        <v>20</v>
      </c>
      <c r="AA28" s="357">
        <v>-3.8000000000000002E-4</v>
      </c>
      <c r="AB28" s="339">
        <v>-1E-4</v>
      </c>
      <c r="AC28" s="340">
        <v>-9.7000000000000005E-4</v>
      </c>
      <c r="AD28" s="339">
        <v>-2.2000000000000001E-3</v>
      </c>
      <c r="AE28" s="339">
        <v>4.4999999999999999E-4</v>
      </c>
      <c r="AF28" s="1"/>
      <c r="AG28" s="1"/>
      <c r="AH28" s="1"/>
      <c r="AI28" s="1"/>
      <c r="AJ28" s="1"/>
      <c r="AK28" s="1"/>
      <c r="AL28" s="1"/>
    </row>
    <row r="29" spans="1:38" ht="12.75" customHeight="1" x14ac:dyDescent="0.3">
      <c r="A29" s="71"/>
      <c r="B29" s="48"/>
      <c r="C29" s="48"/>
      <c r="D29" s="48"/>
      <c r="E29" s="238" t="s">
        <v>68</v>
      </c>
      <c r="F29" s="48" t="s">
        <v>69</v>
      </c>
      <c r="G29" s="48"/>
      <c r="H29" s="48"/>
      <c r="I29" s="48"/>
      <c r="J29" s="48"/>
      <c r="K29" s="48"/>
      <c r="L29" s="48"/>
      <c r="M29" s="61"/>
      <c r="N29" s="1"/>
      <c r="O29" s="78">
        <f t="shared" si="5"/>
        <v>3</v>
      </c>
      <c r="P29" s="63" t="str">
        <f>D6</f>
        <v>V1</v>
      </c>
      <c r="Q29" s="332" cm="1">
        <f t="array" ref="Q29">IFERROR(
_xlfn.FORECAST.LINEAR(
O29,
INDEX($AA$25:$AA$58,
MATCH(1,
($Z$25:$Z$58&lt;=O29)*($AA$25:$AA$58&lt;&gt;"x")*($Y$25:$Y$58=P29),
0)
):
INDEX($AA$25:$AA$58,
MATCH(1,
($Z$25:$Z$58&gt;=O29)*($AA$25:$AA$58&lt;&gt;"x")*($Y$25:$Y$58=P29),
0)
),
INDEX($Z$25:$Z$58,
MATCH(1,
($Z$25:$Z$58&lt;=O29)*($AA$25:$AA$58&lt;&gt;"x")*($Y$25:$Y$58=P29),
0)
):
INDEX($Z$25:$Z$58,
MATCH(1,
($Z$25:$Z$58&gt;=O29)*($AA$25:$AA$58&lt;&gt;"x")*($Y$25:$Y$58=P29),
0)
)
),INDEX($AA$25:$AA$58,
MATCH(
MIN(IF(($AA$25:$AA$58&lt;&gt;"x")*($Y$25:$Y$58=P29),ABS($Z$25:$Z$58-O29))),
IF(($AA$25:$AA$58&lt;&gt;"x")*($Y$25:$Y$58=P29),ABS($Z$25:$Z$58-O29)),
0
)))</f>
        <v>-1.9982059467812327E-5</v>
      </c>
      <c r="R29" s="332" cm="1">
        <f t="array" ref="R29">IFERROR(
_xlfn.FORECAST.LINEAR(
O29,
INDEX($AB$25:$AB$58,
MATCH(1,
($Z$25:$Z$58&lt;=O29)*($AB$25:$AB$58&lt;&gt;"x")*($Y$25:$Y$58=P29),
0)
):
INDEX($AB$25:$AB$58,
MATCH(1,
($Z$25:$Z$58&gt;=O29)*($AB$25:$AB$58&lt;&gt;"x")*($Y$25:$Y$58=P29),
0)
),
INDEX($Z$25:$Z$58,
MATCH(1,
($Z$25:$Z$58&lt;=O29)*($AB$25:$AB$58&lt;&gt;"x")*($Y$25:$Y$58=P29),
0)
):
INDEX($Z$25:$Z$58,
MATCH(1,
($Z$25:$Z$58&gt;=O29)*($AB$25:$AB$58&lt;&gt;"x")*($Y$25:$Y$58=P29),
0)
)
),INDEX($AB$25:$AB$58,
MATCH(
MIN(IF(($AB$25:$AB$58&lt;&gt;"x")*($Y$25:$Y$58=P29),ABS($Z$25:$Z$58-O29))),
IF(($AB$25:$AB$58&lt;&gt;"x")*($Y$25:$Y$58=P29),ABS($Z$25:$Z$58-O29)),
0
)))</f>
        <v>-1.2999999999999999E-5</v>
      </c>
      <c r="S29" s="64" cm="1">
        <f t="array" ref="S29">IFERROR(
_xlfn.FORECAST.LINEAR(
O29,
INDEX($AC$25:$AC$58,
MATCH(1,
($Z$25:$Z$58&lt;=O29)*($AC$25:$AC$58&lt;&gt;"x")*($Y$25:$Y$58=P29),
0)
):
INDEX($AC$25:$AC$58,
MATCH(1,
($Z$25:$Z$58&gt;=O29)*($AC$25:$AC$58&lt;&gt;"x")*($Y$25:$Y$58=P29),
0)
),
INDEX($Z$25:$Z$58,
MATCH(1,
($Z$25:$Z$58&lt;=O29)*($AC$25:$AC$58&lt;&gt;"x")*($Y$25:$Y$58=P29),
0)
):
INDEX($Z$25:$Z$58,
MATCH(1,
($Z$25:$Z$58&gt;=O29)*($AC$25:$AC$58&lt;&gt;"x")*($Y$25:$Y$58=P29),
0)
)
),INDEX($AC$25:$AC$58,
MATCH(
MIN(IF(($AC$25:$AC$58&lt;&gt;"x")*($Y$25:$Y$58=P29),ABS($Z$25:$Z$58-O29))),
IF(($AC$25:$AC$58&lt;&gt;"x")*($Y$25:$Y$58=P29),ABS($Z$25:$Z$58-O29)),
0
)))</f>
        <v>-2.0999999999999999E-5</v>
      </c>
      <c r="T29" s="64" cm="1">
        <f t="array" ref="T29">IFERROR(
_xlfn.FORECAST.LINEAR(
O29,
INDEX($AD$25:$AD$58,
MATCH(1,
($Z$25:$Z$58&lt;=O29)*($AD$25:$AD$58&lt;&gt;"x")*($Y$25:$Y$58=P29),
0)
):
INDEX($AD$25:$AD$58,
MATCH(1,
($Z$25:$Z$58&gt;=O29)*($AD$25:$AD$58&lt;&gt;"x")*($Y$25:$Y$58=P29),
0)
),
INDEX($Z$25:$Z$58,
MATCH(1,
($Z$25:$Z$58&lt;=O29)*($AD$25:$AD$58&lt;&gt;"x")*($Y$25:$Y$58=P29),
0)
):
INDEX($Z$25:$Z$58,
MATCH(1,
($Z$25:$Z$58&gt;=O29)*($AD$25:$AD$58&lt;&gt;"x")*($Y$25:$Y$58=P29),
0)
)
),INDEX($AD$25:$AD$58,
MATCH(
MIN(IF(($AD$25:$AD$58&lt;&gt;"x")*($Y$25:$Y$58=P29),ABS($Z$25:$Z$58-O29))),
IF(($AD$25:$AD$58&lt;&gt;"x")*($Y$25:$Y$58=P29),ABS($Z$25:$Z$58-O29)),
0
)))</f>
        <v>-3.9999999999999998E-6</v>
      </c>
      <c r="U29" s="556">
        <f t="shared" si="7"/>
        <v>1.1847201876610486E-5</v>
      </c>
      <c r="V29" s="553">
        <f>AE39</f>
        <v>2.6999999999999999E-5</v>
      </c>
      <c r="W29" s="1"/>
      <c r="X29" s="338"/>
      <c r="Y29" s="66" t="s">
        <v>35</v>
      </c>
      <c r="Z29" s="339">
        <v>29.6999</v>
      </c>
      <c r="AA29" s="339">
        <v>-8.1999999999999998E-4</v>
      </c>
      <c r="AB29" s="339">
        <v>5.0000000000000001E-4</v>
      </c>
      <c r="AC29" s="70" t="s">
        <v>637</v>
      </c>
      <c r="AD29" s="61" t="s">
        <v>637</v>
      </c>
      <c r="AE29" s="339">
        <v>5.5999999999999995E-4</v>
      </c>
      <c r="AF29" s="1"/>
      <c r="AG29" s="1"/>
      <c r="AH29" s="1"/>
      <c r="AI29" s="1"/>
      <c r="AJ29" s="1"/>
      <c r="AK29" s="1"/>
      <c r="AL29" s="1"/>
    </row>
    <row r="30" spans="1:38" ht="12.75" customHeight="1" x14ac:dyDescent="0.3">
      <c r="A30" s="74"/>
      <c r="B30" s="73"/>
      <c r="C30" s="73"/>
      <c r="D30" s="73"/>
      <c r="E30" s="238" t="s">
        <v>70</v>
      </c>
      <c r="F30" s="4" t="s">
        <v>71</v>
      </c>
      <c r="G30" s="48"/>
      <c r="H30" s="48"/>
      <c r="I30" s="48"/>
      <c r="J30" s="48"/>
      <c r="K30" s="48"/>
      <c r="L30" s="48"/>
      <c r="M30" s="61"/>
      <c r="N30" s="1"/>
      <c r="O30" s="83">
        <f t="shared" si="5"/>
        <v>5.4</v>
      </c>
      <c r="P30" s="63" t="str">
        <f t="shared" si="6"/>
        <v>V2</v>
      </c>
      <c r="Q30" s="332" cm="1">
        <f t="array" ref="Q30">IFERROR(
_xlfn.FORECAST.LINEAR(
O30,
INDEX($AA$25:$AA$58,
MATCH(1,
($Z$25:$Z$58&lt;=O30)*($AA$25:$AA$58&lt;&gt;"x")*($Y$25:$Y$58=P30),
0)
):
INDEX($AA$25:$AA$58,
MATCH(1,
($Z$25:$Z$58&gt;=O30)*($AA$25:$AA$58&lt;&gt;"x")*($Y$25:$Y$58=P30),
0)
),
INDEX($Z$25:$Z$58,
MATCH(1,
($Z$25:$Z$58&lt;=O30)*($AA$25:$AA$58&lt;&gt;"x")*($Y$25:$Y$58=P30),
0)
):
INDEX($Z$25:$Z$58,
MATCH(1,
($Z$25:$Z$58&gt;=O30)*($AA$25:$AA$58&lt;&gt;"x")*($Y$25:$Y$58=P30),
0)
)
),INDEX($AA$25:$AA$58,
MATCH(
MIN(IF(($AA$25:$AA$58&lt;&gt;"x")*($Y$25:$Y$58=P30),ABS($Z$25:$Z$58-O30))),
IF(($AA$25:$AA$58&lt;&gt;"x")*($Y$25:$Y$58=P30),ABS($Z$25:$Z$58-O30)),
0
)))</f>
        <v>-5.0864176570458402E-5</v>
      </c>
      <c r="R30" s="332" cm="1">
        <f t="array" ref="R30">IFERROR(
_xlfn.FORECAST.LINEAR(
O30,
INDEX($AB$25:$AB$58,
MATCH(1,
($Z$25:$Z$58&lt;=O30)*($AB$25:$AB$58&lt;&gt;"x")*($Y$25:$Y$58=P30),
0)
):
INDEX($AB$25:$AB$58,
MATCH(1,
($Z$25:$Z$58&gt;=O30)*($AB$25:$AB$58&lt;&gt;"x")*($Y$25:$Y$58=P30),
0)
),
INDEX($Z$25:$Z$58,
MATCH(1,
($Z$25:$Z$58&lt;=O30)*($AB$25:$AB$58&lt;&gt;"x")*($Y$25:$Y$58=P30),
0)
):
INDEX($Z$25:$Z$58,
MATCH(1,
($Z$25:$Z$58&gt;=O30)*($AB$25:$AB$58&lt;&gt;"x")*($Y$25:$Y$58=P30),
0)
)
),INDEX($AB$25:$AB$58,
MATCH(
MIN(IF(($AB$25:$AB$58&lt;&gt;"x")*($Y$25:$Y$58=P30),ABS($Z$25:$Z$58-O30))),
IF(($AB$25:$AB$58&lt;&gt;"x")*($Y$25:$Y$58=P30),ABS($Z$25:$Z$58-O30)),
0
)))</f>
        <v>-3.2500000000000004E-5</v>
      </c>
      <c r="S30" s="64" cm="1">
        <f t="array" ref="S30">IFERROR(
_xlfn.FORECAST.LINEAR(
O30,
INDEX($AC$25:$AC$58,
MATCH(1,
($Z$25:$Z$58&lt;=O30)*($AC$25:$AC$58&lt;&gt;"x")*($Y$25:$Y$58=P30),
0)
):
INDEX($AC$25:$AC$58,
MATCH(1,
($Z$25:$Z$58&gt;=O30)*($AC$25:$AC$58&lt;&gt;"x")*($Y$25:$Y$58=P30),
0)
),
INDEX($Z$25:$Z$58,
MATCH(1,
($Z$25:$Z$58&lt;=O30)*($AC$25:$AC$58&lt;&gt;"x")*($Y$25:$Y$58=P30),
0)
):
INDEX($Z$25:$Z$58,
MATCH(1,
($Z$25:$Z$58&gt;=O30)*($AC$25:$AC$58&lt;&gt;"x")*($Y$25:$Y$58=P30),
0)
)
),INDEX($AC$25:$AC$58,
MATCH(
MIN(IF(($AC$25:$AC$58&lt;&gt;"x")*($Y$25:$Y$58=P30),ABS($Z$25:$Z$58-O30))),
IF(($AC$25:$AC$58&lt;&gt;"x")*($Y$25:$Y$58=P30),ABS($Z$25:$Z$58-O30)),
0
)))</f>
        <v>-5.2300000000000004E-5</v>
      </c>
      <c r="T30" s="64" cm="1">
        <f t="array" ref="T30">IFERROR(
_xlfn.FORECAST.LINEAR(
O30,
INDEX($AD$25:$AD$58,
MATCH(1,
($Z$25:$Z$58&lt;=O30)*($AD$25:$AD$58&lt;&gt;"x")*($Y$25:$Y$58=P30),
0)
):
INDEX($AD$25:$AD$58,
MATCH(1,
($Z$25:$Z$58&gt;=O30)*($AD$25:$AD$58&lt;&gt;"x")*($Y$25:$Y$58=P30),
0)
),
INDEX($Z$25:$Z$58,
MATCH(1,
($Z$25:$Z$58&lt;=O30)*($AD$25:$AD$58&lt;&gt;"x")*($Y$25:$Y$58=P30),
0)
):
INDEX($Z$25:$Z$58,
MATCH(1,
($Z$25:$Z$58&gt;=O30)*($AD$25:$AD$58&lt;&gt;"x")*($Y$25:$Y$58=P30),
0)
)
),INDEX($AD$25:$AD$58,
MATCH(
MIN(IF(($AD$25:$AD$58&lt;&gt;"x")*($Y$25:$Y$58=P30),ABS($Z$25:$Z$58-O30))),
IF(($AD$25:$AD$58&lt;&gt;"x")*($Y$25:$Y$58=P30),ABS($Z$25:$Z$58-O30)),
0
)))</f>
        <v>-1.3000000000000001E-5</v>
      </c>
      <c r="U30" s="556">
        <f t="shared" si="7"/>
        <v>2.8435936014755831E-5</v>
      </c>
      <c r="V30" s="576">
        <f>AE42</f>
        <v>4.0000000000000003E-5</v>
      </c>
      <c r="W30" s="1"/>
      <c r="X30" s="338"/>
      <c r="Y30" s="66" t="s">
        <v>35</v>
      </c>
      <c r="Z30" s="341">
        <v>100</v>
      </c>
      <c r="AA30" s="357">
        <v>-4.0499999999999998E-3</v>
      </c>
      <c r="AB30" s="339">
        <v>-5.9999999999999995E-4</v>
      </c>
      <c r="AC30" s="340">
        <v>-2.8E-3</v>
      </c>
      <c r="AD30" s="341">
        <v>-5.0000000000000001E-3</v>
      </c>
      <c r="AE30" s="357">
        <v>7.6999999999999996E-4</v>
      </c>
      <c r="AF30" s="1"/>
      <c r="AG30" s="1"/>
      <c r="AH30" s="1"/>
      <c r="AI30" s="1"/>
      <c r="AJ30" s="1"/>
      <c r="AK30" s="1"/>
      <c r="AL30" s="1"/>
    </row>
    <row r="31" spans="1:38" ht="12.75" customHeight="1" x14ac:dyDescent="0.3">
      <c r="A31" s="74"/>
      <c r="B31" s="73"/>
      <c r="C31" s="73"/>
      <c r="D31" s="73"/>
      <c r="E31" s="238" t="s">
        <v>72</v>
      </c>
      <c r="F31" s="4" t="s">
        <v>73</v>
      </c>
      <c r="G31" s="48"/>
      <c r="H31" s="48"/>
      <c r="I31" s="48"/>
      <c r="J31" s="48"/>
      <c r="K31" s="48"/>
      <c r="L31" s="48"/>
      <c r="M31" s="61"/>
      <c r="N31" s="1"/>
      <c r="O31" s="83">
        <f t="shared" si="5"/>
        <v>6</v>
      </c>
      <c r="P31" s="63" t="str">
        <f t="shared" si="6"/>
        <v>V2</v>
      </c>
      <c r="Q31" s="332" cm="1">
        <f t="array" ref="Q31">IFERROR(
_xlfn.FORECAST.LINEAR(
O31,
INDEX($AA$25:$AA$58,
MATCH(1,
($Z$25:$Z$58&lt;=O31)*($AA$25:$AA$58&lt;&gt;"x")*($Y$25:$Y$58=P31),
0)
):
INDEX($AA$25:$AA$58,
MATCH(1,
($Z$25:$Z$58&gt;=O31)*($AA$25:$AA$58&lt;&gt;"x")*($Y$25:$Y$58=P31),
0)
),
INDEX($Z$25:$Z$58,
MATCH(1,
($Z$25:$Z$58&lt;=O31)*($AA$25:$AA$58&lt;&gt;"x")*($Y$25:$Y$58=P31),
0)
):
INDEX($Z$25:$Z$58,
MATCH(1,
($Z$25:$Z$58&gt;=O31)*($AA$25:$AA$58&lt;&gt;"x")*($Y$25:$Y$58=P31),
0)
)
),INDEX($AA$25:$AA$58,
MATCH(
MIN(IF(($AA$25:$AA$58&lt;&gt;"x")*($Y$25:$Y$58=P31),ABS($Z$25:$Z$58-O31))),
IF(($AA$25:$AA$58&lt;&gt;"x")*($Y$25:$Y$58=P31),ABS($Z$25:$Z$58-O31)),
0
)))</f>
        <v>-5.4297113752122236E-5</v>
      </c>
      <c r="R31" s="332" cm="1">
        <f t="array" ref="R31">IFERROR(
_xlfn.FORECAST.LINEAR(
O31,
INDEX($AB$25:$AB$58,
MATCH(1,
($Z$25:$Z$58&lt;=O31)*($AB$25:$AB$58&lt;&gt;"x")*($Y$25:$Y$58=P31),
0)
):
INDEX($AB$25:$AB$58,
MATCH(1,
($Z$25:$Z$58&gt;=O31)*($AB$25:$AB$58&lt;&gt;"x")*($Y$25:$Y$58=P31),
0)
),
INDEX($Z$25:$Z$58,
MATCH(1,
($Z$25:$Z$58&lt;=O31)*($AB$25:$AB$58&lt;&gt;"x")*($Y$25:$Y$58=P31),
0)
):
INDEX($Z$25:$Z$58,
MATCH(1,
($Z$25:$Z$58&gt;=O31)*($AB$25:$AB$58&lt;&gt;"x")*($Y$25:$Y$58=P31),
0)
)
),INDEX($AB$25:$AB$58,
MATCH(
MIN(IF(($AB$25:$AB$58&lt;&gt;"x")*($Y$25:$Y$58=P31),ABS($Z$25:$Z$58-O31))),
IF(($AB$25:$AB$58&lt;&gt;"x")*($Y$25:$Y$58=P31),ABS($Z$25:$Z$58-O31)),
0
)))</f>
        <v>-3.4E-5</v>
      </c>
      <c r="S31" s="64" cm="1">
        <f t="array" ref="S31">IFERROR(
_xlfn.FORECAST.LINEAR(
O31,
INDEX($AC$25:$AC$58,
MATCH(1,
($Z$25:$Z$58&lt;=O31)*($AC$25:$AC$58&lt;&gt;"x")*($Y$25:$Y$58=P31),
0)
):
INDEX($AC$25:$AC$58,
MATCH(1,
($Z$25:$Z$58&gt;=O31)*($AC$25:$AC$58&lt;&gt;"x")*($Y$25:$Y$58=P31),
0)
),
INDEX($Z$25:$Z$58,
MATCH(1,
($Z$25:$Z$58&lt;=O31)*($AC$25:$AC$58&lt;&gt;"x")*($Y$25:$Y$58=P31),
0)
):
INDEX($Z$25:$Z$58,
MATCH(1,
($Z$25:$Z$58&gt;=O31)*($AC$25:$AC$58&lt;&gt;"x")*($Y$25:$Y$58=P31),
0)
)
),INDEX($AC$25:$AC$58,
MATCH(
MIN(IF(($AC$25:$AC$58&lt;&gt;"x")*($Y$25:$Y$58=P31),ABS($Z$25:$Z$58-O31))),
IF(($AC$25:$AC$58&lt;&gt;"x")*($Y$25:$Y$58=P31),ABS($Z$25:$Z$58-O31)),
0
)))</f>
        <v>-5.5000000000000002E-5</v>
      </c>
      <c r="T31" s="64" cm="1">
        <f t="array" ref="T31">IFERROR(
_xlfn.FORECAST.LINEAR(
O31,
INDEX($AD$25:$AD$58,
MATCH(1,
($Z$25:$Z$58&lt;=O31)*($AD$25:$AD$58&lt;&gt;"x")*($Y$25:$Y$58=P31),
0)
):
INDEX($AD$25:$AD$58,
MATCH(1,
($Z$25:$Z$58&gt;=O31)*($AD$25:$AD$58&lt;&gt;"x")*($Y$25:$Y$58=P31),
0)
),
INDEX($Z$25:$Z$58,
MATCH(1,
($Z$25:$Z$58&lt;=O31)*($AD$25:$AD$58&lt;&gt;"x")*($Y$25:$Y$58=P31),
0)
):
INDEX($Z$25:$Z$58,
MATCH(1,
($Z$25:$Z$58&gt;=O31)*($AD$25:$AD$58&lt;&gt;"x")*($Y$25:$Y$58=P31),
0)
)
),INDEX($AD$25:$AD$58,
MATCH(
MIN(IF(($AD$25:$AD$58&lt;&gt;"x")*($Y$25:$Y$58=P31),ABS($Z$25:$Z$58-O31))),
IF(($AD$25:$AD$58&lt;&gt;"x")*($Y$25:$Y$58=P31),ABS($Z$25:$Z$58-O31)),
0
)))</f>
        <v>-9.9999999999999991E-6</v>
      </c>
      <c r="U31" s="556">
        <f t="shared" si="7"/>
        <v>3.1832676494337317E-5</v>
      </c>
      <c r="V31" s="576">
        <f>AE42</f>
        <v>4.0000000000000003E-5</v>
      </c>
      <c r="W31" s="1"/>
      <c r="X31" s="338"/>
      <c r="Y31" s="66" t="s">
        <v>35</v>
      </c>
      <c r="Z31" s="341">
        <v>180</v>
      </c>
      <c r="AA31" s="72" t="s">
        <v>637</v>
      </c>
      <c r="AB31" s="339">
        <v>-5.7999999999999996E-3</v>
      </c>
      <c r="AC31" s="340">
        <v>-8.2000000000000007E-3</v>
      </c>
      <c r="AD31" s="339">
        <v>-7.6E-3</v>
      </c>
      <c r="AE31" s="339">
        <v>1.1000000000000001E-3</v>
      </c>
      <c r="AF31" s="1"/>
      <c r="AG31" s="1"/>
      <c r="AH31" s="1"/>
      <c r="AI31" s="1"/>
      <c r="AJ31" s="1"/>
      <c r="AK31" s="1"/>
      <c r="AL31" s="1"/>
    </row>
    <row r="32" spans="1:38" ht="12.75" customHeight="1" x14ac:dyDescent="0.3">
      <c r="A32" s="74"/>
      <c r="B32" s="73"/>
      <c r="C32" s="73"/>
      <c r="D32" s="73"/>
      <c r="E32" s="238" t="s">
        <v>74</v>
      </c>
      <c r="F32" s="4" t="s">
        <v>75</v>
      </c>
      <c r="G32" s="48"/>
      <c r="H32" s="48"/>
      <c r="I32" s="48"/>
      <c r="J32" s="48"/>
      <c r="K32" s="48"/>
      <c r="L32" s="48"/>
      <c r="M32" s="61"/>
      <c r="N32" s="1"/>
      <c r="O32" s="83">
        <f t="shared" si="5"/>
        <v>30</v>
      </c>
      <c r="P32" s="63" t="str">
        <f t="shared" si="6"/>
        <v>V2</v>
      </c>
      <c r="Q32" s="332" cm="1">
        <f t="array" ref="Q32">IFERROR(
_xlfn.FORECAST.LINEAR(
O32,
INDEX($AA$25:$AA$58,
MATCH(1,
($Z$25:$Z$58&lt;=O32)*($AA$25:$AA$58&lt;&gt;"x")*($Y$25:$Y$58=P32),
0)
):
INDEX($AA$25:$AA$58,
MATCH(1,
($Z$25:$Z$58&gt;=O32)*($AA$25:$AA$58&lt;&gt;"x")*($Y$25:$Y$58=P32),
0)
),
INDEX($Z$25:$Z$58,
MATCH(1,
($Z$25:$Z$58&lt;=O32)*($AA$25:$AA$58&lt;&gt;"x")*($Y$25:$Y$58=P32),
0)
):
INDEX($Z$25:$Z$58,
MATCH(1,
($Z$25:$Z$58&gt;=O32)*($AA$25:$AA$58&lt;&gt;"x")*($Y$25:$Y$58=P32),
0)
)
),INDEX($AA$25:$AA$58,
MATCH(
MIN(IF(($AA$25:$AA$58&lt;&gt;"x")*($Y$25:$Y$58=P32),ABS($Z$25:$Z$58-O32))),
IF(($AA$25:$AA$58&lt;&gt;"x")*($Y$25:$Y$58=P32),ABS($Z$25:$Z$58-O32)),
0
)))</f>
        <v>-6.6790980665991883E-5</v>
      </c>
      <c r="R32" s="332" cm="1">
        <f t="array" ref="R32">IFERROR(
_xlfn.FORECAST.LINEAR(
O32,
INDEX($AB$25:$AB$58,
MATCH(1,
($Z$25:$Z$58&lt;=O32)*($AB$25:$AB$58&lt;&gt;"x")*($Y$25:$Y$58=P32),
0)
):
INDEX($AB$25:$AB$58,
MATCH(1,
($Z$25:$Z$58&gt;=O32)*($AB$25:$AB$58&lt;&gt;"x")*($Y$25:$Y$58=P32),
0)
),
INDEX($Z$25:$Z$58,
MATCH(1,
($Z$25:$Z$58&lt;=O32)*($AB$25:$AB$58&lt;&gt;"x")*($Y$25:$Y$58=P32),
0)
):
INDEX($Z$25:$Z$58,
MATCH(1,
($Z$25:$Z$58&gt;=O32)*($AB$25:$AB$58&lt;&gt;"x")*($Y$25:$Y$58=P32),
0)
)
),INDEX($AB$25:$AB$58,
MATCH(
MIN(IF(($AB$25:$AB$58&lt;&gt;"x")*($Y$25:$Y$58=P32),ABS($Z$25:$Z$58-O32))),
IF(($AB$25:$AB$58&lt;&gt;"x")*($Y$25:$Y$58=P32),ABS($Z$25:$Z$58-O32)),
0
)))</f>
        <v>-4.0000000000000003E-5</v>
      </c>
      <c r="S32" s="64" cm="1">
        <f t="array" ref="S32">IFERROR(
_xlfn.FORECAST.LINEAR(
O32,
INDEX($AC$25:$AC$58,
MATCH(1,
($Z$25:$Z$58&lt;=O32)*($AC$25:$AC$58&lt;&gt;"x")*($Y$25:$Y$58=P32),
0)
):
INDEX($AC$25:$AC$58,
MATCH(1,
($Z$25:$Z$58&gt;=O32)*($AC$25:$AC$58&lt;&gt;"x")*($Y$25:$Y$58=P32),
0)
),
INDEX($Z$25:$Z$58,
MATCH(1,
($Z$25:$Z$58&lt;=O32)*($AC$25:$AC$58&lt;&gt;"x")*($Y$25:$Y$58=P32),
0)
):
INDEX($Z$25:$Z$58,
MATCH(1,
($Z$25:$Z$58&gt;=O32)*($AC$25:$AC$58&lt;&gt;"x")*($Y$25:$Y$58=P32),
0)
)
),INDEX($AC$25:$AC$58,
MATCH(
MIN(IF(($AC$25:$AC$58&lt;&gt;"x")*($Y$25:$Y$58=P32),ABS($Z$25:$Z$58-O32))),
IF(($AC$25:$AC$58&lt;&gt;"x")*($Y$25:$Y$58=P32),ABS($Z$25:$Z$58-O32)),
0
)))</f>
        <v>-5.0000000000000002E-5</v>
      </c>
      <c r="T32" s="64" cm="1">
        <f t="array" ref="T32">IFERROR(
_xlfn.FORECAST.LINEAR(
O32,
INDEX($AD$25:$AD$58,
MATCH(1,
($Z$25:$Z$58&lt;=O32)*($AD$25:$AD$58&lt;&gt;"x")*($Y$25:$Y$58=P32),
0)
):
INDEX($AD$25:$AD$58,
MATCH(1,
($Z$25:$Z$58&gt;=O32)*($AD$25:$AD$58&lt;&gt;"x")*($Y$25:$Y$58=P32),
0)
),
INDEX($Z$25:$Z$58,
MATCH(1,
($Z$25:$Z$58&lt;=O32)*($AD$25:$AD$58&lt;&gt;"x")*($Y$25:$Y$58=P32),
0)
):
INDEX($Z$25:$Z$58,
MATCH(1,
($Z$25:$Z$58&gt;=O32)*($AD$25:$AD$58&lt;&gt;"x")*($Y$25:$Y$58=P32),
0)
)
),INDEX($AD$25:$AD$58,
MATCH(
MIN(IF(($AD$25:$AD$58&lt;&gt;"x")*($Y$25:$Y$58=P32),ABS($Z$25:$Z$58-O32))),
IF(($AD$25:$AD$58&lt;&gt;"x")*($Y$25:$Y$58=P32),ABS($Z$25:$Z$58-O32)),
0
)))</f>
        <v>4.0000000000000003E-5</v>
      </c>
      <c r="U32" s="556">
        <f t="shared" si="7"/>
        <v>4.979133978073132E-5</v>
      </c>
      <c r="V32" s="553">
        <f>AE49</f>
        <v>3.8000000000000002E-4</v>
      </c>
      <c r="W32" s="1"/>
      <c r="X32" s="338"/>
      <c r="Y32" s="66" t="s">
        <v>35</v>
      </c>
      <c r="Z32" s="358">
        <v>200</v>
      </c>
      <c r="AA32" s="341">
        <v>-7.1999999999999998E-3</v>
      </c>
      <c r="AB32" s="339">
        <v>-2.1999999999999999E-2</v>
      </c>
      <c r="AC32" s="340">
        <v>-9.4999999999999998E-3</v>
      </c>
      <c r="AD32" s="339">
        <v>-7.7000000000000002E-3</v>
      </c>
      <c r="AE32" s="341">
        <v>2E-3</v>
      </c>
      <c r="AF32" s="1"/>
      <c r="AG32" s="1"/>
      <c r="AH32" s="1"/>
      <c r="AI32" s="1"/>
      <c r="AJ32" s="1"/>
      <c r="AK32" s="1"/>
      <c r="AL32" s="1"/>
    </row>
    <row r="33" spans="1:38" ht="12.75" customHeight="1" x14ac:dyDescent="0.3">
      <c r="A33" s="74"/>
      <c r="B33" s="73"/>
      <c r="C33" s="73"/>
      <c r="D33" s="73"/>
      <c r="E33" s="48"/>
      <c r="F33" s="4"/>
      <c r="G33" s="48"/>
      <c r="H33" s="48"/>
      <c r="I33" s="48"/>
      <c r="J33" s="48"/>
      <c r="K33" s="48"/>
      <c r="L33" s="48"/>
      <c r="M33" s="61"/>
      <c r="N33" s="1"/>
      <c r="O33" s="62">
        <f t="shared" si="5"/>
        <v>54</v>
      </c>
      <c r="P33" s="63" t="str">
        <f t="shared" si="6"/>
        <v>V3</v>
      </c>
      <c r="Q33" s="332" cm="1">
        <f t="array" ref="Q33">IFERROR(
_xlfn.FORECAST.LINEAR(
O33,
INDEX($AA$25:$AA$58,
MATCH(1,
($Z$25:$Z$58&lt;=O33)*($AA$25:$AA$58&lt;&gt;"x")*($Y$25:$Y$58=P33),
0)
):
INDEX($AA$25:$AA$58,
MATCH(1,
($Z$25:$Z$58&gt;=O33)*($AA$25:$AA$58&lt;&gt;"x")*($Y$25:$Y$58=P33),
0)
),
INDEX($Z$25:$Z$58,
MATCH(1,
($Z$25:$Z$58&lt;=O33)*($AA$25:$AA$58&lt;&gt;"x")*($Y$25:$Y$58=P33),
0)
):
INDEX($Z$25:$Z$58,
MATCH(1,
($Z$25:$Z$58&gt;=O33)*($AA$25:$AA$58&lt;&gt;"x")*($Y$25:$Y$58=P33),
0)
)
),INDEX($AA$25:$AA$58,
MATCH(
MIN(IF(($AA$25:$AA$58&lt;&gt;"x")*($Y$25:$Y$58=P33),ABS($Z$25:$Z$58-O33))),
IF(($AA$25:$AA$58&lt;&gt;"x")*($Y$25:$Y$58=P33),ABS($Z$25:$Z$58-O33)),
0
)))</f>
        <v>-1.2865671641791045E-4</v>
      </c>
      <c r="R33" s="332" cm="1">
        <f t="array" ref="R33">IFERROR(
_xlfn.FORECAST.LINEAR(
O33,
INDEX($AB$25:$AB$58,
MATCH(1,
($Z$25:$Z$58&lt;=O33)*($AB$25:$AB$58&lt;&gt;"x")*($Y$25:$Y$58=P33),
0)
):
INDEX($AB$25:$AB$58,
MATCH(1,
($Z$25:$Z$58&gt;=O33)*($AB$25:$AB$58&lt;&gt;"x")*($Y$25:$Y$58=P33),
0)
),
INDEX($Z$25:$Z$58,
MATCH(1,
($Z$25:$Z$58&lt;=O33)*($AB$25:$AB$58&lt;&gt;"x")*($Y$25:$Y$58=P33),
0)
):
INDEX($Z$25:$Z$58,
MATCH(1,
($Z$25:$Z$58&gt;=O33)*($AB$25:$AB$58&lt;&gt;"x")*($Y$25:$Y$58=P33),
0)
)
),INDEX($AB$25:$AB$58,
MATCH(
MIN(IF(($AB$25:$AB$58&lt;&gt;"x")*($Y$25:$Y$58=P33),ABS($Z$25:$Z$58-O33))),
IF(($AB$25:$AB$58&lt;&gt;"x")*($Y$25:$Y$58=P33),ABS($Z$25:$Z$58-O33)),
0
)))</f>
        <v>2.0000000000000001E-4</v>
      </c>
      <c r="S33" s="64" cm="1">
        <f t="array" ref="S33">IFERROR(
_xlfn.FORECAST.LINEAR(
O33,
INDEX($AC$25:$AC$58,
MATCH(1,
($Z$25:$Z$58&lt;=O33)*($AC$25:$AC$58&lt;&gt;"x")*($Y$25:$Y$58=P33),
0)
):
INDEX($AC$25:$AC$58,
MATCH(1,
($Z$25:$Z$58&gt;=O33)*($AC$25:$AC$58&lt;&gt;"x")*($Y$25:$Y$58=P33),
0)
),
INDEX($Z$25:$Z$58,
MATCH(1,
($Z$25:$Z$58&lt;=O33)*($AC$25:$AC$58&lt;&gt;"x")*($Y$25:$Y$58=P33),
0)
):
INDEX($Z$25:$Z$58,
MATCH(1,
($Z$25:$Z$58&gt;=O33)*($AC$25:$AC$58&lt;&gt;"x")*($Y$25:$Y$58=P33),
0)
)
),INDEX($AC$25:$AC$58,
MATCH(
MIN(IF(($AC$25:$AC$58&lt;&gt;"x")*($Y$25:$Y$58=P33),ABS($Z$25:$Z$58-O33))),
IF(($AC$25:$AC$58&lt;&gt;"x")*($Y$25:$Y$58=P33),ABS($Z$25:$Z$58-O33)),
0
)))</f>
        <v>1E-4</v>
      </c>
      <c r="T33" s="64" cm="1">
        <f t="array" ref="T33">IFERROR(
_xlfn.FORECAST.LINEAR(
O33,
INDEX($AD$25:$AD$58,
MATCH(1,
($Z$25:$Z$58&lt;=O33)*($AD$25:$AD$58&lt;&gt;"x")*($Y$25:$Y$58=P33),
0)
):
INDEX($AD$25:$AD$58,
MATCH(1,
($Z$25:$Z$58&gt;=O33)*($AD$25:$AD$58&lt;&gt;"x")*($Y$25:$Y$58=P33),
0)
),
INDEX($Z$25:$Z$58,
MATCH(1,
($Z$25:$Z$58&lt;=O33)*($AD$25:$AD$58&lt;&gt;"x")*($Y$25:$Y$58=P33),
0)
):
INDEX($Z$25:$Z$58,
MATCH(1,
($Z$25:$Z$58&gt;=O33)*($AD$25:$AD$58&lt;&gt;"x")*($Y$25:$Y$58=P33),
0)
)
),INDEX($AD$25:$AD$58,
MATCH(
MIN(IF(($AD$25:$AD$58&lt;&gt;"x")*($Y$25:$Y$58=P33),ABS($Z$25:$Z$58-O33))),
IF(($AD$25:$AD$58&lt;&gt;"x")*($Y$25:$Y$58=P33),ABS($Z$25:$Z$58-O33)),
0
)))</f>
        <v>6.9999999999999999E-4</v>
      </c>
      <c r="U33" s="556">
        <f t="shared" si="7"/>
        <v>3.8577266281446021E-4</v>
      </c>
      <c r="V33" s="553">
        <f>AE51</f>
        <v>7.6999999999999996E-4</v>
      </c>
      <c r="W33" s="1"/>
      <c r="X33" s="359"/>
      <c r="Y33" s="66" t="s">
        <v>35</v>
      </c>
      <c r="Z33" s="361">
        <v>320</v>
      </c>
      <c r="AA33" s="343">
        <v>-1.06E-2</v>
      </c>
      <c r="AB33" s="77" t="s">
        <v>637</v>
      </c>
      <c r="AC33" s="77" t="s">
        <v>637</v>
      </c>
      <c r="AD33" s="77" t="s">
        <v>637</v>
      </c>
      <c r="AE33" s="343">
        <v>3.2000000000000002E-3</v>
      </c>
      <c r="AF33" s="1"/>
      <c r="AG33" s="1"/>
      <c r="AH33" s="1"/>
      <c r="AI33" s="1"/>
      <c r="AJ33" s="1"/>
      <c r="AK33" s="1"/>
      <c r="AL33" s="1"/>
    </row>
    <row r="34" spans="1:38" ht="12.75" customHeight="1" x14ac:dyDescent="0.3">
      <c r="A34" s="71" t="s">
        <v>76</v>
      </c>
      <c r="B34" s="1"/>
      <c r="C34" s="1"/>
      <c r="D34" s="1">
        <f>A2</f>
        <v>600</v>
      </c>
      <c r="E34" s="80" t="str">
        <f>B2</f>
        <v>mV</v>
      </c>
      <c r="F34" s="81"/>
      <c r="G34" s="82"/>
      <c r="H34" s="12"/>
      <c r="I34" s="12"/>
      <c r="J34" s="12"/>
      <c r="K34" s="12"/>
      <c r="L34" s="12"/>
      <c r="M34" s="286" t="s">
        <v>77</v>
      </c>
      <c r="N34" s="1"/>
      <c r="O34" s="62">
        <f t="shared" si="5"/>
        <v>60</v>
      </c>
      <c r="P34" s="63" t="str">
        <f t="shared" si="6"/>
        <v>V3</v>
      </c>
      <c r="Q34" s="332" cm="1">
        <f t="array" ref="Q34">IFERROR(
_xlfn.FORECAST.LINEAR(
O34,
INDEX($AA$25:$AA$58,
MATCH(1,
($Z$25:$Z$58&lt;=O34)*($AA$25:$AA$58&lt;&gt;"x")*($Y$25:$Y$58=P34),
0)
):
INDEX($AA$25:$AA$58,
MATCH(1,
($Z$25:$Z$58&gt;=O34)*($AA$25:$AA$58&lt;&gt;"x")*($Y$25:$Y$58=P34),
0)
),
INDEX($Z$25:$Z$58,
MATCH(1,
($Z$25:$Z$58&lt;=O34)*($AA$25:$AA$58&lt;&gt;"x")*($Y$25:$Y$58=P34),
0)
):
INDEX($Z$25:$Z$58,
MATCH(1,
($Z$25:$Z$58&gt;=O34)*($AA$25:$AA$58&lt;&gt;"x")*($Y$25:$Y$58=P34),
0)
)
),INDEX($AA$25:$AA$58,
MATCH(
MIN(IF(($AA$25:$AA$58&lt;&gt;"x")*($Y$25:$Y$58=P34),ABS($Z$25:$Z$58-O34))),
IF(($AA$25:$AA$58&lt;&gt;"x")*($Y$25:$Y$58=P34),ABS($Z$25:$Z$58-O34)),
0
)))</f>
        <v>-1.1970149253731342E-4</v>
      </c>
      <c r="R34" s="332" cm="1">
        <f t="array" ref="R34">IFERROR(
_xlfn.FORECAST.LINEAR(
O34,
INDEX($AB$25:$AB$58,
MATCH(1,
($Z$25:$Z$58&lt;=O34)*($AB$25:$AB$58&lt;&gt;"x")*($Y$25:$Y$58=P34),
0)
):
INDEX($AB$25:$AB$58,
MATCH(1,
($Z$25:$Z$58&gt;=O34)*($AB$25:$AB$58&lt;&gt;"x")*($Y$25:$Y$58=P34),
0)
),
INDEX($Z$25:$Z$58,
MATCH(1,
($Z$25:$Z$58&lt;=O34)*($AB$25:$AB$58&lt;&gt;"x")*($Y$25:$Y$58=P34),
0)
):
INDEX($Z$25:$Z$58,
MATCH(1,
($Z$25:$Z$58&gt;=O34)*($AB$25:$AB$58&lt;&gt;"x")*($Y$25:$Y$58=P34),
0)
)
),INDEX($AB$25:$AB$58,
MATCH(
MIN(IF(($AB$25:$AB$58&lt;&gt;"x")*($Y$25:$Y$58=P34),ABS($Z$25:$Z$58-O34))),
IF(($AB$25:$AB$58&lt;&gt;"x")*($Y$25:$Y$58=P34),ABS($Z$25:$Z$58-O34)),
0
)))</f>
        <v>2.0000000000000001E-4</v>
      </c>
      <c r="S34" s="64" cm="1">
        <f t="array" ref="S34">IFERROR(
_xlfn.FORECAST.LINEAR(
O34,
INDEX($AC$25:$AC$58,
MATCH(1,
($Z$25:$Z$58&lt;=O34)*($AC$25:$AC$58&lt;&gt;"x")*($Y$25:$Y$58=P34),
0)
):
INDEX($AC$25:$AC$58,
MATCH(1,
($Z$25:$Z$58&gt;=O34)*($AC$25:$AC$58&lt;&gt;"x")*($Y$25:$Y$58=P34),
0)
),
INDEX($Z$25:$Z$58,
MATCH(1,
($Z$25:$Z$58&lt;=O34)*($AC$25:$AC$58&lt;&gt;"x")*($Y$25:$Y$58=P34),
0)
):
INDEX($Z$25:$Z$58,
MATCH(1,
($Z$25:$Z$58&gt;=O34)*($AC$25:$AC$58&lt;&gt;"x")*($Y$25:$Y$58=P34),
0)
)
),INDEX($AC$25:$AC$58,
MATCH(
MIN(IF(($AC$25:$AC$58&lt;&gt;"x")*($Y$25:$Y$58=P34),ABS($Z$25:$Z$58-O34))),
IF(($AC$25:$AC$58&lt;&gt;"x")*($Y$25:$Y$58=P34),ABS($Z$25:$Z$58-O34)),
0
)))</f>
        <v>1E-4</v>
      </c>
      <c r="T34" s="64" cm="1">
        <f t="array" ref="T34">IFERROR(
_xlfn.FORECAST.LINEAR(
O34,
INDEX($AD$25:$AD$58,
MATCH(1,
($Z$25:$Z$58&lt;=O34)*($AD$25:$AD$58&lt;&gt;"x")*($Y$25:$Y$58=P34),
0)
):
INDEX($AD$25:$AD$58,
MATCH(1,
($Z$25:$Z$58&gt;=O34)*($AD$25:$AD$58&lt;&gt;"x")*($Y$25:$Y$58=P34),
0)
),
INDEX($Z$25:$Z$58,
MATCH(1,
($Z$25:$Z$58&lt;=O34)*($AD$25:$AD$58&lt;&gt;"x")*($Y$25:$Y$58=P34),
0)
):
INDEX($Z$25:$Z$58,
MATCH(1,
($Z$25:$Z$58&gt;=O34)*($AD$25:$AD$58&lt;&gt;"x")*($Y$25:$Y$58=P34),
0)
)
),INDEX($AD$25:$AD$58,
MATCH(
MIN(IF(($AD$25:$AD$58&lt;&gt;"x")*($Y$25:$Y$58=P34),ABS($Z$25:$Z$58-O34))),
IF(($AD$25:$AD$58&lt;&gt;"x")*($Y$25:$Y$58=P34),ABS($Z$25:$Z$58-O34)),
0
)))</f>
        <v>6.9999999999999999E-4</v>
      </c>
      <c r="U34" s="556">
        <f t="shared" si="7"/>
        <v>3.8317343802185446E-4</v>
      </c>
      <c r="V34" s="553">
        <f>AE51</f>
        <v>7.6999999999999996E-4</v>
      </c>
      <c r="W34" s="1"/>
      <c r="X34" s="338">
        <v>3.2999990000000001</v>
      </c>
      <c r="Y34" s="61" t="s">
        <v>640</v>
      </c>
      <c r="Z34" s="362">
        <v>0.33</v>
      </c>
      <c r="AA34" s="350">
        <v>-5.1000000000000003E-6</v>
      </c>
      <c r="AB34" s="68" t="s">
        <v>637</v>
      </c>
      <c r="AC34" s="68" t="s">
        <v>637</v>
      </c>
      <c r="AD34" s="68" t="s">
        <v>637</v>
      </c>
      <c r="AE34" s="350">
        <v>3.1999999999999999E-6</v>
      </c>
      <c r="AF34" s="1"/>
      <c r="AG34" s="1"/>
      <c r="AH34" s="1"/>
      <c r="AI34" s="1"/>
      <c r="AJ34" s="1"/>
      <c r="AK34" s="1"/>
      <c r="AL34" s="1"/>
    </row>
    <row r="35" spans="1:38" ht="12.75" customHeight="1" x14ac:dyDescent="0.3">
      <c r="A35" s="84" t="s">
        <v>2</v>
      </c>
      <c r="B35" s="85"/>
      <c r="C35" s="85"/>
      <c r="D35" s="80">
        <f>C2</f>
        <v>60</v>
      </c>
      <c r="E35" s="86" t="str">
        <f>D2</f>
        <v>mV</v>
      </c>
      <c r="F35" s="87"/>
      <c r="G35" s="88"/>
      <c r="H35" s="89">
        <v>0.1</v>
      </c>
      <c r="I35" s="90"/>
      <c r="J35" s="90"/>
      <c r="K35" s="90"/>
      <c r="L35" s="90"/>
      <c r="M35" s="76"/>
      <c r="N35" s="1"/>
      <c r="O35" s="62">
        <f t="shared" si="5"/>
        <v>300</v>
      </c>
      <c r="P35" s="63" t="str">
        <f t="shared" si="6"/>
        <v>V3</v>
      </c>
      <c r="Q35" s="332" cm="1">
        <f t="array" ref="Q35">IFERROR(
_xlfn.FORECAST.LINEAR(
O35,
INDEX($AA$25:$AA$58,
MATCH(1,
($Z$25:$Z$58&lt;=O35)*($AA$25:$AA$58&lt;&gt;"x")*($Y$25:$Y$58=P35),
0)
):
INDEX($AA$25:$AA$58,
MATCH(1,
($Z$25:$Z$58&gt;=O35)*($AA$25:$AA$58&lt;&gt;"x")*($Y$25:$Y$58=P35),
0)
),
INDEX($Z$25:$Z$58,
MATCH(1,
($Z$25:$Z$58&lt;=O35)*($AA$25:$AA$58&lt;&gt;"x")*($Y$25:$Y$58=P35),
0)
):
INDEX($Z$25:$Z$58,
MATCH(1,
($Z$25:$Z$58&gt;=O35)*($AA$25:$AA$58&lt;&gt;"x")*($Y$25:$Y$58=P35),
0)
)
),INDEX($AA$25:$AA$58,
MATCH(
MIN(IF(($AA$25:$AA$58&lt;&gt;"x")*($Y$25:$Y$58=P35),ABS($Z$25:$Z$58-O35))),
IF(($AA$25:$AA$58&lt;&gt;"x")*($Y$25:$Y$58=P35),ABS($Z$25:$Z$58-O35)),
0
)))</f>
        <v>2.3796148079319152E-4</v>
      </c>
      <c r="R35" s="332" cm="1">
        <f t="array" ref="R35">IFERROR(
_xlfn.FORECAST.LINEAR(
O35,
INDEX($AB$25:$AB$58,
MATCH(1,
($Z$25:$Z$58&lt;=O35)*($AB$25:$AB$58&lt;&gt;"x")*($Y$25:$Y$58=P35),
0)
):
INDEX($AB$25:$AB$58,
MATCH(1,
($Z$25:$Z$58&gt;=O35)*($AB$25:$AB$58&lt;&gt;"x")*($Y$25:$Y$58=P35),
0)
),
INDEX($Z$25:$Z$58,
MATCH(1,
($Z$25:$Z$58&lt;=O35)*($AB$25:$AB$58&lt;&gt;"x")*($Y$25:$Y$58=P35),
0)
):
INDEX($Z$25:$Z$58,
MATCH(1,
($Z$25:$Z$58&gt;=O35)*($AB$25:$AB$58&lt;&gt;"x")*($Y$25:$Y$58=P35),
0)
)
),INDEX($AB$25:$AB$58,
MATCH(
MIN(IF(($AB$25:$AB$58&lt;&gt;"x")*($Y$25:$Y$58=P35),ABS($Z$25:$Z$58-O35))),
IF(($AB$25:$AB$58&lt;&gt;"x")*($Y$25:$Y$58=P35),ABS($Z$25:$Z$58-O35)),
0
)))</f>
        <v>2.9999999999999997E-4</v>
      </c>
      <c r="S35" s="64" cm="1">
        <f t="array" ref="S35">IFERROR(
_xlfn.FORECAST.LINEAR(
O35,
INDEX($AC$25:$AC$58,
MATCH(1,
($Z$25:$Z$58&lt;=O35)*($AC$25:$AC$58&lt;&gt;"x")*($Y$25:$Y$58=P35),
0)
):
INDEX($AC$25:$AC$58,
MATCH(1,
($Z$25:$Z$58&gt;=O35)*($AC$25:$AC$58&lt;&gt;"x")*($Y$25:$Y$58=P35),
0)
),
INDEX($Z$25:$Z$58,
MATCH(1,
($Z$25:$Z$58&lt;=O35)*($AC$25:$AC$58&lt;&gt;"x")*($Y$25:$Y$58=P35),
0)
):
INDEX($Z$25:$Z$58,
MATCH(1,
($Z$25:$Z$58&gt;=O35)*($AC$25:$AC$58&lt;&gt;"x")*($Y$25:$Y$58=P35),
0)
)
),INDEX($AC$25:$AC$58,
MATCH(
MIN(IF(($AC$25:$AC$58&lt;&gt;"x")*($Y$25:$Y$58=P35),ABS($Z$25:$Z$58-O35))),
IF(($AC$25:$AC$58&lt;&gt;"x")*($Y$25:$Y$58=P35),ABS($Z$25:$Z$58-O35)),
0
)))</f>
        <v>2.0000000000000001E-4</v>
      </c>
      <c r="T35" s="64" cm="1">
        <f t="array" ref="T35">IFERROR(
_xlfn.FORECAST.LINEAR(
O35,
INDEX($AD$25:$AD$58,
MATCH(1,
($Z$25:$Z$58&lt;=O35)*($AD$25:$AD$58&lt;&gt;"x")*($Y$25:$Y$58=P35),
0)
):
INDEX($AD$25:$AD$58,
MATCH(1,
($Z$25:$Z$58&gt;=O35)*($AD$25:$AD$58&lt;&gt;"x")*($Y$25:$Y$58=P35),
0)
),
INDEX($Z$25:$Z$58,
MATCH(1,
($Z$25:$Z$58&lt;=O35)*($AD$25:$AD$58&lt;&gt;"x")*($Y$25:$Y$58=P35),
0)
):
INDEX($Z$25:$Z$58,
MATCH(1,
($Z$25:$Z$58&gt;=O35)*($AD$25:$AD$58&lt;&gt;"x")*($Y$25:$Y$58=P35),
0)
)
),INDEX($AD$25:$AD$58,
MATCH(
MIN(IF(($AD$25:$AD$58&lt;&gt;"x")*($Y$25:$Y$58=P35),ABS($Z$25:$Z$58-O35))),
IF(($AD$25:$AD$58&lt;&gt;"x")*($Y$25:$Y$58=P35),ABS($Z$25:$Z$58-O35)),
0
)))</f>
        <v>1.2999999999999999E-3</v>
      </c>
      <c r="U35" s="556">
        <f t="shared" si="7"/>
        <v>5.2467480806016418E-4</v>
      </c>
      <c r="V35" s="553">
        <f>AE54</f>
        <v>3.8E-3</v>
      </c>
      <c r="W35" s="1"/>
      <c r="X35" s="336"/>
      <c r="Y35" s="61" t="s">
        <v>640</v>
      </c>
      <c r="Z35" s="344">
        <v>1</v>
      </c>
      <c r="AA35" s="339">
        <v>-1.1399999999999999E-5</v>
      </c>
      <c r="AB35" s="344">
        <v>-9.0000000000000002E-6</v>
      </c>
      <c r="AC35" s="345">
        <v>-1.4E-5</v>
      </c>
      <c r="AD35" s="344">
        <v>-6.0000000000000002E-6</v>
      </c>
      <c r="AE35" s="339">
        <v>5.5999999999999997E-6</v>
      </c>
      <c r="AF35" s="1"/>
      <c r="AG35" s="1"/>
      <c r="AH35" s="1"/>
      <c r="AI35" s="1"/>
      <c r="AJ35" s="1"/>
      <c r="AK35" s="1"/>
      <c r="AL35" s="1"/>
    </row>
    <row r="36" spans="1:38" ht="12.75" customHeight="1" x14ac:dyDescent="0.3">
      <c r="A36" s="91" t="s">
        <v>78</v>
      </c>
      <c r="B36" s="91" t="s">
        <v>79</v>
      </c>
      <c r="C36" s="91" t="s">
        <v>10</v>
      </c>
      <c r="D36" s="91" t="s">
        <v>80</v>
      </c>
      <c r="E36" s="91" t="s">
        <v>81</v>
      </c>
      <c r="F36" s="92" t="s">
        <v>82</v>
      </c>
      <c r="G36" s="91" t="s">
        <v>83</v>
      </c>
      <c r="H36" s="91" t="s">
        <v>84</v>
      </c>
      <c r="I36" s="91" t="s">
        <v>85</v>
      </c>
      <c r="J36" s="91" t="s">
        <v>86</v>
      </c>
      <c r="K36" s="91" t="s">
        <v>87</v>
      </c>
      <c r="L36" s="91" t="s">
        <v>88</v>
      </c>
      <c r="M36" s="91" t="s">
        <v>89</v>
      </c>
      <c r="N36" s="1"/>
      <c r="O36" s="100">
        <f t="shared" si="5"/>
        <v>540</v>
      </c>
      <c r="P36" s="63" t="str">
        <f t="shared" si="6"/>
        <v>V4</v>
      </c>
      <c r="Q36" s="332" cm="1">
        <f t="array" ref="Q36">IFERROR(
_xlfn.FORECAST.LINEAR(
O36,
INDEX($AA$25:$AA$58,
MATCH(1,
($Z$25:$Z$58&lt;=O36)*($AA$25:$AA$58&lt;&gt;"x")*($Y$25:$Y$58=P36),
0)
):
INDEX($AA$25:$AA$58,
MATCH(1,
($Z$25:$Z$58&gt;=O36)*($AA$25:$AA$58&lt;&gt;"x")*($Y$25:$Y$58=P36),
0)
),
INDEX($Z$25:$Z$58,
MATCH(1,
($Z$25:$Z$58&lt;=O36)*($AA$25:$AA$58&lt;&gt;"x")*($Y$25:$Y$58=P36),
0)
):
INDEX($Z$25:$Z$58,
MATCH(1,
($Z$25:$Z$58&gt;=O36)*($AA$25:$AA$58&lt;&gt;"x")*($Y$25:$Y$58=P36),
0)
)
),INDEX($AA$25:$AA$58,
MATCH(
MIN(IF(($AA$25:$AA$58&lt;&gt;"x")*($Y$25:$Y$58=P36),ABS($Z$25:$Z$58-O36))),
IF(($AA$25:$AA$58&lt;&gt;"x")*($Y$25:$Y$58=P36),ABS($Z$25:$Z$58-O36)),
0
)))</f>
        <v>-3.7769864626250732E-3</v>
      </c>
      <c r="R36" s="332" cm="1">
        <f t="array" ref="R36">IFERROR(
_xlfn.FORECAST.LINEAR(
O36,
INDEX($AB$25:$AB$58,
MATCH(1,
($Z$25:$Z$58&lt;=O36)*($AB$25:$AB$58&lt;&gt;"x")*($Y$25:$Y$58=P36),
0)
):
INDEX($AB$25:$AB$58,
MATCH(1,
($Z$25:$Z$58&gt;=O36)*($AB$25:$AB$58&lt;&gt;"x")*($Y$25:$Y$58=P36),
0)
),
INDEX($Z$25:$Z$58,
MATCH(1,
($Z$25:$Z$58&lt;=O36)*($AB$25:$AB$58&lt;&gt;"x")*($Y$25:$Y$58=P36),
0)
):
INDEX($Z$25:$Z$58,
MATCH(1,
($Z$25:$Z$58&gt;=O36)*($AB$25:$AB$58&lt;&gt;"x")*($Y$25:$Y$58=P36),
0)
)
),INDEX($AB$25:$AB$58,
MATCH(
MIN(IF(($AB$25:$AB$58&lt;&gt;"x")*($Y$25:$Y$58=P36),ABS($Z$25:$Z$58-O36))),
IF(($AB$25:$AB$58&lt;&gt;"x")*($Y$25:$Y$58=P36),ABS($Z$25:$Z$58-O36)),
0
)))</f>
        <v>-2.2200000000000002E-3</v>
      </c>
      <c r="S36" s="64" cm="1">
        <f t="array" ref="S36">IFERROR(
_xlfn.FORECAST.LINEAR(
O36,
INDEX($AC$25:$AC$58,
MATCH(1,
($Z$25:$Z$58&lt;=O36)*($AC$25:$AC$58&lt;&gt;"x")*($Y$25:$Y$58=P36),
0)
):
INDEX($AC$25:$AC$58,
MATCH(1,
($Z$25:$Z$58&gt;=O36)*($AC$25:$AC$58&lt;&gt;"x")*($Y$25:$Y$58=P36),
0)
),
INDEX($Z$25:$Z$58,
MATCH(1,
($Z$25:$Z$58&lt;=O36)*($AC$25:$AC$58&lt;&gt;"x")*($Y$25:$Y$58=P36),
0)
):
INDEX($Z$25:$Z$58,
MATCH(1,
($Z$25:$Z$58&gt;=O36)*($AC$25:$AC$58&lt;&gt;"x")*($Y$25:$Y$58=P36),
0)
)
),INDEX($AC$25:$AC$58,
MATCH(
MIN(IF(($AC$25:$AC$58&lt;&gt;"x")*($Y$25:$Y$58=P36),ABS($Z$25:$Z$58-O36))),
IF(($AC$25:$AC$58&lt;&gt;"x")*($Y$25:$Y$58=P36),ABS($Z$25:$Z$58-O36)),
0
)))</f>
        <v>-3.6866666666666662E-3</v>
      </c>
      <c r="T36" s="64" cm="1">
        <f t="array" ref="T36">IFERROR(
_xlfn.FORECAST.LINEAR(
O36,
INDEX($AD$25:$AD$58,
MATCH(1,
($Z$25:$Z$58&lt;=O36)*($AD$25:$AD$58&lt;&gt;"x")*($Y$25:$Y$58=P36),
0)
):
INDEX($AD$25:$AD$58,
MATCH(1,
($Z$25:$Z$58&gt;=O36)*($AD$25:$AD$58&lt;&gt;"x")*($Y$25:$Y$58=P36),
0)
),
INDEX($Z$25:$Z$58,
MATCH(1,
($Z$25:$Z$58&lt;=O36)*($AD$25:$AD$58&lt;&gt;"x")*($Y$25:$Y$58=P36),
0)
):
INDEX($Z$25:$Z$58,
MATCH(1,
($Z$25:$Z$58&gt;=O36)*($AD$25:$AD$58&lt;&gt;"x")*($Y$25:$Y$58=P36),
0)
)
),INDEX($AD$25:$AD$58,
MATCH(
MIN(IF(($AD$25:$AD$58&lt;&gt;"x")*($Y$25:$Y$58=P36),ABS($Z$25:$Z$58-O36))),
IF(($AD$25:$AD$58&lt;&gt;"x")*($Y$25:$Y$58=P36),ABS($Z$25:$Z$58-O36)),
0
)))</f>
        <v>1.4399999999999999E-3</v>
      </c>
      <c r="U36" s="556">
        <f t="shared" si="7"/>
        <v>3.1218432030756609E-3</v>
      </c>
      <c r="V36" s="553">
        <f>AE57</f>
        <v>6.4000000000000003E-3</v>
      </c>
      <c r="W36" s="1"/>
      <c r="X36" s="338"/>
      <c r="Y36" s="61" t="s">
        <v>640</v>
      </c>
      <c r="Z36" s="344">
        <v>1.8</v>
      </c>
      <c r="AA36" s="339">
        <v>-1.66E-5</v>
      </c>
      <c r="AB36" s="339">
        <v>-1.2999999999999999E-5</v>
      </c>
      <c r="AC36" s="340">
        <v>-1.7E-5</v>
      </c>
      <c r="AD36" s="339">
        <v>-3.0000000000000001E-6</v>
      </c>
      <c r="AE36" s="339">
        <v>9.3000000000000007E-6</v>
      </c>
      <c r="AF36" s="1"/>
      <c r="AG36" s="1"/>
      <c r="AH36" s="1"/>
      <c r="AI36" s="1"/>
      <c r="AJ36" s="1"/>
      <c r="AK36" s="1"/>
      <c r="AL36" s="1"/>
    </row>
    <row r="37" spans="1:38" ht="12.75" customHeight="1" x14ac:dyDescent="0.3">
      <c r="A37" s="93" t="s">
        <v>90</v>
      </c>
      <c r="B37" s="94" t="s">
        <v>91</v>
      </c>
      <c r="C37" s="94" t="s">
        <v>42</v>
      </c>
      <c r="D37" s="95" t="str">
        <f>E35</f>
        <v>mV</v>
      </c>
      <c r="E37" s="94" t="s">
        <v>631</v>
      </c>
      <c r="F37" s="94">
        <f>STDEV(Data!E28:N28)/SQRT(5)</f>
        <v>0</v>
      </c>
      <c r="G37" s="94">
        <v>1</v>
      </c>
      <c r="H37" s="94">
        <f>5-1</f>
        <v>4</v>
      </c>
      <c r="I37" s="94">
        <f t="shared" ref="I37:I41" si="8">(F37)/G37</f>
        <v>0</v>
      </c>
      <c r="J37" s="94">
        <v>1</v>
      </c>
      <c r="K37" s="94">
        <f t="shared" ref="K37:K41" si="9">I37*J37</f>
        <v>0</v>
      </c>
      <c r="L37" s="94">
        <f t="shared" ref="L37:L41" si="10">K37^2</f>
        <v>0</v>
      </c>
      <c r="M37" s="94">
        <f t="shared" ref="M37:M41" si="11">(K37^4)/H37</f>
        <v>0</v>
      </c>
      <c r="N37" s="1"/>
      <c r="O37" s="62">
        <f t="shared" si="5"/>
        <v>100</v>
      </c>
      <c r="P37" s="63" t="str">
        <f t="shared" si="6"/>
        <v>V3</v>
      </c>
      <c r="Q37" s="332" cm="1">
        <f t="array" ref="Q37">IFERROR(
_xlfn.FORECAST.LINEAR(
O37,
INDEX($AA$25:$AA$58,
MATCH(1,
($Z$25:$Z$58&lt;=O37)*($AA$25:$AA$58&lt;&gt;"x")*($Y$25:$Y$58=P37),
0)
):
INDEX($AA$25:$AA$58,
MATCH(1,
($Z$25:$Z$58&gt;=O37)*($AA$25:$AA$58&lt;&gt;"x")*($Y$25:$Y$58=P37),
0)
),
INDEX($Z$25:$Z$58,
MATCH(1,
($Z$25:$Z$58&lt;=O37)*($AA$25:$AA$58&lt;&gt;"x")*($Y$25:$Y$58=P37),
0)
):
INDEX($Z$25:$Z$58,
MATCH(1,
($Z$25:$Z$58&gt;=O37)*($AA$25:$AA$58&lt;&gt;"x")*($Y$25:$Y$58=P37),
0)
)
),INDEX($AA$25:$AA$58,
MATCH(
MIN(IF(($AA$25:$AA$58&lt;&gt;"x")*($Y$25:$Y$58=P37),ABS($Z$25:$Z$58-O37))),
IF(($AA$25:$AA$58&lt;&gt;"x")*($Y$25:$Y$58=P37),ABS($Z$25:$Z$58-O37)),
0
)))</f>
        <v>-5.9999999999999968E-5</v>
      </c>
      <c r="R37" s="332" cm="1">
        <f t="array" ref="R37">IFERROR(
_xlfn.FORECAST.LINEAR(
O37,
INDEX($AB$25:$AB$58,
MATCH(1,
($Z$25:$Z$58&lt;=O37)*($AB$25:$AB$58&lt;&gt;"x")*($Y$25:$Y$58=P37),
0)
):
INDEX($AB$25:$AB$58,
MATCH(1,
($Z$25:$Z$58&gt;=O37)*($AB$25:$AB$58&lt;&gt;"x")*($Y$25:$Y$58=P37),
0)
),
INDEX($Z$25:$Z$58,
MATCH(1,
($Z$25:$Z$58&lt;=O37)*($AB$25:$AB$58&lt;&gt;"x")*($Y$25:$Y$58=P37),
0)
):
INDEX($Z$25:$Z$58,
MATCH(1,
($Z$25:$Z$58&gt;=O37)*($AB$25:$AB$58&lt;&gt;"x")*($Y$25:$Y$58=P37),
0)
)
),INDEX($AB$25:$AB$58,
MATCH(
MIN(IF(($AB$25:$AB$58&lt;&gt;"x")*($Y$25:$Y$58=P37),ABS($Z$25:$Z$58-O37))),
IF(($AB$25:$AB$58&lt;&gt;"x")*($Y$25:$Y$58=P37),ABS($Z$25:$Z$58-O37)),
0
)))</f>
        <v>2.0000000000000001E-4</v>
      </c>
      <c r="S37" s="64" cm="1">
        <f t="array" ref="S37">IFERROR(
_xlfn.FORECAST.LINEAR(
O37,
INDEX($AC$25:$AC$58,
MATCH(1,
($Z$25:$Z$58&lt;=O37)*($AC$25:$AC$58&lt;&gt;"x")*($Y$25:$Y$58=P37),
0)
):
INDEX($AC$25:$AC$58,
MATCH(1,
($Z$25:$Z$58&gt;=O37)*($AC$25:$AC$58&lt;&gt;"x")*($Y$25:$Y$58=P37),
0)
),
INDEX($Z$25:$Z$58,
MATCH(1,
($Z$25:$Z$58&lt;=O37)*($AC$25:$AC$58&lt;&gt;"x")*($Y$25:$Y$58=P37),
0)
):
INDEX($Z$25:$Z$58,
MATCH(1,
($Z$25:$Z$58&gt;=O37)*($AC$25:$AC$58&lt;&gt;"x")*($Y$25:$Y$58=P37),
0)
)
),INDEX($AC$25:$AC$58,
MATCH(
MIN(IF(($AC$25:$AC$58&lt;&gt;"x")*($Y$25:$Y$58=P37),ABS($Z$25:$Z$58-O37))),
IF(($AC$25:$AC$58&lt;&gt;"x")*($Y$25:$Y$58=P37),ABS($Z$25:$Z$58-O37)),
0
)))</f>
        <v>1E-4</v>
      </c>
      <c r="T37" s="64" cm="1">
        <f t="array" ref="T37">IFERROR(
_xlfn.FORECAST.LINEAR(
O37,
INDEX($AD$25:$AD$58,
MATCH(1,
($Z$25:$Z$58&lt;=O37)*($AD$25:$AD$58&lt;&gt;"x")*($Y$25:$Y$58=P37),
0)
):
INDEX($AD$25:$AD$58,
MATCH(1,
($Z$25:$Z$58&gt;=O37)*($AD$25:$AD$58&lt;&gt;"x")*($Y$25:$Y$58=P37),
0)
),
INDEX($Z$25:$Z$58,
MATCH(1,
($Z$25:$Z$58&lt;=O37)*($AD$25:$AD$58&lt;&gt;"x")*($Y$25:$Y$58=P37),
0)
):
INDEX($Z$25:$Z$58,
MATCH(1,
($Z$25:$Z$58&gt;=O37)*($AD$25:$AD$58&lt;&gt;"x")*($Y$25:$Y$58=P37),
0)
)
),INDEX($AD$25:$AD$58,
MATCH(
MIN(IF(($AD$25:$AD$58&lt;&gt;"x")*($Y$25:$Y$58=P37),ABS($Z$25:$Z$58-O37))),
IF(($AD$25:$AD$58&lt;&gt;"x")*($Y$25:$Y$58=P37),ABS($Z$25:$Z$58-O37)),
0
)))</f>
        <v>6.9999999999999999E-4</v>
      </c>
      <c r="U37" s="556">
        <f t="shared" si="7"/>
        <v>3.6584527273781628E-4</v>
      </c>
      <c r="V37" s="553">
        <f>AE51</f>
        <v>7.6999999999999996E-4</v>
      </c>
      <c r="W37" s="1"/>
      <c r="X37" s="338"/>
      <c r="Y37" s="61" t="s">
        <v>640</v>
      </c>
      <c r="Z37" s="344">
        <v>2</v>
      </c>
      <c r="AA37" s="339">
        <v>-1.4E-5</v>
      </c>
      <c r="AB37" s="339">
        <v>-1.5E-5</v>
      </c>
      <c r="AC37" s="340">
        <v>-2.0999999999999999E-5</v>
      </c>
      <c r="AD37" s="339">
        <v>-3.9999999999999998E-6</v>
      </c>
      <c r="AE37" s="339">
        <v>1.5999999999999999E-5</v>
      </c>
      <c r="AF37" s="1"/>
      <c r="AG37" s="1"/>
      <c r="AH37" s="1"/>
      <c r="AI37" s="1"/>
      <c r="AJ37" s="1"/>
      <c r="AK37" s="1"/>
      <c r="AL37" s="1"/>
    </row>
    <row r="38" spans="1:38" ht="12.75" customHeight="1" x14ac:dyDescent="0.3">
      <c r="A38" s="93" t="s">
        <v>93</v>
      </c>
      <c r="B38" s="94" t="s">
        <v>94</v>
      </c>
      <c r="C38" s="94" t="s">
        <v>95</v>
      </c>
      <c r="D38" s="95" t="str">
        <f>D37</f>
        <v>mV</v>
      </c>
      <c r="E38" s="94" t="s">
        <v>96</v>
      </c>
      <c r="F38" s="94">
        <f>H35/2</f>
        <v>0.05</v>
      </c>
      <c r="G38" s="94">
        <f>SQRT(3)</f>
        <v>1.7320508075688772</v>
      </c>
      <c r="H38" s="94">
        <v>50</v>
      </c>
      <c r="I38" s="94">
        <f t="shared" si="8"/>
        <v>2.8867513459481291E-2</v>
      </c>
      <c r="J38" s="94">
        <v>1</v>
      </c>
      <c r="K38" s="94">
        <f t="shared" si="9"/>
        <v>2.8867513459481291E-2</v>
      </c>
      <c r="L38" s="94">
        <f t="shared" si="10"/>
        <v>8.333333333333335E-4</v>
      </c>
      <c r="M38" s="94">
        <f t="shared" si="11"/>
        <v>1.3888888888888894E-8</v>
      </c>
      <c r="N38" s="1"/>
      <c r="O38" s="100">
        <f t="shared" si="5"/>
        <v>500</v>
      </c>
      <c r="P38" s="63" t="str">
        <f t="shared" si="6"/>
        <v>V4</v>
      </c>
      <c r="Q38" s="332" cm="1">
        <f t="array" ref="Q38">IFERROR(
_xlfn.FORECAST.LINEAR(
O38,
INDEX($AA$25:$AA$58,
MATCH(1,
($Z$25:$Z$58&lt;=O38)*($AA$25:$AA$58&lt;&gt;"x")*($Y$25:$Y$58=P38),
0)
):
INDEX($AA$25:$AA$58,
MATCH(1,
($Z$25:$Z$58&gt;=O38)*($AA$25:$AA$58&lt;&gt;"x")*($Y$25:$Y$58=P38),
0)
),
INDEX($Z$25:$Z$58,
MATCH(1,
($Z$25:$Z$58&lt;=O38)*($AA$25:$AA$58&lt;&gt;"x")*($Y$25:$Y$58=P38),
0)
):
INDEX($Z$25:$Z$58,
MATCH(1,
($Z$25:$Z$58&gt;=O38)*($AA$25:$AA$58&lt;&gt;"x")*($Y$25:$Y$58=P38),
0)
)
),INDEX($AA$25:$AA$58,
MATCH(
MIN(IF(($AA$25:$AA$58&lt;&gt;"x")*($Y$25:$Y$58=P38),ABS($Z$25:$Z$58-O38))),
IF(($AA$25:$AA$58&lt;&gt;"x")*($Y$25:$Y$58=P38),ABS($Z$25:$Z$58-O38)),
0
)))</f>
        <v>-3.7000000000000006E-3</v>
      </c>
      <c r="R38" s="332" cm="1">
        <f t="array" ref="R38">IFERROR(
_xlfn.FORECAST.LINEAR(
O38,
INDEX($AB$25:$AB$58,
MATCH(1,
($Z$25:$Z$58&lt;=O38)*($AB$25:$AB$58&lt;&gt;"x")*($Y$25:$Y$58=P38),
0)
):
INDEX($AB$25:$AB$58,
MATCH(1,
($Z$25:$Z$58&gt;=O38)*($AB$25:$AB$58&lt;&gt;"x")*($Y$25:$Y$58=P38),
0)
),
INDEX($Z$25:$Z$58,
MATCH(1,
($Z$25:$Z$58&lt;=O38)*($AB$25:$AB$58&lt;&gt;"x")*($Y$25:$Y$58=P38),
0)
):
INDEX($Z$25:$Z$58,
MATCH(1,
($Z$25:$Z$58&gt;=O38)*($AB$25:$AB$58&lt;&gt;"x")*($Y$25:$Y$58=P38),
0)
)
),INDEX($AB$25:$AB$58,
MATCH(
MIN(IF(($AB$25:$AB$58&lt;&gt;"x")*($Y$25:$Y$58=P38),ABS($Z$25:$Z$58-O38))),
IF(($AB$25:$AB$58&lt;&gt;"x")*($Y$25:$Y$58=P38),ABS($Z$25:$Z$58-O38)),
0
)))</f>
        <v>-2.0999999999999999E-3</v>
      </c>
      <c r="S38" s="64" cm="1">
        <f t="array" ref="S38">IFERROR(
_xlfn.FORECAST.LINEAR(
O38,
INDEX($AC$25:$AC$58,
MATCH(1,
($Z$25:$Z$58&lt;=O38)*($AC$25:$AC$58&lt;&gt;"x")*($Y$25:$Y$58=P38),
0)
):
INDEX($AC$25:$AC$58,
MATCH(1,
($Z$25:$Z$58&gt;=O38)*($AC$25:$AC$58&lt;&gt;"x")*($Y$25:$Y$58=P38),
0)
),
INDEX($Z$25:$Z$58,
MATCH(1,
($Z$25:$Z$58&lt;=O38)*($AC$25:$AC$58&lt;&gt;"x")*($Y$25:$Y$58=P38),
0)
):
INDEX($Z$25:$Z$58,
MATCH(1,
($Z$25:$Z$58&gt;=O38)*($AC$25:$AC$58&lt;&gt;"x")*($Y$25:$Y$58=P38),
0)
)
),INDEX($AC$25:$AC$58,
MATCH(
MIN(IF(($AC$25:$AC$58&lt;&gt;"x")*($Y$25:$Y$58=P38),ABS($Z$25:$Z$58-O38))),
IF(($AC$25:$AC$58&lt;&gt;"x")*($Y$25:$Y$58=P38),ABS($Z$25:$Z$58-O38)),
0
)))</f>
        <v>-4.1000000000000003E-3</v>
      </c>
      <c r="T38" s="64" cm="1">
        <f t="array" ref="T38">IFERROR(
_xlfn.FORECAST.LINEAR(
O38,
INDEX($AD$25:$AD$58,
MATCH(1,
($Z$25:$Z$58&lt;=O38)*($AD$25:$AD$58&lt;&gt;"x")*($Y$25:$Y$58=P38),
0)
):
INDEX($AD$25:$AD$58,
MATCH(1,
($Z$25:$Z$58&gt;=O38)*($AD$25:$AD$58&lt;&gt;"x")*($Y$25:$Y$58=P38),
0)
),
INDEX($Z$25:$Z$58,
MATCH(1,
($Z$25:$Z$58&lt;=O38)*($AD$25:$AD$58&lt;&gt;"x")*($Y$25:$Y$58=P38),
0)
):
INDEX($Z$25:$Z$58,
MATCH(1,
($Z$25:$Z$58&gt;=O38)*($AD$25:$AD$58&lt;&gt;"x")*($Y$25:$Y$58=P38),
0)
)
),INDEX($AD$25:$AD$58,
MATCH(
MIN(IF(($AD$25:$AD$58&lt;&gt;"x")*($Y$25:$Y$58=P38),ABS($Z$25:$Z$58-O38))),
IF(($AD$25:$AD$58&lt;&gt;"x")*($Y$25:$Y$58=P38),ABS($Z$25:$Z$58-O38)),
0
)))</f>
        <v>1.1999999999999999E-3</v>
      </c>
      <c r="U38" s="556">
        <f t="shared" si="7"/>
        <v>3.373768401613944E-3</v>
      </c>
      <c r="V38" s="553">
        <f>AE56</f>
        <v>4.3E-3</v>
      </c>
      <c r="W38" s="1"/>
      <c r="X38" s="338"/>
      <c r="Y38" s="61" t="s">
        <v>640</v>
      </c>
      <c r="Z38" s="344">
        <v>2.9699990000000001</v>
      </c>
      <c r="AA38" s="61" t="s">
        <v>637</v>
      </c>
      <c r="AB38" s="339">
        <v>-1.2999999999999999E-5</v>
      </c>
      <c r="AC38" s="70" t="s">
        <v>637</v>
      </c>
      <c r="AD38" s="61" t="s">
        <v>637</v>
      </c>
      <c r="AE38" s="339"/>
      <c r="AF38" s="1"/>
      <c r="AG38" s="1"/>
      <c r="AH38" s="1"/>
      <c r="AI38" s="1"/>
      <c r="AJ38" s="1"/>
      <c r="AK38" s="1"/>
      <c r="AL38" s="1"/>
    </row>
    <row r="39" spans="1:38" ht="12.75" customHeight="1" x14ac:dyDescent="0.3">
      <c r="A39" s="93" t="s">
        <v>97</v>
      </c>
      <c r="B39" s="94" t="s">
        <v>98</v>
      </c>
      <c r="C39" s="94" t="s">
        <v>95</v>
      </c>
      <c r="D39" s="95" t="str">
        <f>D37</f>
        <v>mV</v>
      </c>
      <c r="E39" s="94" t="s">
        <v>92</v>
      </c>
      <c r="F39" s="245">
        <f>V25</f>
        <v>7.6999999999999996E-4</v>
      </c>
      <c r="G39" s="94">
        <v>2</v>
      </c>
      <c r="H39" s="94">
        <v>60</v>
      </c>
      <c r="I39" s="94">
        <f t="shared" si="8"/>
        <v>3.8499999999999998E-4</v>
      </c>
      <c r="J39" s="94">
        <v>1</v>
      </c>
      <c r="K39" s="94">
        <f t="shared" si="9"/>
        <v>3.8499999999999998E-4</v>
      </c>
      <c r="L39" s="94">
        <f t="shared" si="10"/>
        <v>1.4822499999999999E-7</v>
      </c>
      <c r="M39" s="94">
        <f t="shared" si="11"/>
        <v>3.6617751041666664E-16</v>
      </c>
      <c r="N39" s="1"/>
      <c r="O39" s="100">
        <f t="shared" si="5"/>
        <v>900</v>
      </c>
      <c r="P39" s="63" t="str">
        <f t="shared" si="6"/>
        <v>V4</v>
      </c>
      <c r="Q39" s="332" cm="1">
        <f t="array" ref="Q39">IFERROR(
_xlfn.FORECAST.LINEAR(
O39,
INDEX($AA$25:$AA$58,
MATCH(1,
($Z$25:$Z$58&lt;=O39)*($AA$25:$AA$58&lt;&gt;"x")*($Y$25:$Y$58=P39),
0)
):
INDEX($AA$25:$AA$58,
MATCH(1,
($Z$25:$Z$58&gt;=O39)*($AA$25:$AA$58&lt;&gt;"x")*($Y$25:$Y$58=P39),
0)
),
INDEX($Z$25:$Z$58,
MATCH(1,
($Z$25:$Z$58&lt;=O39)*($AA$25:$AA$58&lt;&gt;"x")*($Y$25:$Y$58=P39),
0)
):
INDEX($Z$25:$Z$58,
MATCH(1,
($Z$25:$Z$58&gt;=O39)*($AA$25:$AA$58&lt;&gt;"x")*($Y$25:$Y$58=P39),
0)
)
),INDEX($AA$25:$AA$58,
MATCH(
MIN(IF(($AA$25:$AA$58&lt;&gt;"x")*($Y$25:$Y$58=P39),ABS($Z$25:$Z$58-O39))),
IF(($AA$25:$AA$58&lt;&gt;"x")*($Y$25:$Y$58=P39),ABS($Z$25:$Z$58-O39)),
0
)))</f>
        <v>-5.3959766385463983E-3</v>
      </c>
      <c r="R39" s="332" cm="1">
        <f t="array" ref="R39">IFERROR(
_xlfn.FORECAST.LINEAR(
O39,
INDEX($AB$25:$AB$58,
MATCH(1,
($Z$25:$Z$58&lt;=O39)*($AB$25:$AB$58&lt;&gt;"x")*($Y$25:$Y$58=P39),
0)
):
INDEX($AB$25:$AB$58,
MATCH(1,
($Z$25:$Z$58&gt;=O39)*($AB$25:$AB$58&lt;&gt;"x")*($Y$25:$Y$58=P39),
0)
),
INDEX($Z$25:$Z$58,
MATCH(1,
($Z$25:$Z$58&lt;=O39)*($AB$25:$AB$58&lt;&gt;"x")*($Y$25:$Y$58=P39),
0)
):
INDEX($Z$25:$Z$58,
MATCH(1,
($Z$25:$Z$58&gt;=O39)*($AB$25:$AB$58&lt;&gt;"x")*($Y$25:$Y$58=P39),
0)
)
),INDEX($AB$25:$AB$58,
MATCH(
MIN(IF(($AB$25:$AB$58&lt;&gt;"x")*($Y$25:$Y$58=P39),ABS($Z$25:$Z$58-O39))),
IF(($AB$25:$AB$58&lt;&gt;"x")*($Y$25:$Y$58=P39),ABS($Z$25:$Z$58-O39)),
0
)))</f>
        <v>-2.9526315789473682E-3</v>
      </c>
      <c r="S39" s="64" cm="1">
        <f t="array" ref="S39">IFERROR(
_xlfn.FORECAST.LINEAR(
O39,
INDEX($AC$25:$AC$58,
MATCH(1,
($Z$25:$Z$58&lt;=O39)*($AC$25:$AC$58&lt;&gt;"x")*($Y$25:$Y$58=P39),
0)
):
INDEX($AC$25:$AC$58,
MATCH(1,
($Z$25:$Z$58&gt;=O39)*($AC$25:$AC$58&lt;&gt;"x")*($Y$25:$Y$58=P39),
0)
),
INDEX($Z$25:$Z$58,
MATCH(1,
($Z$25:$Z$58&lt;=O39)*($AC$25:$AC$58&lt;&gt;"x")*($Y$25:$Y$58=P39),
0)
):
INDEX($Z$25:$Z$58,
MATCH(1,
($Z$25:$Z$58&gt;=O39)*($AC$25:$AC$58&lt;&gt;"x")*($Y$25:$Y$58=P39),
0)
)
),INDEX($AC$25:$AC$58,
MATCH(
MIN(IF(($AC$25:$AC$58&lt;&gt;"x")*($Y$25:$Y$58=P39),ABS($Z$25:$Z$58-O39))),
IF(($AC$25:$AC$58&lt;&gt;"x")*($Y$25:$Y$58=P39),ABS($Z$25:$Z$58-O39)),
0
)))</f>
        <v>-1.7421052631578946E-3</v>
      </c>
      <c r="T39" s="64" cm="1">
        <f t="array" ref="T39">IFERROR(
_xlfn.FORECAST.LINEAR(
O39,
INDEX($AD$25:$AD$58,
MATCH(1,
($Z$25:$Z$58&lt;=O39)*($AD$25:$AD$58&lt;&gt;"x")*($Y$25:$Y$58=P39),
0)
):
INDEX($AD$25:$AD$58,
MATCH(1,
($Z$25:$Z$58&gt;=O39)*($AD$25:$AD$58&lt;&gt;"x")*($Y$25:$Y$58=P39),
0)
),
INDEX($Z$25:$Z$58,
MATCH(1,
($Z$25:$Z$58&lt;=O39)*($AD$25:$AD$58&lt;&gt;"x")*($Y$25:$Y$58=P39),
0)
):
INDEX($Z$25:$Z$58,
MATCH(1,
($Z$25:$Z$58&gt;=O39)*($AD$25:$AD$58&lt;&gt;"x")*($Y$25:$Y$58=P39),
0)
)
),INDEX($AD$25:$AD$58,
MATCH(
MIN(IF(($AD$25:$AD$58&lt;&gt;"x")*($Y$25:$Y$58=P39),ABS($Z$25:$Z$58-O39))),
IF(($AD$25:$AD$58&lt;&gt;"x")*($Y$25:$Y$58=P39),ABS($Z$25:$Z$58-O39)),
0
)))</f>
        <v>4.0631578947368432E-3</v>
      </c>
      <c r="U39" s="556">
        <f t="shared" si="7"/>
        <v>3.5936648099577557E-3</v>
      </c>
      <c r="V39" s="553">
        <f>AE58</f>
        <v>7.7999999999999996E-3</v>
      </c>
      <c r="W39" s="1"/>
      <c r="X39" s="359"/>
      <c r="Y39" s="61" t="s">
        <v>640</v>
      </c>
      <c r="Z39" s="345">
        <v>3.2</v>
      </c>
      <c r="AA39" s="345">
        <v>-2.0000000000000002E-5</v>
      </c>
      <c r="AB39" s="70" t="s">
        <v>637</v>
      </c>
      <c r="AC39" s="70" t="s">
        <v>637</v>
      </c>
      <c r="AD39" s="70" t="s">
        <v>637</v>
      </c>
      <c r="AE39" s="340">
        <v>2.6999999999999999E-5</v>
      </c>
      <c r="AF39" s="1"/>
      <c r="AG39" s="1"/>
      <c r="AH39" s="1"/>
      <c r="AI39" s="1"/>
      <c r="AJ39" s="1"/>
      <c r="AK39" s="1"/>
      <c r="AL39" s="1"/>
    </row>
    <row r="40" spans="1:38" ht="12.75" customHeight="1" x14ac:dyDescent="0.3">
      <c r="A40" s="93" t="s">
        <v>99</v>
      </c>
      <c r="B40" s="94" t="s">
        <v>100</v>
      </c>
      <c r="C40" s="94" t="s">
        <v>95</v>
      </c>
      <c r="D40" s="95" t="str">
        <f>D37</f>
        <v>mV</v>
      </c>
      <c r="E40" s="94" t="s">
        <v>96</v>
      </c>
      <c r="F40" s="96">
        <f>U25</f>
        <v>1.9736269488293645E-3</v>
      </c>
      <c r="G40" s="94">
        <f t="shared" ref="G40:G41" si="12">SQRT(3)</f>
        <v>1.7320508075688772</v>
      </c>
      <c r="H40" s="94">
        <v>50</v>
      </c>
      <c r="I40" s="94">
        <f t="shared" si="8"/>
        <v>1.1394740501865334E-3</v>
      </c>
      <c r="J40" s="94">
        <v>1</v>
      </c>
      <c r="K40" s="94">
        <f t="shared" si="9"/>
        <v>1.1394740501865334E-3</v>
      </c>
      <c r="L40" s="94">
        <f t="shared" si="10"/>
        <v>1.2984011110485026E-6</v>
      </c>
      <c r="M40" s="94">
        <f t="shared" si="11"/>
        <v>3.3716908903439722E-14</v>
      </c>
      <c r="N40" s="1"/>
      <c r="O40" s="171"/>
      <c r="P40" s="172"/>
      <c r="Q40" s="333"/>
      <c r="R40" s="172"/>
      <c r="S40" s="172"/>
      <c r="T40" s="172"/>
      <c r="U40" s="172"/>
      <c r="V40" s="1"/>
      <c r="W40" s="1"/>
      <c r="X40" s="346">
        <v>32.999989999999997</v>
      </c>
      <c r="Y40" s="66" t="s">
        <v>641</v>
      </c>
      <c r="Z40" s="365">
        <v>3.3</v>
      </c>
      <c r="AA40" s="350">
        <v>-3.8000000000000002E-5</v>
      </c>
      <c r="AB40" s="68" t="s">
        <v>637</v>
      </c>
      <c r="AC40" s="68" t="s">
        <v>637</v>
      </c>
      <c r="AD40" s="68" t="s">
        <v>637</v>
      </c>
      <c r="AE40" s="350">
        <v>2.6999999999999999E-5</v>
      </c>
      <c r="AF40" s="1"/>
      <c r="AG40" s="1"/>
      <c r="AH40" s="1"/>
      <c r="AI40" s="1"/>
      <c r="AJ40" s="1"/>
      <c r="AK40" s="1"/>
      <c r="AL40" s="1"/>
    </row>
    <row r="41" spans="1:38" ht="12.75" customHeight="1" x14ac:dyDescent="0.3">
      <c r="A41" s="93" t="s">
        <v>101</v>
      </c>
      <c r="B41" s="94" t="s">
        <v>102</v>
      </c>
      <c r="C41" s="94" t="s">
        <v>95</v>
      </c>
      <c r="D41" s="95" t="str">
        <f>D37</f>
        <v>mV</v>
      </c>
      <c r="E41" s="94" t="s">
        <v>96</v>
      </c>
      <c r="F41" s="94">
        <f>IF(MAX(Data!B28:B30,Data!B32:B34)&gt;ABS(-2.80899999999251E-06)*1000,MAX(Data!B28:B30,Data!B32:B34),ABS(-2.80899999999251E-06)*1000)</f>
        <v>2.8089999999925098E-3</v>
      </c>
      <c r="G41" s="94">
        <f t="shared" si="12"/>
        <v>1.7320508075688772</v>
      </c>
      <c r="H41" s="94">
        <v>50</v>
      </c>
      <c r="I41" s="94">
        <f t="shared" si="8"/>
        <v>1.6217769061493343E-3</v>
      </c>
      <c r="J41" s="94">
        <v>1</v>
      </c>
      <c r="K41" s="94">
        <f t="shared" si="9"/>
        <v>1.6217769061493343E-3</v>
      </c>
      <c r="L41" s="94">
        <f t="shared" si="10"/>
        <v>2.6301603333193067E-6</v>
      </c>
      <c r="M41" s="94">
        <f t="shared" si="11"/>
        <v>1.3835486757932652E-13</v>
      </c>
      <c r="N41" s="1"/>
      <c r="O41" s="80"/>
      <c r="P41" s="1"/>
      <c r="Q41" s="243"/>
      <c r="R41" s="1"/>
      <c r="S41" s="1"/>
      <c r="T41" s="1"/>
      <c r="U41" s="1"/>
      <c r="V41" s="1"/>
      <c r="W41" s="1"/>
      <c r="X41" s="336"/>
      <c r="Y41" s="66" t="s">
        <v>641</v>
      </c>
      <c r="Z41" s="344">
        <v>4</v>
      </c>
      <c r="AA41" s="339">
        <v>-4.3999999999999999E-5</v>
      </c>
      <c r="AB41" s="339">
        <v>-2.9E-5</v>
      </c>
      <c r="AC41" s="339">
        <v>-4.6E-5</v>
      </c>
      <c r="AD41" s="339">
        <v>-2.0000000000000002E-5</v>
      </c>
      <c r="AE41" s="339">
        <v>2.8E-5</v>
      </c>
      <c r="AF41" s="1"/>
      <c r="AG41" s="1"/>
      <c r="AH41" s="1"/>
      <c r="AI41" s="1"/>
      <c r="AJ41" s="1"/>
      <c r="AK41" s="1"/>
      <c r="AL41" s="1"/>
    </row>
    <row r="42" spans="1:38" ht="12.75" customHeight="1" x14ac:dyDescent="0.3">
      <c r="A42" s="98"/>
      <c r="B42" s="98"/>
      <c r="C42" s="98"/>
      <c r="D42" s="93"/>
      <c r="E42" s="93"/>
      <c r="F42" s="93"/>
      <c r="G42" s="93"/>
      <c r="H42" s="93"/>
      <c r="I42" s="93"/>
      <c r="J42" s="93"/>
      <c r="K42" s="93"/>
      <c r="L42" s="94"/>
      <c r="M42" s="93"/>
      <c r="N42" s="1"/>
      <c r="O42" s="80"/>
      <c r="P42" s="1"/>
      <c r="Q42" s="243"/>
      <c r="R42" s="1"/>
      <c r="S42" s="1"/>
      <c r="T42" s="1"/>
      <c r="U42" s="1"/>
      <c r="V42" s="1"/>
      <c r="W42" s="1"/>
      <c r="X42" s="338"/>
      <c r="Y42" s="66" t="s">
        <v>641</v>
      </c>
      <c r="Z42" s="344">
        <v>6</v>
      </c>
      <c r="AA42" s="339">
        <v>-5.3999999999999998E-5</v>
      </c>
      <c r="AB42" s="339">
        <v>-3.4E-5</v>
      </c>
      <c r="AC42" s="339">
        <v>-5.5000000000000002E-5</v>
      </c>
      <c r="AD42" s="339">
        <v>-1.0000000000000001E-5</v>
      </c>
      <c r="AE42" s="344">
        <v>4.0000000000000003E-5</v>
      </c>
      <c r="AF42" s="1"/>
      <c r="AG42" s="1"/>
      <c r="AH42" s="1"/>
      <c r="AI42" s="1"/>
      <c r="AJ42" s="1"/>
      <c r="AK42" s="1"/>
      <c r="AL42" s="1"/>
    </row>
    <row r="43" spans="1:38" ht="12.75" customHeight="1" x14ac:dyDescent="0.3">
      <c r="A43" s="834" t="s">
        <v>103</v>
      </c>
      <c r="B43" s="794"/>
      <c r="C43" s="794"/>
      <c r="D43" s="794"/>
      <c r="E43" s="794"/>
      <c r="F43" s="794"/>
      <c r="G43" s="794"/>
      <c r="H43" s="794"/>
      <c r="I43" s="794"/>
      <c r="J43" s="780"/>
      <c r="K43" s="835">
        <f>SUM(L37:L42)</f>
        <v>8.3741011977770134E-4</v>
      </c>
      <c r="L43" s="780"/>
      <c r="M43" s="93">
        <f>SUM(M37:M42)</f>
        <v>1.3889061326842885E-8</v>
      </c>
      <c r="N43" s="1"/>
      <c r="O43" s="80"/>
      <c r="P43" s="1"/>
      <c r="Q43" s="243"/>
      <c r="R43" s="80"/>
      <c r="S43" s="80"/>
      <c r="T43" s="80"/>
      <c r="U43" s="1"/>
      <c r="V43" s="1"/>
      <c r="W43" s="1"/>
      <c r="X43" s="338"/>
      <c r="Y43" s="66" t="s">
        <v>641</v>
      </c>
      <c r="Z43" s="344">
        <v>8</v>
      </c>
      <c r="AA43" s="339">
        <v>-6.3999999999999997E-5</v>
      </c>
      <c r="AB43" s="339">
        <v>-3.8000000000000002E-5</v>
      </c>
      <c r="AC43" s="339">
        <v>-6.6000000000000005E-5</v>
      </c>
      <c r="AD43" s="339">
        <v>-2.5000000000000001E-5</v>
      </c>
      <c r="AE43" s="339">
        <v>4.3999999999999999E-5</v>
      </c>
      <c r="AF43" s="1"/>
      <c r="AG43" s="1"/>
      <c r="AH43" s="1"/>
      <c r="AI43" s="1"/>
      <c r="AJ43" s="1"/>
      <c r="AK43" s="1"/>
      <c r="AL43" s="1"/>
    </row>
    <row r="44" spans="1:38" ht="12.75" customHeight="1" x14ac:dyDescent="0.3">
      <c r="A44" s="834" t="s">
        <v>104</v>
      </c>
      <c r="B44" s="794"/>
      <c r="C44" s="794"/>
      <c r="D44" s="794"/>
      <c r="E44" s="794"/>
      <c r="F44" s="794"/>
      <c r="G44" s="794"/>
      <c r="H44" s="794"/>
      <c r="I44" s="794"/>
      <c r="J44" s="780"/>
      <c r="K44" s="835">
        <f>SQRT(K43)</f>
        <v>2.8938039321586756E-2</v>
      </c>
      <c r="L44" s="780"/>
      <c r="M44" s="93"/>
      <c r="N44" s="1"/>
      <c r="O44" s="6"/>
      <c r="P44" s="1"/>
      <c r="Q44" s="243"/>
      <c r="R44" s="80"/>
      <c r="S44" s="80"/>
      <c r="T44" s="80"/>
      <c r="U44" s="1"/>
      <c r="V44" s="1"/>
      <c r="W44" s="1"/>
      <c r="X44" s="338"/>
      <c r="Y44" s="66" t="s">
        <v>641</v>
      </c>
      <c r="Z44" s="348">
        <v>10</v>
      </c>
      <c r="AA44" s="340">
        <v>-7.1000000000000005E-5</v>
      </c>
      <c r="AB44" s="340">
        <v>-4.0000000000000003E-5</v>
      </c>
      <c r="AC44" s="340">
        <v>-5.3999999999999998E-5</v>
      </c>
      <c r="AD44" s="340">
        <v>-1.8E-5</v>
      </c>
      <c r="AE44" s="340">
        <v>5.3999999999999998E-5</v>
      </c>
      <c r="AF44" s="1"/>
      <c r="AG44" s="1"/>
      <c r="AH44" s="1"/>
      <c r="AI44" s="1"/>
      <c r="AJ44" s="1"/>
      <c r="AK44" s="1"/>
      <c r="AL44" s="1"/>
    </row>
    <row r="45" spans="1:38" ht="12.75" customHeight="1" x14ac:dyDescent="0.3">
      <c r="A45" s="834" t="s">
        <v>105</v>
      </c>
      <c r="B45" s="794"/>
      <c r="C45" s="794"/>
      <c r="D45" s="794"/>
      <c r="E45" s="794"/>
      <c r="F45" s="794"/>
      <c r="G45" s="794"/>
      <c r="H45" s="794"/>
      <c r="I45" s="794"/>
      <c r="J45" s="780"/>
      <c r="K45" s="99">
        <f>(K44^4)/M43</f>
        <v>50.489784169273733</v>
      </c>
      <c r="L45" s="101"/>
      <c r="M45" s="93"/>
      <c r="N45" s="1"/>
      <c r="O45" s="6"/>
      <c r="P45" s="1"/>
      <c r="Q45" s="243"/>
      <c r="R45" s="1"/>
      <c r="S45" s="1"/>
      <c r="T45" s="1"/>
      <c r="U45" s="1"/>
      <c r="V45" s="1"/>
      <c r="W45" s="1"/>
      <c r="X45" s="338"/>
      <c r="Y45" s="66" t="s">
        <v>641</v>
      </c>
      <c r="Z45" s="348">
        <v>14</v>
      </c>
      <c r="AA45" s="340">
        <v>-8.3999999999999995E-5</v>
      </c>
      <c r="AB45" s="340">
        <v>-5.0000000000000002E-5</v>
      </c>
      <c r="AC45" s="340">
        <v>-6.9999999999999994E-5</v>
      </c>
      <c r="AD45" s="70" t="s">
        <v>637</v>
      </c>
      <c r="AE45" s="340">
        <v>8.2999999999999998E-5</v>
      </c>
      <c r="AF45" s="1"/>
      <c r="AG45" s="1"/>
      <c r="AH45" s="1"/>
      <c r="AI45" s="1"/>
      <c r="AJ45" s="1"/>
      <c r="AK45" s="1"/>
      <c r="AL45" s="1"/>
    </row>
    <row r="46" spans="1:38" ht="12.75" customHeight="1" x14ac:dyDescent="0.3">
      <c r="A46" s="834" t="s">
        <v>106</v>
      </c>
      <c r="B46" s="794"/>
      <c r="C46" s="794"/>
      <c r="D46" s="794"/>
      <c r="E46" s="794"/>
      <c r="F46" s="794"/>
      <c r="G46" s="794"/>
      <c r="H46" s="794"/>
      <c r="I46" s="794"/>
      <c r="J46" s="780"/>
      <c r="K46" s="99">
        <f>1.95996+2.37356/K45+2.818745/K45^2+2.546662/K45^3+1.761829/K45^4+0.245458/K45^5+1.000764/K45^6</f>
        <v>2.0080964852866012</v>
      </c>
      <c r="L46" s="101">
        <v>2</v>
      </c>
      <c r="M46" s="93"/>
      <c r="N46" s="1"/>
      <c r="O46" s="1"/>
      <c r="P46" s="1"/>
      <c r="Q46" s="243"/>
      <c r="R46" s="1"/>
      <c r="S46" s="1"/>
      <c r="T46" s="1"/>
      <c r="U46" s="1"/>
      <c r="V46" s="1"/>
      <c r="W46" s="1"/>
      <c r="X46" s="338"/>
      <c r="Y46" s="66" t="s">
        <v>641</v>
      </c>
      <c r="Z46" s="348">
        <v>18</v>
      </c>
      <c r="AA46" s="340">
        <v>-8.8999999999999995E-5</v>
      </c>
      <c r="AB46" s="340">
        <v>-4.0000000000000003E-5</v>
      </c>
      <c r="AC46" s="340">
        <v>-6.9999999999999994E-5</v>
      </c>
      <c r="AD46" s="340">
        <v>1.0000000000000001E-5</v>
      </c>
      <c r="AE46" s="340">
        <v>9.2E-5</v>
      </c>
      <c r="AF46" s="1"/>
      <c r="AG46" s="1"/>
      <c r="AH46" s="1"/>
      <c r="AI46" s="1"/>
      <c r="AJ46" s="1"/>
      <c r="AK46" s="1"/>
      <c r="AL46" s="1"/>
    </row>
    <row r="47" spans="1:38" ht="12.75" customHeight="1" x14ac:dyDescent="0.3">
      <c r="A47" s="834" t="s">
        <v>107</v>
      </c>
      <c r="B47" s="794"/>
      <c r="C47" s="794"/>
      <c r="D47" s="794"/>
      <c r="E47" s="794"/>
      <c r="F47" s="794"/>
      <c r="G47" s="794"/>
      <c r="H47" s="794"/>
      <c r="I47" s="794"/>
      <c r="J47" s="780"/>
      <c r="K47" s="99">
        <f>K46*K44</f>
        <v>5.8110375052763827E-2</v>
      </c>
      <c r="L47" s="101">
        <f>L46*K44</f>
        <v>5.7876078643173512E-2</v>
      </c>
      <c r="M47" s="93"/>
      <c r="N47" s="1"/>
      <c r="O47" s="1"/>
      <c r="P47" s="1"/>
      <c r="Q47" s="243"/>
      <c r="R47" s="1"/>
      <c r="S47" s="1"/>
      <c r="T47" s="1"/>
      <c r="U47" s="1"/>
      <c r="V47" s="1"/>
      <c r="W47" s="1"/>
      <c r="X47" s="338"/>
      <c r="Y47" s="66" t="s">
        <v>641</v>
      </c>
      <c r="Z47" s="348">
        <v>20</v>
      </c>
      <c r="AA47" s="340">
        <v>-5.0000000000000002E-5</v>
      </c>
      <c r="AB47" s="340">
        <v>-6.0000000000000002E-5</v>
      </c>
      <c r="AC47" s="340">
        <v>-5.0000000000000002E-5</v>
      </c>
      <c r="AD47" s="340">
        <v>4.0000000000000003E-5</v>
      </c>
      <c r="AE47" s="340">
        <v>2.1000000000000001E-4</v>
      </c>
      <c r="AF47" s="1"/>
      <c r="AG47" s="1"/>
      <c r="AH47" s="1"/>
      <c r="AI47" s="1"/>
      <c r="AJ47" s="1"/>
      <c r="AK47" s="1"/>
      <c r="AL47" s="1"/>
    </row>
    <row r="48" spans="1:38" ht="12.7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243"/>
      <c r="R48" s="1"/>
      <c r="S48" s="1"/>
      <c r="T48" s="1"/>
      <c r="U48" s="1"/>
      <c r="V48" s="1"/>
      <c r="W48" s="1"/>
      <c r="X48" s="338"/>
      <c r="Y48" s="66" t="s">
        <v>641</v>
      </c>
      <c r="Z48" s="340">
        <v>29.69999</v>
      </c>
      <c r="AA48" s="70" t="s">
        <v>637</v>
      </c>
      <c r="AB48" s="340">
        <v>-4.0000000000000003E-5</v>
      </c>
      <c r="AC48" s="70" t="s">
        <v>637</v>
      </c>
      <c r="AD48" s="70" t="s">
        <v>637</v>
      </c>
      <c r="AE48" s="340"/>
      <c r="AF48" s="1"/>
      <c r="AG48" s="1"/>
      <c r="AH48" s="1"/>
      <c r="AI48" s="1"/>
      <c r="AJ48" s="1"/>
      <c r="AK48" s="1"/>
      <c r="AL48" s="1"/>
    </row>
    <row r="49" spans="1:38" ht="12.75" customHeight="1" x14ac:dyDescent="0.3">
      <c r="A49" s="71" t="s">
        <v>76</v>
      </c>
      <c r="B49" s="1"/>
      <c r="C49" s="1"/>
      <c r="D49" s="1">
        <f>A2</f>
        <v>600</v>
      </c>
      <c r="E49" s="103" t="str">
        <f>B2</f>
        <v>mV</v>
      </c>
      <c r="F49" s="81"/>
      <c r="G49" s="82"/>
      <c r="H49" s="12"/>
      <c r="I49" s="12"/>
      <c r="J49" s="12"/>
      <c r="K49" s="12"/>
      <c r="L49" s="12"/>
      <c r="M49" s="287" t="str">
        <f>M$34</f>
        <v>DC Voltage-Measure</v>
      </c>
      <c r="N49" s="1"/>
      <c r="O49" s="1"/>
      <c r="P49" s="1"/>
      <c r="Q49" s="243"/>
      <c r="R49" s="1"/>
      <c r="S49" s="1"/>
      <c r="T49" s="1"/>
      <c r="U49" s="1"/>
      <c r="V49" s="1"/>
      <c r="W49" s="1"/>
      <c r="X49" s="366"/>
      <c r="Y49" s="66" t="s">
        <v>641</v>
      </c>
      <c r="Z49" s="373">
        <v>32</v>
      </c>
      <c r="AA49" s="368">
        <v>-5.0000000000000002E-5</v>
      </c>
      <c r="AB49" s="624" t="s">
        <v>637</v>
      </c>
      <c r="AC49" s="624" t="s">
        <v>637</v>
      </c>
      <c r="AD49" s="624" t="s">
        <v>637</v>
      </c>
      <c r="AE49" s="369">
        <v>3.8000000000000002E-4</v>
      </c>
      <c r="AF49" s="1"/>
      <c r="AG49" s="1"/>
      <c r="AH49" s="1"/>
      <c r="AI49" s="1"/>
      <c r="AJ49" s="1"/>
      <c r="AK49" s="1"/>
      <c r="AL49" s="1"/>
    </row>
    <row r="50" spans="1:38" ht="12.75" customHeight="1" x14ac:dyDescent="0.3">
      <c r="A50" s="84" t="s">
        <v>2</v>
      </c>
      <c r="B50" s="85"/>
      <c r="C50" s="85"/>
      <c r="D50" s="80">
        <f>C3</f>
        <v>300</v>
      </c>
      <c r="E50" s="80" t="str">
        <f>D3</f>
        <v>mV</v>
      </c>
      <c r="F50" s="87"/>
      <c r="G50" s="105"/>
      <c r="H50" s="173">
        <v>0.1</v>
      </c>
      <c r="I50" s="90"/>
      <c r="J50" s="90"/>
      <c r="K50" s="90"/>
      <c r="L50" s="90"/>
      <c r="M50" s="76"/>
      <c r="N50" s="1"/>
      <c r="O50" s="1"/>
      <c r="P50" s="1"/>
      <c r="Q50" s="243"/>
      <c r="R50" s="1"/>
      <c r="S50" s="1"/>
      <c r="T50" s="1"/>
      <c r="U50" s="1"/>
      <c r="V50" s="1"/>
      <c r="W50" s="1"/>
      <c r="X50" s="338">
        <v>329.99990000000003</v>
      </c>
      <c r="Y50" s="61" t="s">
        <v>642</v>
      </c>
      <c r="Z50" s="374">
        <v>33</v>
      </c>
      <c r="AA50" s="370">
        <v>-1.6000000000000001E-4</v>
      </c>
      <c r="AB50" s="625" t="s">
        <v>637</v>
      </c>
      <c r="AC50" s="625" t="s">
        <v>637</v>
      </c>
      <c r="AD50" s="625" t="s">
        <v>637</v>
      </c>
      <c r="AE50" s="370">
        <v>3.8000000000000002E-4</v>
      </c>
      <c r="AF50" s="1"/>
      <c r="AG50" s="1"/>
      <c r="AH50" s="1"/>
      <c r="AI50" s="1"/>
      <c r="AJ50" s="1"/>
      <c r="AK50" s="1"/>
      <c r="AL50" s="1"/>
    </row>
    <row r="51" spans="1:38" ht="12.75" customHeight="1" x14ac:dyDescent="0.3">
      <c r="A51" s="91" t="s">
        <v>78</v>
      </c>
      <c r="B51" s="91" t="s">
        <v>79</v>
      </c>
      <c r="C51" s="91" t="s">
        <v>10</v>
      </c>
      <c r="D51" s="91" t="s">
        <v>80</v>
      </c>
      <c r="E51" s="91" t="s">
        <v>81</v>
      </c>
      <c r="F51" s="92" t="s">
        <v>82</v>
      </c>
      <c r="G51" s="91" t="s">
        <v>83</v>
      </c>
      <c r="H51" s="91" t="s">
        <v>84</v>
      </c>
      <c r="I51" s="91" t="s">
        <v>85</v>
      </c>
      <c r="J51" s="91" t="s">
        <v>86</v>
      </c>
      <c r="K51" s="91" t="s">
        <v>87</v>
      </c>
      <c r="L51" s="91" t="s">
        <v>108</v>
      </c>
      <c r="M51" s="91" t="s">
        <v>109</v>
      </c>
      <c r="N51" s="1"/>
      <c r="O51" s="1"/>
      <c r="P51" s="1"/>
      <c r="Q51" s="243"/>
      <c r="R51" s="1"/>
      <c r="S51" s="1"/>
      <c r="T51" s="1"/>
      <c r="U51" s="1"/>
      <c r="V51" s="1"/>
      <c r="W51" s="1"/>
      <c r="X51" s="336"/>
      <c r="Y51" s="61" t="s">
        <v>642</v>
      </c>
      <c r="Z51" s="351">
        <v>100</v>
      </c>
      <c r="AA51" s="340">
        <v>-6.0000000000000002E-5</v>
      </c>
      <c r="AB51" s="340">
        <v>2.0000000000000001E-4</v>
      </c>
      <c r="AC51" s="340">
        <v>1E-4</v>
      </c>
      <c r="AD51" s="340">
        <v>6.9999999999999999E-4</v>
      </c>
      <c r="AE51" s="340">
        <v>7.6999999999999996E-4</v>
      </c>
      <c r="AF51" s="1"/>
      <c r="AG51" s="1"/>
      <c r="AH51" s="1"/>
      <c r="AI51" s="1"/>
      <c r="AJ51" s="1"/>
      <c r="AK51" s="1"/>
      <c r="AL51" s="1"/>
    </row>
    <row r="52" spans="1:38" ht="12.75" customHeight="1" x14ac:dyDescent="0.3">
      <c r="A52" s="93" t="s">
        <v>90</v>
      </c>
      <c r="B52" s="94" t="s">
        <v>110</v>
      </c>
      <c r="C52" s="94" t="s">
        <v>42</v>
      </c>
      <c r="D52" s="95" t="str">
        <f>E50</f>
        <v>mV</v>
      </c>
      <c r="E52" s="94" t="s">
        <v>631</v>
      </c>
      <c r="F52" s="94">
        <f>STDEV(Data!E29:N29)/SQRT(5)</f>
        <v>0</v>
      </c>
      <c r="G52" s="94">
        <v>1</v>
      </c>
      <c r="H52" s="94">
        <f>5-1</f>
        <v>4</v>
      </c>
      <c r="I52" s="94">
        <f t="shared" ref="I52:I56" si="13">(F52)/G52</f>
        <v>0</v>
      </c>
      <c r="J52" s="94">
        <v>1</v>
      </c>
      <c r="K52" s="94">
        <f t="shared" ref="K52:K56" si="14">I52*J52</f>
        <v>0</v>
      </c>
      <c r="L52" s="94">
        <f t="shared" ref="L52:L56" si="15">K52^2</f>
        <v>0</v>
      </c>
      <c r="M52" s="94">
        <f t="shared" ref="M52:M56" si="16">(K52^4)/H52</f>
        <v>0</v>
      </c>
      <c r="N52" s="1"/>
      <c r="O52" s="1"/>
      <c r="P52" s="1"/>
      <c r="Q52" s="243"/>
      <c r="R52" s="1"/>
      <c r="S52" s="1"/>
      <c r="T52" s="1"/>
      <c r="U52" s="1"/>
      <c r="V52" s="1"/>
      <c r="W52" s="1"/>
      <c r="X52" s="338"/>
      <c r="Y52" s="61" t="s">
        <v>642</v>
      </c>
      <c r="Z52" s="351">
        <v>180</v>
      </c>
      <c r="AA52" s="351">
        <v>0</v>
      </c>
      <c r="AB52" s="340">
        <v>5.9999999999999995E-4</v>
      </c>
      <c r="AC52" s="340">
        <v>2.0000000000000001E-4</v>
      </c>
      <c r="AD52" s="340">
        <v>1.2999999999999999E-3</v>
      </c>
      <c r="AE52" s="340">
        <v>1.2999999999999999E-3</v>
      </c>
      <c r="AF52" s="1"/>
      <c r="AG52" s="1"/>
      <c r="AH52" s="1"/>
      <c r="AI52" s="1"/>
      <c r="AJ52" s="1"/>
      <c r="AK52" s="1"/>
      <c r="AL52" s="1"/>
    </row>
    <row r="53" spans="1:38" ht="12.75" customHeight="1" x14ac:dyDescent="0.3">
      <c r="A53" s="93" t="s">
        <v>93</v>
      </c>
      <c r="B53" s="94" t="s">
        <v>111</v>
      </c>
      <c r="C53" s="94" t="s">
        <v>95</v>
      </c>
      <c r="D53" s="95" t="str">
        <f>D52</f>
        <v>mV</v>
      </c>
      <c r="E53" s="94" t="s">
        <v>96</v>
      </c>
      <c r="F53" s="94">
        <f>H50/2</f>
        <v>0.05</v>
      </c>
      <c r="G53" s="94">
        <f>SQRT(3)</f>
        <v>1.7320508075688772</v>
      </c>
      <c r="H53" s="94">
        <v>50</v>
      </c>
      <c r="I53" s="94">
        <f t="shared" si="13"/>
        <v>2.8867513459481291E-2</v>
      </c>
      <c r="J53" s="94">
        <v>1</v>
      </c>
      <c r="K53" s="94">
        <f t="shared" si="14"/>
        <v>2.8867513459481291E-2</v>
      </c>
      <c r="L53" s="94">
        <f t="shared" si="15"/>
        <v>8.333333333333335E-4</v>
      </c>
      <c r="M53" s="94">
        <f t="shared" si="16"/>
        <v>1.3888888888888894E-8</v>
      </c>
      <c r="N53" s="1"/>
      <c r="O53" s="1"/>
      <c r="P53" s="1"/>
      <c r="Q53" s="243"/>
      <c r="R53" s="1"/>
      <c r="S53" s="1"/>
      <c r="T53" s="1"/>
      <c r="U53" s="1"/>
      <c r="V53" s="1"/>
      <c r="W53" s="1"/>
      <c r="X53" s="338"/>
      <c r="Y53" s="61" t="s">
        <v>642</v>
      </c>
      <c r="Z53" s="340">
        <v>296.99990000000003</v>
      </c>
      <c r="AA53" s="70" t="s">
        <v>637</v>
      </c>
      <c r="AB53" s="340">
        <v>2.9999999999999997E-4</v>
      </c>
      <c r="AC53" s="70" t="s">
        <v>637</v>
      </c>
      <c r="AD53" s="70" t="s">
        <v>637</v>
      </c>
      <c r="AE53" s="340"/>
      <c r="AF53" s="1"/>
      <c r="AG53" s="1"/>
      <c r="AH53" s="1"/>
      <c r="AI53" s="1"/>
      <c r="AJ53" s="1"/>
      <c r="AK53" s="1"/>
      <c r="AL53" s="1"/>
    </row>
    <row r="54" spans="1:38" ht="12.75" customHeight="1" x14ac:dyDescent="0.3">
      <c r="A54" s="93" t="s">
        <v>97</v>
      </c>
      <c r="B54" s="94" t="s">
        <v>112</v>
      </c>
      <c r="C54" s="94" t="s">
        <v>95</v>
      </c>
      <c r="D54" s="95" t="str">
        <f>D52</f>
        <v>mV</v>
      </c>
      <c r="E54" s="94" t="s">
        <v>92</v>
      </c>
      <c r="F54" s="95">
        <f>V26</f>
        <v>3.2000000000000002E-3</v>
      </c>
      <c r="G54" s="94">
        <v>2</v>
      </c>
      <c r="H54" s="94">
        <v>60</v>
      </c>
      <c r="I54" s="94">
        <f t="shared" si="13"/>
        <v>1.6000000000000001E-3</v>
      </c>
      <c r="J54" s="94">
        <v>1</v>
      </c>
      <c r="K54" s="94">
        <f t="shared" si="14"/>
        <v>1.6000000000000001E-3</v>
      </c>
      <c r="L54" s="94">
        <f t="shared" si="15"/>
        <v>2.5600000000000001E-6</v>
      </c>
      <c r="M54" s="94">
        <f t="shared" si="16"/>
        <v>1.0922666666666668E-13</v>
      </c>
      <c r="N54" s="1"/>
      <c r="O54" s="1"/>
      <c r="P54" s="1"/>
      <c r="Q54" s="243"/>
      <c r="R54" s="1"/>
      <c r="S54" s="1"/>
      <c r="T54" s="1"/>
      <c r="U54" s="1"/>
      <c r="V54" s="1"/>
      <c r="W54" s="1"/>
      <c r="X54" s="359"/>
      <c r="Y54" s="61" t="s">
        <v>642</v>
      </c>
      <c r="Z54" s="363">
        <v>325</v>
      </c>
      <c r="AA54" s="343">
        <v>2.9999999999999997E-4</v>
      </c>
      <c r="AB54" s="77" t="s">
        <v>637</v>
      </c>
      <c r="AC54" s="77" t="s">
        <v>637</v>
      </c>
      <c r="AD54" s="77" t="s">
        <v>637</v>
      </c>
      <c r="AE54" s="250">
        <v>3.8E-3</v>
      </c>
      <c r="AF54" s="1"/>
      <c r="AG54" s="1"/>
      <c r="AH54" s="1"/>
      <c r="AI54" s="1"/>
      <c r="AJ54" s="1"/>
      <c r="AK54" s="1"/>
      <c r="AL54" s="1"/>
    </row>
    <row r="55" spans="1:38" ht="12.75" customHeight="1" x14ac:dyDescent="0.3">
      <c r="A55" s="93" t="s">
        <v>99</v>
      </c>
      <c r="B55" s="94" t="s">
        <v>113</v>
      </c>
      <c r="C55" s="94" t="s">
        <v>95</v>
      </c>
      <c r="D55" s="95" t="str">
        <f>D52</f>
        <v>mV</v>
      </c>
      <c r="E55" s="94" t="s">
        <v>96</v>
      </c>
      <c r="F55" s="96">
        <f>U26</f>
        <v>8.0090792667870114E-3</v>
      </c>
      <c r="G55" s="94">
        <f t="shared" ref="G55:G56" si="17">SQRT(3)</f>
        <v>1.7320508075688772</v>
      </c>
      <c r="H55" s="94">
        <v>50</v>
      </c>
      <c r="I55" s="94">
        <f t="shared" si="13"/>
        <v>4.6240440706405315E-3</v>
      </c>
      <c r="J55" s="94">
        <v>1</v>
      </c>
      <c r="K55" s="94">
        <f t="shared" si="14"/>
        <v>4.6240440706405315E-3</v>
      </c>
      <c r="L55" s="94">
        <f t="shared" si="15"/>
        <v>2.1381783567225858E-5</v>
      </c>
      <c r="M55" s="94">
        <f t="shared" si="16"/>
        <v>9.1436133703137952E-12</v>
      </c>
      <c r="N55" s="1"/>
      <c r="O55" s="1"/>
      <c r="P55" s="1"/>
      <c r="Q55" s="243"/>
      <c r="R55" s="1"/>
      <c r="S55" s="1"/>
      <c r="T55" s="1"/>
      <c r="U55" s="1"/>
      <c r="V55" s="1"/>
      <c r="W55" s="1"/>
      <c r="X55" s="338">
        <v>1020</v>
      </c>
      <c r="Y55" s="61" t="s">
        <v>643</v>
      </c>
      <c r="Z55" s="349">
        <v>330</v>
      </c>
      <c r="AA55" s="350">
        <v>-2.2000000000000001E-3</v>
      </c>
      <c r="AB55" s="68" t="s">
        <v>637</v>
      </c>
      <c r="AC55" s="68" t="s">
        <v>637</v>
      </c>
      <c r="AD55" s="68" t="s">
        <v>637</v>
      </c>
      <c r="AE55" s="350">
        <v>3.8E-3</v>
      </c>
      <c r="AF55" s="1"/>
      <c r="AG55" s="1"/>
      <c r="AH55" s="1"/>
      <c r="AI55" s="1"/>
      <c r="AJ55" s="1"/>
      <c r="AK55" s="1"/>
      <c r="AL55" s="1"/>
    </row>
    <row r="56" spans="1:38" ht="12.75" customHeight="1" x14ac:dyDescent="0.3">
      <c r="A56" s="93" t="s">
        <v>101</v>
      </c>
      <c r="B56" s="94" t="s">
        <v>114</v>
      </c>
      <c r="C56" s="94" t="s">
        <v>95</v>
      </c>
      <c r="D56" s="95" t="str">
        <f>D52</f>
        <v>mV</v>
      </c>
      <c r="E56" s="94" t="s">
        <v>96</v>
      </c>
      <c r="F56" s="94">
        <f>$F$41</f>
        <v>2.8089999999925098E-3</v>
      </c>
      <c r="G56" s="94">
        <f t="shared" si="17"/>
        <v>1.7320508075688772</v>
      </c>
      <c r="H56" s="94">
        <v>50</v>
      </c>
      <c r="I56" s="94">
        <f t="shared" si="13"/>
        <v>1.6217769061493343E-3</v>
      </c>
      <c r="J56" s="94">
        <v>1</v>
      </c>
      <c r="K56" s="94">
        <f t="shared" si="14"/>
        <v>1.6217769061493343E-3</v>
      </c>
      <c r="L56" s="94">
        <f t="shared" si="15"/>
        <v>2.6301603333193067E-6</v>
      </c>
      <c r="M56" s="94">
        <f t="shared" si="16"/>
        <v>1.3835486757932652E-13</v>
      </c>
      <c r="N56" s="1"/>
      <c r="O56" s="1"/>
      <c r="P56" s="1"/>
      <c r="Q56" s="243"/>
      <c r="R56" s="1"/>
      <c r="S56" s="1"/>
      <c r="T56" s="1"/>
      <c r="U56" s="1"/>
      <c r="V56" s="1"/>
      <c r="W56" s="1"/>
      <c r="X56" s="336"/>
      <c r="Y56" s="61" t="s">
        <v>643</v>
      </c>
      <c r="Z56" s="351">
        <v>500</v>
      </c>
      <c r="AA56" s="340">
        <v>-3.7000000000000002E-3</v>
      </c>
      <c r="AB56" s="340">
        <v>-2.0999999999999999E-3</v>
      </c>
      <c r="AC56" s="340">
        <v>-4.1000000000000003E-3</v>
      </c>
      <c r="AD56" s="340">
        <v>1.1999999999999999E-3</v>
      </c>
      <c r="AE56" s="339">
        <v>4.3E-3</v>
      </c>
      <c r="AF56" s="1"/>
      <c r="AG56" s="1"/>
      <c r="AH56" s="1"/>
      <c r="AI56" s="1"/>
      <c r="AJ56" s="1"/>
      <c r="AK56" s="1"/>
      <c r="AL56" s="1"/>
    </row>
    <row r="57" spans="1:38" ht="12.75" customHeight="1" x14ac:dyDescent="0.3">
      <c r="A57" s="98"/>
      <c r="B57" s="98"/>
      <c r="C57" s="98"/>
      <c r="D57" s="93"/>
      <c r="E57" s="93"/>
      <c r="F57" s="93"/>
      <c r="G57" s="93"/>
      <c r="H57" s="93"/>
      <c r="I57" s="93"/>
      <c r="J57" s="93"/>
      <c r="K57" s="93"/>
      <c r="L57" s="94"/>
      <c r="M57" s="93"/>
      <c r="N57" s="1"/>
      <c r="O57" s="1"/>
      <c r="P57" s="1"/>
      <c r="Q57" s="243"/>
      <c r="R57" s="1"/>
      <c r="S57" s="1"/>
      <c r="T57" s="1"/>
      <c r="U57" s="1"/>
      <c r="V57" s="1"/>
      <c r="W57" s="1"/>
      <c r="X57" s="338"/>
      <c r="Y57" s="61" t="s">
        <v>643</v>
      </c>
      <c r="Z57" s="352">
        <v>800</v>
      </c>
      <c r="AA57" s="340">
        <v>-5.4999999999999997E-3</v>
      </c>
      <c r="AB57" s="340">
        <v>-3.0000000000000001E-3</v>
      </c>
      <c r="AC57" s="340">
        <v>-1E-3</v>
      </c>
      <c r="AD57" s="340">
        <v>3.0000000000000001E-3</v>
      </c>
      <c r="AE57" s="339">
        <v>6.4000000000000003E-3</v>
      </c>
      <c r="AF57" s="1"/>
      <c r="AG57" s="1"/>
      <c r="AH57" s="1"/>
      <c r="AI57" s="1"/>
      <c r="AJ57" s="1"/>
      <c r="AK57" s="1"/>
      <c r="AL57" s="1"/>
    </row>
    <row r="58" spans="1:38" ht="12.75" customHeight="1" x14ac:dyDescent="0.3">
      <c r="A58" s="834" t="s">
        <v>103</v>
      </c>
      <c r="B58" s="794"/>
      <c r="C58" s="794"/>
      <c r="D58" s="794"/>
      <c r="E58" s="794"/>
      <c r="F58" s="794"/>
      <c r="G58" s="794"/>
      <c r="H58" s="794"/>
      <c r="I58" s="794"/>
      <c r="J58" s="780"/>
      <c r="K58" s="835">
        <f>SUM(L52:L57)</f>
        <v>8.5990527723387865E-4</v>
      </c>
      <c r="L58" s="780"/>
      <c r="M58" s="93">
        <f>SUM(M52:M57)</f>
        <v>1.3898280083793454E-8</v>
      </c>
      <c r="N58" s="1"/>
      <c r="O58" s="1"/>
      <c r="P58" s="1"/>
      <c r="Q58" s="243"/>
      <c r="R58" s="1"/>
      <c r="S58" s="1"/>
      <c r="T58" s="1"/>
      <c r="U58" s="1"/>
      <c r="V58" s="1"/>
      <c r="W58" s="1"/>
      <c r="X58" s="75"/>
      <c r="Y58" s="61" t="s">
        <v>643</v>
      </c>
      <c r="Z58" s="104">
        <v>1000</v>
      </c>
      <c r="AA58" s="77">
        <v>-5.4000000000000003E-3</v>
      </c>
      <c r="AB58" s="77">
        <v>-3.0000000000000001E-3</v>
      </c>
      <c r="AC58" s="77">
        <v>-2E-3</v>
      </c>
      <c r="AD58" s="77">
        <v>5.0000000000000001E-3</v>
      </c>
      <c r="AE58" s="76">
        <v>7.7999999999999996E-3</v>
      </c>
      <c r="AF58" s="1"/>
      <c r="AG58" s="1"/>
      <c r="AH58" s="1"/>
      <c r="AI58" s="1"/>
      <c r="AJ58" s="1"/>
      <c r="AK58" s="1"/>
      <c r="AL58" s="1"/>
    </row>
    <row r="59" spans="1:38" ht="12.75" customHeight="1" x14ac:dyDescent="0.3">
      <c r="A59" s="834" t="s">
        <v>104</v>
      </c>
      <c r="B59" s="794"/>
      <c r="C59" s="794"/>
      <c r="D59" s="794"/>
      <c r="E59" s="794"/>
      <c r="F59" s="794"/>
      <c r="G59" s="794"/>
      <c r="H59" s="794"/>
      <c r="I59" s="794"/>
      <c r="J59" s="780"/>
      <c r="K59" s="835">
        <f>SQRT(K58)</f>
        <v>2.9324141542999664E-2</v>
      </c>
      <c r="L59" s="780"/>
      <c r="M59" s="93"/>
      <c r="N59" s="1"/>
      <c r="O59" s="1"/>
      <c r="P59" s="1"/>
      <c r="Q59" s="243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</row>
    <row r="60" spans="1:38" ht="12.75" customHeight="1" x14ac:dyDescent="0.3">
      <c r="A60" s="834" t="s">
        <v>115</v>
      </c>
      <c r="B60" s="794"/>
      <c r="C60" s="794"/>
      <c r="D60" s="794"/>
      <c r="E60" s="794"/>
      <c r="F60" s="794"/>
      <c r="G60" s="794"/>
      <c r="H60" s="794"/>
      <c r="I60" s="794"/>
      <c r="J60" s="780"/>
      <c r="K60" s="99">
        <f>(K59^4)/M58</f>
        <v>53.203495781965053</v>
      </c>
      <c r="L60" s="101"/>
      <c r="M60" s="93"/>
      <c r="N60" s="1"/>
      <c r="O60" s="1"/>
      <c r="P60" s="1"/>
      <c r="Q60" s="243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</row>
    <row r="61" spans="1:38" ht="12.75" customHeight="1" x14ac:dyDescent="0.3">
      <c r="A61" s="834" t="s">
        <v>116</v>
      </c>
      <c r="B61" s="794"/>
      <c r="C61" s="794"/>
      <c r="D61" s="794"/>
      <c r="E61" s="794"/>
      <c r="F61" s="794"/>
      <c r="G61" s="794"/>
      <c r="H61" s="794"/>
      <c r="I61" s="794"/>
      <c r="J61" s="780"/>
      <c r="K61" s="99">
        <f>1.95996+2.37356/K60+2.818745/K60^2+2.546662/K60^3+1.761829/K60^4+0.245458/K60^5+1.000764/K60^6</f>
        <v>2.0055857963765167</v>
      </c>
      <c r="L61" s="101">
        <v>2</v>
      </c>
      <c r="M61" s="93"/>
      <c r="N61" s="1"/>
      <c r="O61" s="1"/>
      <c r="P61" s="1"/>
      <c r="Q61" s="243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</row>
    <row r="62" spans="1:38" ht="12.75" customHeight="1" x14ac:dyDescent="0.3">
      <c r="A62" s="834" t="s">
        <v>107</v>
      </c>
      <c r="B62" s="794"/>
      <c r="C62" s="794"/>
      <c r="D62" s="794"/>
      <c r="E62" s="794"/>
      <c r="F62" s="794"/>
      <c r="G62" s="794"/>
      <c r="H62" s="794"/>
      <c r="I62" s="794"/>
      <c r="J62" s="780"/>
      <c r="K62" s="99">
        <f>K61*K59</f>
        <v>5.8812081769574677E-2</v>
      </c>
      <c r="L62" s="101">
        <f>L61*K59</f>
        <v>5.8648283085999328E-2</v>
      </c>
      <c r="M62" s="93"/>
      <c r="N62" s="1"/>
      <c r="O62" s="1"/>
      <c r="P62" s="1"/>
      <c r="Q62" s="243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</row>
    <row r="63" spans="1:38" ht="12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243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</row>
    <row r="64" spans="1:38" ht="12.75" customHeight="1" x14ac:dyDescent="0.3">
      <c r="A64" s="71" t="s">
        <v>76</v>
      </c>
      <c r="B64" s="1"/>
      <c r="C64" s="1"/>
      <c r="D64" s="1">
        <f>A2</f>
        <v>600</v>
      </c>
      <c r="E64" s="103" t="str">
        <f>B2</f>
        <v>mV</v>
      </c>
      <c r="F64" s="81"/>
      <c r="G64" s="82"/>
      <c r="H64" s="12"/>
      <c r="I64" s="12"/>
      <c r="J64" s="12"/>
      <c r="K64" s="12"/>
      <c r="L64" s="12"/>
      <c r="M64" s="287" t="str">
        <f>M$34</f>
        <v>DC Voltage-Measure</v>
      </c>
      <c r="N64" s="1"/>
      <c r="O64" s="1"/>
      <c r="P64" s="1"/>
      <c r="Q64" s="243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</row>
    <row r="65" spans="1:38" ht="12.75" customHeight="1" x14ac:dyDescent="0.3">
      <c r="A65" s="84" t="s">
        <v>2</v>
      </c>
      <c r="B65" s="85"/>
      <c r="C65" s="85"/>
      <c r="D65" s="55">
        <f>C4</f>
        <v>0.54</v>
      </c>
      <c r="E65" s="80" t="str">
        <f>D4</f>
        <v>V1</v>
      </c>
      <c r="F65" s="107">
        <f>F4</f>
        <v>539.9</v>
      </c>
      <c r="G65" s="107" t="str">
        <f>G4</f>
        <v>mV</v>
      </c>
      <c r="H65" s="89">
        <v>0.1</v>
      </c>
      <c r="I65" s="90"/>
      <c r="J65" s="90"/>
      <c r="K65" s="90"/>
      <c r="L65" s="90"/>
      <c r="M65" s="76"/>
      <c r="N65" s="1"/>
      <c r="O65" s="1"/>
      <c r="P65" s="1"/>
      <c r="Q65" s="243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</row>
    <row r="66" spans="1:38" ht="12.75" customHeight="1" x14ac:dyDescent="0.3">
      <c r="A66" s="91" t="s">
        <v>78</v>
      </c>
      <c r="B66" s="91" t="s">
        <v>79</v>
      </c>
      <c r="C66" s="91" t="s">
        <v>10</v>
      </c>
      <c r="D66" s="91" t="s">
        <v>80</v>
      </c>
      <c r="E66" s="91" t="s">
        <v>81</v>
      </c>
      <c r="F66" s="92" t="s">
        <v>82</v>
      </c>
      <c r="G66" s="91" t="s">
        <v>83</v>
      </c>
      <c r="H66" s="91" t="s">
        <v>84</v>
      </c>
      <c r="I66" s="91" t="s">
        <v>85</v>
      </c>
      <c r="J66" s="91" t="s">
        <v>86</v>
      </c>
      <c r="K66" s="91" t="s">
        <v>87</v>
      </c>
      <c r="L66" s="91" t="s">
        <v>117</v>
      </c>
      <c r="M66" s="91" t="s">
        <v>118</v>
      </c>
      <c r="N66" s="1"/>
      <c r="O66" s="1"/>
      <c r="P66" s="1"/>
      <c r="Q66" s="243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</row>
    <row r="67" spans="1:38" ht="12.75" customHeight="1" x14ac:dyDescent="0.3">
      <c r="A67" s="93" t="s">
        <v>90</v>
      </c>
      <c r="B67" s="94" t="s">
        <v>119</v>
      </c>
      <c r="C67" s="94" t="s">
        <v>42</v>
      </c>
      <c r="D67" s="95" t="str">
        <f>G65</f>
        <v>mV</v>
      </c>
      <c r="E67" s="94" t="s">
        <v>631</v>
      </c>
      <c r="F67" s="94">
        <f>STDEV(Data!E30:N30)/SQRT(5)</f>
        <v>0</v>
      </c>
      <c r="G67" s="94">
        <v>1</v>
      </c>
      <c r="H67" s="94">
        <f>5-1</f>
        <v>4</v>
      </c>
      <c r="I67" s="94">
        <f t="shared" ref="I67:I71" si="18">(F67)/G67</f>
        <v>0</v>
      </c>
      <c r="J67" s="94">
        <v>1</v>
      </c>
      <c r="K67" s="94">
        <f t="shared" ref="K67:K71" si="19">I67*J67</f>
        <v>0</v>
      </c>
      <c r="L67" s="94">
        <f t="shared" ref="L67:L71" si="20">K67^2</f>
        <v>0</v>
      </c>
      <c r="M67" s="94">
        <f t="shared" ref="M67:M71" si="21">(K67^4)/H67</f>
        <v>0</v>
      </c>
      <c r="N67" s="1"/>
      <c r="O67" s="1"/>
      <c r="P67" s="1"/>
      <c r="Q67" s="243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</row>
    <row r="68" spans="1:38" ht="12.75" customHeight="1" x14ac:dyDescent="0.3">
      <c r="A68" s="93" t="s">
        <v>93</v>
      </c>
      <c r="B68" s="94" t="s">
        <v>120</v>
      </c>
      <c r="C68" s="94" t="s">
        <v>95</v>
      </c>
      <c r="D68" s="95" t="str">
        <f>D67</f>
        <v>mV</v>
      </c>
      <c r="E68" s="94" t="s">
        <v>96</v>
      </c>
      <c r="F68" s="94">
        <f>H65/2</f>
        <v>0.05</v>
      </c>
      <c r="G68" s="94">
        <f>SQRT(3)</f>
        <v>1.7320508075688772</v>
      </c>
      <c r="H68" s="94">
        <v>50</v>
      </c>
      <c r="I68" s="94">
        <f t="shared" si="18"/>
        <v>2.8867513459481291E-2</v>
      </c>
      <c r="J68" s="94">
        <v>1</v>
      </c>
      <c r="K68" s="94">
        <f t="shared" si="19"/>
        <v>2.8867513459481291E-2</v>
      </c>
      <c r="L68" s="94">
        <f t="shared" si="20"/>
        <v>8.333333333333335E-4</v>
      </c>
      <c r="M68" s="94">
        <f t="shared" si="21"/>
        <v>1.3888888888888894E-8</v>
      </c>
      <c r="N68" s="1"/>
      <c r="O68" s="1"/>
      <c r="P68" s="1"/>
      <c r="Q68" s="243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</row>
    <row r="69" spans="1:38" ht="12.75" customHeight="1" x14ac:dyDescent="0.3">
      <c r="A69" s="93" t="s">
        <v>97</v>
      </c>
      <c r="B69" s="94" t="s">
        <v>121</v>
      </c>
      <c r="C69" s="94" t="s">
        <v>95</v>
      </c>
      <c r="D69" s="95" t="str">
        <f>D67</f>
        <v>mV</v>
      </c>
      <c r="E69" s="94" t="s">
        <v>92</v>
      </c>
      <c r="F69" s="96">
        <f>V27*10^3</f>
        <v>5.5999999999999999E-3</v>
      </c>
      <c r="G69" s="94">
        <v>2</v>
      </c>
      <c r="H69" s="94">
        <v>60</v>
      </c>
      <c r="I69" s="94">
        <f t="shared" si="18"/>
        <v>2.8E-3</v>
      </c>
      <c r="J69" s="94">
        <v>1</v>
      </c>
      <c r="K69" s="94">
        <f t="shared" si="19"/>
        <v>2.8E-3</v>
      </c>
      <c r="L69" s="94">
        <f t="shared" si="20"/>
        <v>7.8399999999999995E-6</v>
      </c>
      <c r="M69" s="94">
        <f t="shared" si="21"/>
        <v>1.0244266666666665E-12</v>
      </c>
      <c r="N69" s="1"/>
      <c r="O69" s="1"/>
      <c r="P69" s="1"/>
      <c r="Q69" s="243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</row>
    <row r="70" spans="1:38" ht="12.75" customHeight="1" x14ac:dyDescent="0.3">
      <c r="A70" s="93" t="s">
        <v>99</v>
      </c>
      <c r="B70" s="94" t="s">
        <v>122</v>
      </c>
      <c r="C70" s="94" t="s">
        <v>95</v>
      </c>
      <c r="D70" s="95" t="str">
        <f>D67</f>
        <v>mV</v>
      </c>
      <c r="E70" s="94" t="s">
        <v>96</v>
      </c>
      <c r="F70" s="96">
        <f>U27*10^3</f>
        <v>5.5612514985931691E-3</v>
      </c>
      <c r="G70" s="94">
        <f t="shared" ref="G70:G71" si="22">SQRT(3)</f>
        <v>1.7320508075688772</v>
      </c>
      <c r="H70" s="94">
        <v>50</v>
      </c>
      <c r="I70" s="94">
        <f t="shared" si="18"/>
        <v>3.2107900497439761E-3</v>
      </c>
      <c r="J70" s="94">
        <v>1</v>
      </c>
      <c r="K70" s="94">
        <f t="shared" si="19"/>
        <v>3.2107900497439761E-3</v>
      </c>
      <c r="L70" s="94">
        <f t="shared" si="20"/>
        <v>1.0309172743534924E-5</v>
      </c>
      <c r="M70" s="94">
        <f t="shared" si="21"/>
        <v>2.125580853120868E-12</v>
      </c>
      <c r="N70" s="1"/>
      <c r="O70" s="1"/>
      <c r="P70" s="1"/>
      <c r="Q70" s="243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</row>
    <row r="71" spans="1:38" ht="12.75" customHeight="1" x14ac:dyDescent="0.3">
      <c r="A71" s="93" t="s">
        <v>101</v>
      </c>
      <c r="B71" s="94" t="s">
        <v>123</v>
      </c>
      <c r="C71" s="94" t="s">
        <v>95</v>
      </c>
      <c r="D71" s="95" t="str">
        <f>D67</f>
        <v>mV</v>
      </c>
      <c r="E71" s="94" t="s">
        <v>96</v>
      </c>
      <c r="F71" s="94">
        <f>$F$41</f>
        <v>2.8089999999925098E-3</v>
      </c>
      <c r="G71" s="94">
        <f t="shared" si="22"/>
        <v>1.7320508075688772</v>
      </c>
      <c r="H71" s="94">
        <v>50</v>
      </c>
      <c r="I71" s="94">
        <f t="shared" si="18"/>
        <v>1.6217769061493343E-3</v>
      </c>
      <c r="J71" s="94">
        <v>1</v>
      </c>
      <c r="K71" s="94">
        <f t="shared" si="19"/>
        <v>1.6217769061493343E-3</v>
      </c>
      <c r="L71" s="94">
        <f t="shared" si="20"/>
        <v>2.6301603333193067E-6</v>
      </c>
      <c r="M71" s="94">
        <f t="shared" si="21"/>
        <v>1.3835486757932652E-13</v>
      </c>
      <c r="N71" s="1"/>
      <c r="O71" s="1"/>
      <c r="P71" s="1"/>
      <c r="Q71" s="243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</row>
    <row r="72" spans="1:38" ht="12.75" customHeight="1" x14ac:dyDescent="0.3">
      <c r="A72" s="98"/>
      <c r="B72" s="98"/>
      <c r="C72" s="98"/>
      <c r="D72" s="93"/>
      <c r="E72" s="93"/>
      <c r="F72" s="93"/>
      <c r="G72" s="93"/>
      <c r="H72" s="93"/>
      <c r="I72" s="93"/>
      <c r="J72" s="93"/>
      <c r="K72" s="93"/>
      <c r="L72" s="94"/>
      <c r="M72" s="93"/>
      <c r="N72" s="1"/>
      <c r="O72" s="1"/>
      <c r="P72" s="1"/>
      <c r="Q72" s="243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</row>
    <row r="73" spans="1:38" ht="12.75" customHeight="1" x14ac:dyDescent="0.3">
      <c r="A73" s="834" t="s">
        <v>103</v>
      </c>
      <c r="B73" s="794"/>
      <c r="C73" s="794"/>
      <c r="D73" s="794"/>
      <c r="E73" s="794"/>
      <c r="F73" s="794"/>
      <c r="G73" s="794"/>
      <c r="H73" s="794"/>
      <c r="I73" s="794"/>
      <c r="J73" s="780"/>
      <c r="K73" s="835">
        <f>SUM(L67:L72)</f>
        <v>8.5411266641018764E-4</v>
      </c>
      <c r="L73" s="780"/>
      <c r="M73" s="93">
        <f>SUM(M67:M72)</f>
        <v>1.3892177251276261E-8</v>
      </c>
      <c r="N73" s="1"/>
      <c r="O73" s="1"/>
      <c r="P73" s="1"/>
      <c r="Q73" s="243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</row>
    <row r="74" spans="1:38" ht="12.75" customHeight="1" x14ac:dyDescent="0.3">
      <c r="A74" s="834" t="s">
        <v>104</v>
      </c>
      <c r="B74" s="794"/>
      <c r="C74" s="794"/>
      <c r="D74" s="794"/>
      <c r="E74" s="794"/>
      <c r="F74" s="794"/>
      <c r="G74" s="794"/>
      <c r="H74" s="794"/>
      <c r="I74" s="794"/>
      <c r="J74" s="780"/>
      <c r="K74" s="835">
        <f>SQRT(K73)</f>
        <v>2.922520601142424E-2</v>
      </c>
      <c r="L74" s="780"/>
      <c r="M74" s="93"/>
      <c r="N74" s="1"/>
      <c r="O74" s="1"/>
      <c r="P74" s="1"/>
      <c r="Q74" s="243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75" spans="1:38" ht="12.75" customHeight="1" x14ac:dyDescent="0.3">
      <c r="A75" s="834" t="s">
        <v>124</v>
      </c>
      <c r="B75" s="794"/>
      <c r="C75" s="794"/>
      <c r="D75" s="794"/>
      <c r="E75" s="794"/>
      <c r="F75" s="794"/>
      <c r="G75" s="794"/>
      <c r="H75" s="794"/>
      <c r="I75" s="794"/>
      <c r="J75" s="780"/>
      <c r="K75" s="99">
        <f>(K74^4)/M73</f>
        <v>52.512175285936628</v>
      </c>
      <c r="L75" s="101"/>
      <c r="M75" s="93"/>
      <c r="N75" s="1"/>
      <c r="O75" s="1"/>
      <c r="P75" s="1"/>
      <c r="Q75" s="243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</row>
    <row r="76" spans="1:38" ht="12.75" customHeight="1" x14ac:dyDescent="0.3">
      <c r="A76" s="834" t="s">
        <v>125</v>
      </c>
      <c r="B76" s="794"/>
      <c r="C76" s="794"/>
      <c r="D76" s="794"/>
      <c r="E76" s="794"/>
      <c r="F76" s="794"/>
      <c r="G76" s="794"/>
      <c r="H76" s="794"/>
      <c r="I76" s="794"/>
      <c r="J76" s="780"/>
      <c r="K76" s="99">
        <f>1.95996+2.37356/K75+2.818745/K75^2+2.546662/K75^3+1.761829/K75^4+0.245458/K75^5+1.000764/K75^6</f>
        <v>2.0062002033749899</v>
      </c>
      <c r="L76" s="101">
        <v>2</v>
      </c>
      <c r="M76" s="93"/>
      <c r="N76" s="1"/>
      <c r="O76" s="1"/>
      <c r="P76" s="1"/>
      <c r="Q76" s="243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</row>
    <row r="77" spans="1:38" ht="12.75" customHeight="1" x14ac:dyDescent="0.3">
      <c r="A77" s="834" t="s">
        <v>107</v>
      </c>
      <c r="B77" s="794"/>
      <c r="C77" s="794"/>
      <c r="D77" s="794"/>
      <c r="E77" s="794"/>
      <c r="F77" s="794"/>
      <c r="G77" s="794"/>
      <c r="H77" s="794"/>
      <c r="I77" s="794"/>
      <c r="J77" s="780"/>
      <c r="K77" s="99">
        <f>K76*K74</f>
        <v>5.8631614243795288E-2</v>
      </c>
      <c r="L77" s="101">
        <f>L76*K74</f>
        <v>5.845041202284848E-2</v>
      </c>
      <c r="M77" s="93"/>
      <c r="N77" s="1"/>
      <c r="O77" s="1"/>
      <c r="P77" s="1"/>
      <c r="Q77" s="243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</row>
    <row r="78" spans="1:38" ht="12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243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</row>
    <row r="79" spans="1:38" ht="12.75" customHeight="1" x14ac:dyDescent="0.3">
      <c r="A79" s="71" t="s">
        <v>76</v>
      </c>
      <c r="B79" s="1"/>
      <c r="C79" s="1"/>
      <c r="D79" s="1">
        <f>A5</f>
        <v>6</v>
      </c>
      <c r="E79" s="1" t="str">
        <f>B5</f>
        <v>V</v>
      </c>
      <c r="F79" s="81"/>
      <c r="G79" s="82"/>
      <c r="H79" s="12"/>
      <c r="I79" s="12"/>
      <c r="J79" s="12"/>
      <c r="K79" s="12"/>
      <c r="L79" s="12"/>
      <c r="M79" s="287" t="str">
        <f>M$34</f>
        <v>DC Voltage-Measure</v>
      </c>
      <c r="N79" s="1"/>
      <c r="O79" s="1"/>
      <c r="P79" s="1"/>
      <c r="Q79" s="243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</row>
    <row r="80" spans="1:38" ht="12.75" customHeight="1" x14ac:dyDescent="0.3">
      <c r="A80" s="84" t="s">
        <v>2</v>
      </c>
      <c r="B80" s="85"/>
      <c r="C80" s="85"/>
      <c r="D80" s="55">
        <f>C5</f>
        <v>0.60000000000000009</v>
      </c>
      <c r="E80" s="80" t="str">
        <f>D5</f>
        <v>V1</v>
      </c>
      <c r="F80" s="107">
        <f>F5</f>
        <v>0.6</v>
      </c>
      <c r="G80" s="174" t="str">
        <f>G5</f>
        <v>V</v>
      </c>
      <c r="H80" s="89">
        <v>1E-3</v>
      </c>
      <c r="I80" s="90"/>
      <c r="J80" s="90"/>
      <c r="K80" s="90"/>
      <c r="L80" s="90"/>
      <c r="M80" s="76"/>
      <c r="N80" s="1"/>
      <c r="O80" s="1"/>
      <c r="P80" s="1"/>
      <c r="Q80" s="243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</row>
    <row r="81" spans="1:38" ht="12.75" customHeight="1" x14ac:dyDescent="0.3">
      <c r="A81" s="91" t="s">
        <v>78</v>
      </c>
      <c r="B81" s="91" t="s">
        <v>79</v>
      </c>
      <c r="C81" s="91" t="s">
        <v>10</v>
      </c>
      <c r="D81" s="91" t="s">
        <v>80</v>
      </c>
      <c r="E81" s="91" t="s">
        <v>81</v>
      </c>
      <c r="F81" s="92" t="s">
        <v>82</v>
      </c>
      <c r="G81" s="91" t="s">
        <v>83</v>
      </c>
      <c r="H81" s="91" t="s">
        <v>84</v>
      </c>
      <c r="I81" s="91" t="s">
        <v>85</v>
      </c>
      <c r="J81" s="91" t="s">
        <v>86</v>
      </c>
      <c r="K81" s="91" t="s">
        <v>87</v>
      </c>
      <c r="L81" s="91" t="s">
        <v>126</v>
      </c>
      <c r="M81" s="91" t="s">
        <v>127</v>
      </c>
      <c r="N81" s="1"/>
      <c r="O81" s="1"/>
      <c r="P81" s="1"/>
      <c r="Q81" s="243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</row>
    <row r="82" spans="1:38" ht="12.75" customHeight="1" x14ac:dyDescent="0.3">
      <c r="A82" s="93" t="s">
        <v>90</v>
      </c>
      <c r="B82" s="94" t="s">
        <v>128</v>
      </c>
      <c r="C82" s="94" t="s">
        <v>42</v>
      </c>
      <c r="D82" s="95" t="str">
        <f>G80</f>
        <v>V</v>
      </c>
      <c r="E82" s="94" t="s">
        <v>631</v>
      </c>
      <c r="F82" s="94">
        <f>STDEV(Data!E32:N32)/SQRT(5)</f>
        <v>0</v>
      </c>
      <c r="G82" s="94">
        <v>1</v>
      </c>
      <c r="H82" s="94">
        <f>5-1</f>
        <v>4</v>
      </c>
      <c r="I82" s="94">
        <f t="shared" ref="I82:I86" si="23">(F82)/G82</f>
        <v>0</v>
      </c>
      <c r="J82" s="94">
        <v>1</v>
      </c>
      <c r="K82" s="94">
        <f t="shared" ref="K82:K86" si="24">I82*J82</f>
        <v>0</v>
      </c>
      <c r="L82" s="94">
        <f t="shared" ref="L82:L86" si="25">K82^2</f>
        <v>0</v>
      </c>
      <c r="M82" s="94">
        <f t="shared" ref="M82:M86" si="26">(K82^4)/H82</f>
        <v>0</v>
      </c>
      <c r="N82" s="1"/>
      <c r="O82" s="1"/>
      <c r="P82" s="1"/>
      <c r="Q82" s="243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</row>
    <row r="83" spans="1:38" ht="12.75" customHeight="1" x14ac:dyDescent="0.3">
      <c r="A83" s="93" t="s">
        <v>93</v>
      </c>
      <c r="B83" s="94" t="s">
        <v>129</v>
      </c>
      <c r="C83" s="94" t="s">
        <v>95</v>
      </c>
      <c r="D83" s="95" t="str">
        <f>D82</f>
        <v>V</v>
      </c>
      <c r="E83" s="94" t="s">
        <v>96</v>
      </c>
      <c r="F83" s="94">
        <f>H80/2</f>
        <v>5.0000000000000001E-4</v>
      </c>
      <c r="G83" s="94">
        <f>SQRT(3)</f>
        <v>1.7320508075688772</v>
      </c>
      <c r="H83" s="94">
        <v>50</v>
      </c>
      <c r="I83" s="94">
        <f t="shared" si="23"/>
        <v>2.886751345948129E-4</v>
      </c>
      <c r="J83" s="94">
        <v>1</v>
      </c>
      <c r="K83" s="94">
        <f t="shared" si="24"/>
        <v>2.886751345948129E-4</v>
      </c>
      <c r="L83" s="94">
        <f t="shared" si="25"/>
        <v>8.3333333333333338E-8</v>
      </c>
      <c r="M83" s="94">
        <f t="shared" si="26"/>
        <v>1.388888888888889E-16</v>
      </c>
      <c r="N83" s="1"/>
      <c r="O83" s="1"/>
      <c r="P83" s="1"/>
      <c r="Q83" s="243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</row>
    <row r="84" spans="1:38" ht="12.75" customHeight="1" x14ac:dyDescent="0.3">
      <c r="A84" s="93" t="s">
        <v>97</v>
      </c>
      <c r="B84" s="94" t="s">
        <v>130</v>
      </c>
      <c r="C84" s="94" t="s">
        <v>95</v>
      </c>
      <c r="D84" s="95" t="str">
        <f>D82</f>
        <v>V</v>
      </c>
      <c r="E84" s="94" t="s">
        <v>92</v>
      </c>
      <c r="F84" s="96">
        <f>V28</f>
        <v>5.5999999999999997E-6</v>
      </c>
      <c r="G84" s="94">
        <v>2</v>
      </c>
      <c r="H84" s="94">
        <v>60</v>
      </c>
      <c r="I84" s="94">
        <f t="shared" si="23"/>
        <v>2.7999999999999999E-6</v>
      </c>
      <c r="J84" s="94">
        <v>1</v>
      </c>
      <c r="K84" s="94">
        <f t="shared" si="24"/>
        <v>2.7999999999999999E-6</v>
      </c>
      <c r="L84" s="94">
        <f t="shared" si="25"/>
        <v>7.8399999999999989E-12</v>
      </c>
      <c r="M84" s="94">
        <f t="shared" si="26"/>
        <v>1.0244266666666662E-24</v>
      </c>
      <c r="N84" s="1"/>
      <c r="O84" s="1"/>
      <c r="P84" s="1"/>
      <c r="Q84" s="243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</row>
    <row r="85" spans="1:38" ht="12.75" customHeight="1" x14ac:dyDescent="0.3">
      <c r="A85" s="93" t="s">
        <v>99</v>
      </c>
      <c r="B85" s="94" t="s">
        <v>131</v>
      </c>
      <c r="C85" s="94" t="s">
        <v>95</v>
      </c>
      <c r="D85" s="95" t="str">
        <f>D82</f>
        <v>V</v>
      </c>
      <c r="E85" s="94" t="s">
        <v>96</v>
      </c>
      <c r="F85" s="96">
        <f>U28</f>
        <v>5.3975003366590085E-6</v>
      </c>
      <c r="G85" s="94">
        <f t="shared" ref="G85:G86" si="27">SQRT(3)</f>
        <v>1.7320508075688772</v>
      </c>
      <c r="H85" s="94">
        <v>50</v>
      </c>
      <c r="I85" s="94">
        <f t="shared" si="23"/>
        <v>3.1162482723211742E-6</v>
      </c>
      <c r="J85" s="94">
        <v>1</v>
      </c>
      <c r="K85" s="94">
        <f t="shared" si="24"/>
        <v>3.1162482723211742E-6</v>
      </c>
      <c r="L85" s="94">
        <f t="shared" si="25"/>
        <v>9.7110032947447039E-12</v>
      </c>
      <c r="M85" s="94">
        <f t="shared" si="26"/>
        <v>1.88607169981085E-24</v>
      </c>
      <c r="N85" s="1"/>
      <c r="O85" s="1"/>
      <c r="P85" s="1"/>
      <c r="Q85" s="243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</row>
    <row r="86" spans="1:38" ht="12.75" customHeight="1" x14ac:dyDescent="0.3">
      <c r="A86" s="93" t="s">
        <v>101</v>
      </c>
      <c r="B86" s="94" t="s">
        <v>132</v>
      </c>
      <c r="C86" s="94" t="s">
        <v>95</v>
      </c>
      <c r="D86" s="95" t="str">
        <f>D82</f>
        <v>V</v>
      </c>
      <c r="E86" s="94" t="s">
        <v>96</v>
      </c>
      <c r="F86" s="94">
        <f>$F$41/10^3</f>
        <v>2.8089999999925098E-6</v>
      </c>
      <c r="G86" s="94">
        <f t="shared" si="27"/>
        <v>1.7320508075688772</v>
      </c>
      <c r="H86" s="94">
        <v>50</v>
      </c>
      <c r="I86" s="94">
        <f t="shared" si="23"/>
        <v>1.6217769061493344E-6</v>
      </c>
      <c r="J86" s="94">
        <v>1</v>
      </c>
      <c r="K86" s="94">
        <f t="shared" si="24"/>
        <v>1.6217769061493344E-6</v>
      </c>
      <c r="L86" s="94">
        <f t="shared" si="25"/>
        <v>2.6301603333193072E-12</v>
      </c>
      <c r="M86" s="94">
        <f t="shared" si="26"/>
        <v>1.3835486757932657E-25</v>
      </c>
      <c r="N86" s="1"/>
      <c r="O86" s="1"/>
      <c r="P86" s="1"/>
      <c r="Q86" s="243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</row>
    <row r="87" spans="1:38" ht="12.75" customHeight="1" x14ac:dyDescent="0.3">
      <c r="A87" s="98"/>
      <c r="B87" s="98"/>
      <c r="C87" s="98"/>
      <c r="D87" s="93"/>
      <c r="E87" s="93"/>
      <c r="F87" s="93"/>
      <c r="G87" s="93"/>
      <c r="H87" s="93"/>
      <c r="I87" s="93"/>
      <c r="J87" s="93"/>
      <c r="K87" s="93"/>
      <c r="L87" s="94"/>
      <c r="M87" s="93"/>
      <c r="N87" s="1"/>
      <c r="O87" s="1"/>
      <c r="P87" s="1"/>
      <c r="Q87" s="243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</row>
    <row r="88" spans="1:38" ht="12.75" customHeight="1" x14ac:dyDescent="0.3">
      <c r="A88" s="834" t="s">
        <v>103</v>
      </c>
      <c r="B88" s="794"/>
      <c r="C88" s="794"/>
      <c r="D88" s="794"/>
      <c r="E88" s="794"/>
      <c r="F88" s="794"/>
      <c r="G88" s="794"/>
      <c r="H88" s="794"/>
      <c r="I88" s="794"/>
      <c r="J88" s="780"/>
      <c r="K88" s="835">
        <f>SUM(L82:L87)</f>
        <v>8.3353514496961394E-8</v>
      </c>
      <c r="L88" s="780"/>
      <c r="M88" s="93">
        <f>SUM(M82:M87)</f>
        <v>1.3888889193774215E-16</v>
      </c>
      <c r="N88" s="1"/>
      <c r="O88" s="1"/>
      <c r="P88" s="1"/>
      <c r="Q88" s="243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</row>
    <row r="89" spans="1:38" ht="12.75" customHeight="1" x14ac:dyDescent="0.3">
      <c r="A89" s="834" t="s">
        <v>104</v>
      </c>
      <c r="B89" s="794"/>
      <c r="C89" s="794"/>
      <c r="D89" s="794"/>
      <c r="E89" s="794"/>
      <c r="F89" s="794"/>
      <c r="G89" s="794"/>
      <c r="H89" s="794"/>
      <c r="I89" s="794"/>
      <c r="J89" s="780"/>
      <c r="K89" s="835">
        <f>SQRT(K88)</f>
        <v>2.887100872795431E-4</v>
      </c>
      <c r="L89" s="780"/>
      <c r="M89" s="93"/>
      <c r="N89" s="1"/>
      <c r="O89" s="1"/>
      <c r="P89" s="1"/>
      <c r="Q89" s="243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</row>
    <row r="90" spans="1:38" ht="12.75" customHeight="1" x14ac:dyDescent="0.3">
      <c r="A90" s="834" t="s">
        <v>133</v>
      </c>
      <c r="B90" s="794"/>
      <c r="C90" s="794"/>
      <c r="D90" s="794"/>
      <c r="E90" s="794"/>
      <c r="F90" s="794"/>
      <c r="G90" s="794"/>
      <c r="H90" s="794"/>
      <c r="I90" s="794"/>
      <c r="J90" s="780"/>
      <c r="K90" s="99">
        <f>(K89^4)/M88</f>
        <v>50.024219230646274</v>
      </c>
      <c r="L90" s="101"/>
      <c r="M90" s="93"/>
      <c r="N90" s="1"/>
      <c r="O90" s="1"/>
      <c r="P90" s="1"/>
      <c r="Q90" s="243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</row>
    <row r="91" spans="1:38" ht="12.75" customHeight="1" x14ac:dyDescent="0.3">
      <c r="A91" s="834" t="s">
        <v>134</v>
      </c>
      <c r="B91" s="794"/>
      <c r="C91" s="794"/>
      <c r="D91" s="794"/>
      <c r="E91" s="794"/>
      <c r="F91" s="794"/>
      <c r="G91" s="794"/>
      <c r="H91" s="794"/>
      <c r="I91" s="794"/>
      <c r="J91" s="780"/>
      <c r="K91" s="99">
        <f>1.95996+2.37356/K90+2.818745/K90^2+2.546662/K90^3+1.761829/K90^4+0.245458/K90^5+1.000764/K90^6</f>
        <v>2.0085552492352936</v>
      </c>
      <c r="L91" s="101">
        <v>2</v>
      </c>
      <c r="M91" s="93"/>
      <c r="N91" s="1"/>
      <c r="O91" s="1"/>
      <c r="P91" s="1"/>
      <c r="Q91" s="243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</row>
    <row r="92" spans="1:38" ht="12.75" customHeight="1" x14ac:dyDescent="0.3">
      <c r="A92" s="834" t="s">
        <v>107</v>
      </c>
      <c r="B92" s="794"/>
      <c r="C92" s="794"/>
      <c r="D92" s="794"/>
      <c r="E92" s="794"/>
      <c r="F92" s="794"/>
      <c r="G92" s="794"/>
      <c r="H92" s="794"/>
      <c r="I92" s="794"/>
      <c r="J92" s="780"/>
      <c r="K92" s="99">
        <f>K91*K89</f>
        <v>5.79890161312506E-4</v>
      </c>
      <c r="L92" s="101">
        <f>L91*K89</f>
        <v>5.7742017455908619E-4</v>
      </c>
      <c r="M92" s="93"/>
      <c r="N92" s="1"/>
      <c r="O92" s="1"/>
      <c r="P92" s="1"/>
      <c r="Q92" s="243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</row>
    <row r="93" spans="1:38" ht="12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243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</row>
    <row r="94" spans="1:38" ht="12.75" customHeight="1" x14ac:dyDescent="0.3">
      <c r="A94" s="71" t="s">
        <v>76</v>
      </c>
      <c r="B94" s="1"/>
      <c r="C94" s="1"/>
      <c r="D94" s="1">
        <f>A5</f>
        <v>6</v>
      </c>
      <c r="E94" s="1" t="str">
        <f>B5</f>
        <v>V</v>
      </c>
      <c r="F94" s="81"/>
      <c r="G94" s="82"/>
      <c r="H94" s="12"/>
      <c r="I94" s="12"/>
      <c r="J94" s="12"/>
      <c r="K94" s="12"/>
      <c r="L94" s="12"/>
      <c r="M94" s="287" t="str">
        <f>M$34</f>
        <v>DC Voltage-Measure</v>
      </c>
      <c r="N94" s="1"/>
      <c r="O94" s="1"/>
      <c r="P94" s="1"/>
      <c r="Q94" s="243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</row>
    <row r="95" spans="1:38" ht="12.75" customHeight="1" x14ac:dyDescent="0.3">
      <c r="A95" s="84" t="s">
        <v>2</v>
      </c>
      <c r="B95" s="85"/>
      <c r="C95" s="85"/>
      <c r="D95" s="55">
        <f>C6</f>
        <v>3</v>
      </c>
      <c r="E95" s="80" t="str">
        <f>D6</f>
        <v>V1</v>
      </c>
      <c r="F95" s="106"/>
      <c r="G95" s="108"/>
      <c r="H95" s="89">
        <v>1E-3</v>
      </c>
      <c r="I95" s="90"/>
      <c r="J95" s="90"/>
      <c r="K95" s="90"/>
      <c r="L95" s="90"/>
      <c r="M95" s="76"/>
      <c r="N95" s="1"/>
      <c r="O95" s="1"/>
      <c r="P95" s="1"/>
      <c r="Q95" s="243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</row>
    <row r="96" spans="1:38" ht="12.75" customHeight="1" x14ac:dyDescent="0.3">
      <c r="A96" s="91" t="s">
        <v>78</v>
      </c>
      <c r="B96" s="91" t="s">
        <v>79</v>
      </c>
      <c r="C96" s="91" t="s">
        <v>10</v>
      </c>
      <c r="D96" s="91" t="s">
        <v>80</v>
      </c>
      <c r="E96" s="91" t="s">
        <v>81</v>
      </c>
      <c r="F96" s="92" t="s">
        <v>82</v>
      </c>
      <c r="G96" s="91" t="s">
        <v>83</v>
      </c>
      <c r="H96" s="91" t="s">
        <v>84</v>
      </c>
      <c r="I96" s="91" t="s">
        <v>85</v>
      </c>
      <c r="J96" s="91" t="s">
        <v>86</v>
      </c>
      <c r="K96" s="91" t="s">
        <v>87</v>
      </c>
      <c r="L96" s="91" t="s">
        <v>135</v>
      </c>
      <c r="M96" s="91" t="s">
        <v>136</v>
      </c>
      <c r="N96" s="1"/>
      <c r="O96" s="1"/>
      <c r="P96" s="1"/>
      <c r="Q96" s="243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</row>
    <row r="97" spans="1:38" ht="12.75" customHeight="1" x14ac:dyDescent="0.3">
      <c r="A97" s="93" t="s">
        <v>90</v>
      </c>
      <c r="B97" s="94" t="s">
        <v>137</v>
      </c>
      <c r="C97" s="94" t="s">
        <v>42</v>
      </c>
      <c r="D97" s="95" t="str">
        <f>E95</f>
        <v>V1</v>
      </c>
      <c r="E97" s="94" t="s">
        <v>631</v>
      </c>
      <c r="F97" s="94">
        <f>STDEV(Data!E33:N33)/SQRT(5)</f>
        <v>0</v>
      </c>
      <c r="G97" s="94">
        <v>1</v>
      </c>
      <c r="H97" s="94">
        <f>5-1</f>
        <v>4</v>
      </c>
      <c r="I97" s="94">
        <f t="shared" ref="I97:I101" si="28">(F97)/G97</f>
        <v>0</v>
      </c>
      <c r="J97" s="94">
        <v>1</v>
      </c>
      <c r="K97" s="94">
        <f t="shared" ref="K97:K101" si="29">I97*J97</f>
        <v>0</v>
      </c>
      <c r="L97" s="94">
        <f t="shared" ref="L97:L101" si="30">K97^2</f>
        <v>0</v>
      </c>
      <c r="M97" s="94">
        <f t="shared" ref="M97:M101" si="31">(K97^4)/H97</f>
        <v>0</v>
      </c>
      <c r="N97" s="1"/>
      <c r="O97" s="1"/>
      <c r="P97" s="1"/>
      <c r="Q97" s="243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</row>
    <row r="98" spans="1:38" ht="12.75" customHeight="1" x14ac:dyDescent="0.3">
      <c r="A98" s="93" t="s">
        <v>93</v>
      </c>
      <c r="B98" s="94" t="s">
        <v>138</v>
      </c>
      <c r="C98" s="94" t="s">
        <v>95</v>
      </c>
      <c r="D98" s="95" t="str">
        <f>D97</f>
        <v>V1</v>
      </c>
      <c r="E98" s="94" t="s">
        <v>96</v>
      </c>
      <c r="F98" s="94">
        <f>H95/2</f>
        <v>5.0000000000000001E-4</v>
      </c>
      <c r="G98" s="94">
        <f>SQRT(3)</f>
        <v>1.7320508075688772</v>
      </c>
      <c r="H98" s="94">
        <v>50</v>
      </c>
      <c r="I98" s="94">
        <f t="shared" si="28"/>
        <v>2.886751345948129E-4</v>
      </c>
      <c r="J98" s="94">
        <v>1</v>
      </c>
      <c r="K98" s="94">
        <f t="shared" si="29"/>
        <v>2.886751345948129E-4</v>
      </c>
      <c r="L98" s="94">
        <f t="shared" si="30"/>
        <v>8.3333333333333338E-8</v>
      </c>
      <c r="M98" s="94">
        <f t="shared" si="31"/>
        <v>1.388888888888889E-16</v>
      </c>
      <c r="N98" s="1"/>
      <c r="O98" s="1"/>
      <c r="P98" s="1"/>
      <c r="Q98" s="243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</row>
    <row r="99" spans="1:38" ht="12.75" customHeight="1" x14ac:dyDescent="0.3">
      <c r="A99" s="93" t="s">
        <v>97</v>
      </c>
      <c r="B99" s="94" t="s">
        <v>139</v>
      </c>
      <c r="C99" s="94" t="s">
        <v>95</v>
      </c>
      <c r="D99" s="95" t="str">
        <f>D97</f>
        <v>V1</v>
      </c>
      <c r="E99" s="94" t="s">
        <v>92</v>
      </c>
      <c r="F99" s="112">
        <f>V29</f>
        <v>2.6999999999999999E-5</v>
      </c>
      <c r="G99" s="94">
        <v>2</v>
      </c>
      <c r="H99" s="94">
        <v>60</v>
      </c>
      <c r="I99" s="94">
        <f t="shared" si="28"/>
        <v>1.3499999999999999E-5</v>
      </c>
      <c r="J99" s="94">
        <v>1</v>
      </c>
      <c r="K99" s="94">
        <f t="shared" si="29"/>
        <v>1.3499999999999999E-5</v>
      </c>
      <c r="L99" s="94">
        <f t="shared" si="30"/>
        <v>1.8224999999999999E-10</v>
      </c>
      <c r="M99" s="94">
        <f t="shared" si="31"/>
        <v>5.5358437499999997E-22</v>
      </c>
      <c r="N99" s="1"/>
      <c r="O99" s="1"/>
      <c r="P99" s="1"/>
      <c r="Q99" s="243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</row>
    <row r="100" spans="1:38" ht="12.75" customHeight="1" x14ac:dyDescent="0.3">
      <c r="A100" s="93" t="s">
        <v>99</v>
      </c>
      <c r="B100" s="94" t="s">
        <v>140</v>
      </c>
      <c r="C100" s="94" t="s">
        <v>95</v>
      </c>
      <c r="D100" s="95" t="str">
        <f>D97</f>
        <v>V1</v>
      </c>
      <c r="E100" s="94" t="s">
        <v>96</v>
      </c>
      <c r="F100" s="96">
        <f>U29</f>
        <v>1.1847201876610486E-5</v>
      </c>
      <c r="G100" s="94">
        <f t="shared" ref="G100:G101" si="32">SQRT(3)</f>
        <v>1.7320508075688772</v>
      </c>
      <c r="H100" s="94">
        <v>50</v>
      </c>
      <c r="I100" s="94">
        <f t="shared" si="28"/>
        <v>6.8399851926049037E-6</v>
      </c>
      <c r="J100" s="94">
        <v>1</v>
      </c>
      <c r="K100" s="94">
        <f t="shared" si="29"/>
        <v>6.8399851926049037E-6</v>
      </c>
      <c r="L100" s="94">
        <f t="shared" si="30"/>
        <v>4.6785397435054344E-11</v>
      </c>
      <c r="M100" s="94">
        <f t="shared" si="31"/>
        <v>4.3777468263119787E-23</v>
      </c>
      <c r="N100" s="1"/>
      <c r="O100" s="1"/>
      <c r="P100" s="1"/>
      <c r="Q100" s="243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</row>
    <row r="101" spans="1:38" ht="12.75" customHeight="1" x14ac:dyDescent="0.3">
      <c r="A101" s="93" t="s">
        <v>101</v>
      </c>
      <c r="B101" s="94" t="s">
        <v>141</v>
      </c>
      <c r="C101" s="94" t="s">
        <v>95</v>
      </c>
      <c r="D101" s="95" t="str">
        <f>D97</f>
        <v>V1</v>
      </c>
      <c r="E101" s="94" t="s">
        <v>96</v>
      </c>
      <c r="F101" s="94">
        <f>$F$41/1000</f>
        <v>2.8089999999925098E-6</v>
      </c>
      <c r="G101" s="94">
        <f t="shared" si="32"/>
        <v>1.7320508075688772</v>
      </c>
      <c r="H101" s="94">
        <v>50</v>
      </c>
      <c r="I101" s="94">
        <f t="shared" si="28"/>
        <v>1.6217769061493344E-6</v>
      </c>
      <c r="J101" s="94">
        <v>1</v>
      </c>
      <c r="K101" s="94">
        <f t="shared" si="29"/>
        <v>1.6217769061493344E-6</v>
      </c>
      <c r="L101" s="94">
        <f t="shared" si="30"/>
        <v>2.6301603333193072E-12</v>
      </c>
      <c r="M101" s="94">
        <f t="shared" si="31"/>
        <v>1.3835486757932657E-25</v>
      </c>
      <c r="N101" s="1"/>
      <c r="O101" s="1"/>
      <c r="P101" s="1"/>
      <c r="Q101" s="243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</row>
    <row r="102" spans="1:38" ht="12.75" customHeight="1" x14ac:dyDescent="0.3">
      <c r="A102" s="98"/>
      <c r="B102" s="98"/>
      <c r="C102" s="98"/>
      <c r="D102" s="93"/>
      <c r="E102" s="93"/>
      <c r="F102" s="93"/>
      <c r="G102" s="93"/>
      <c r="H102" s="93"/>
      <c r="I102" s="93"/>
      <c r="J102" s="93"/>
      <c r="K102" s="93"/>
      <c r="L102" s="94"/>
      <c r="M102" s="93"/>
      <c r="N102" s="1"/>
      <c r="O102" s="1"/>
      <c r="P102" s="1"/>
      <c r="Q102" s="243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</row>
    <row r="103" spans="1:38" ht="12.75" customHeight="1" x14ac:dyDescent="0.3">
      <c r="A103" s="834" t="s">
        <v>103</v>
      </c>
      <c r="B103" s="794"/>
      <c r="C103" s="794"/>
      <c r="D103" s="794"/>
      <c r="E103" s="794"/>
      <c r="F103" s="794"/>
      <c r="G103" s="794"/>
      <c r="H103" s="794"/>
      <c r="I103" s="794"/>
      <c r="J103" s="780"/>
      <c r="K103" s="835">
        <f>SUM(L97:L102)</f>
        <v>8.3564998891101716E-8</v>
      </c>
      <c r="L103" s="780"/>
      <c r="M103" s="93">
        <f>SUM(M97:M102)</f>
        <v>1.3888948638908702E-16</v>
      </c>
      <c r="N103" s="1"/>
      <c r="O103" s="1"/>
      <c r="P103" s="1"/>
      <c r="Q103" s="243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</row>
    <row r="104" spans="1:38" ht="12.75" customHeight="1" x14ac:dyDescent="0.3">
      <c r="A104" s="834" t="s">
        <v>104</v>
      </c>
      <c r="B104" s="794"/>
      <c r="C104" s="794"/>
      <c r="D104" s="794"/>
      <c r="E104" s="794"/>
      <c r="F104" s="794"/>
      <c r="G104" s="794"/>
      <c r="H104" s="794"/>
      <c r="I104" s="794"/>
      <c r="J104" s="780"/>
      <c r="K104" s="835">
        <f>SQRT(K103)</f>
        <v>2.8907611262624539E-4</v>
      </c>
      <c r="L104" s="780"/>
      <c r="M104" s="93"/>
      <c r="N104" s="1"/>
      <c r="O104" s="1"/>
      <c r="P104" s="1"/>
      <c r="Q104" s="243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</row>
    <row r="105" spans="1:38" ht="12.75" customHeight="1" x14ac:dyDescent="0.3">
      <c r="A105" s="834" t="s">
        <v>142</v>
      </c>
      <c r="B105" s="794"/>
      <c r="C105" s="794"/>
      <c r="D105" s="794"/>
      <c r="E105" s="794"/>
      <c r="F105" s="794"/>
      <c r="G105" s="794"/>
      <c r="H105" s="794"/>
      <c r="I105" s="794"/>
      <c r="J105" s="780"/>
      <c r="K105" s="99">
        <f>(K104^4)/M103</f>
        <v>50.278168788868911</v>
      </c>
      <c r="L105" s="101"/>
      <c r="M105" s="93"/>
      <c r="N105" s="1"/>
      <c r="O105" s="1"/>
      <c r="P105" s="1"/>
      <c r="Q105" s="243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</row>
    <row r="106" spans="1:38" ht="12.75" customHeight="1" x14ac:dyDescent="0.3">
      <c r="A106" s="834" t="s">
        <v>143</v>
      </c>
      <c r="B106" s="794"/>
      <c r="C106" s="794"/>
      <c r="D106" s="794"/>
      <c r="E106" s="794"/>
      <c r="F106" s="794"/>
      <c r="G106" s="794"/>
      <c r="H106" s="794"/>
      <c r="I106" s="794"/>
      <c r="J106" s="780"/>
      <c r="K106" s="99">
        <f>1.95996+2.37356/K105+2.818745/K105^2+2.546662/K105^3+1.761829/K105^4+0.245458/K105^5+1.000764/K105^6</f>
        <v>2.0083039311093072</v>
      </c>
      <c r="L106" s="101">
        <v>2</v>
      </c>
      <c r="M106" s="93"/>
      <c r="N106" s="1"/>
      <c r="O106" s="1"/>
      <c r="P106" s="1"/>
      <c r="Q106" s="243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</row>
    <row r="107" spans="1:38" ht="12.75" customHeight="1" x14ac:dyDescent="0.3">
      <c r="A107" s="834" t="s">
        <v>107</v>
      </c>
      <c r="B107" s="794"/>
      <c r="C107" s="794"/>
      <c r="D107" s="794"/>
      <c r="E107" s="794"/>
      <c r="F107" s="794"/>
      <c r="G107" s="794"/>
      <c r="H107" s="794"/>
      <c r="I107" s="794"/>
      <c r="J107" s="780"/>
      <c r="K107" s="99">
        <f>K106*K104</f>
        <v>5.8055269337708548E-4</v>
      </c>
      <c r="L107" s="101">
        <f>L106*K104</f>
        <v>5.7815222525249078E-4</v>
      </c>
      <c r="M107" s="93"/>
      <c r="N107" s="1"/>
      <c r="O107" s="1"/>
      <c r="P107" s="1"/>
      <c r="Q107" s="243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</row>
    <row r="108" spans="1:38" ht="12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243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</row>
    <row r="109" spans="1:38" ht="12.75" customHeight="1" x14ac:dyDescent="0.3">
      <c r="A109" s="71" t="s">
        <v>76</v>
      </c>
      <c r="B109" s="1"/>
      <c r="C109" s="1"/>
      <c r="D109" s="1">
        <f>A5</f>
        <v>6</v>
      </c>
      <c r="E109" s="1" t="str">
        <f>B5</f>
        <v>V</v>
      </c>
      <c r="F109" s="81"/>
      <c r="G109" s="82"/>
      <c r="H109" s="12"/>
      <c r="I109" s="12"/>
      <c r="J109" s="12"/>
      <c r="K109" s="12"/>
      <c r="L109" s="12"/>
      <c r="M109" s="287" t="str">
        <f>M$34</f>
        <v>DC Voltage-Measure</v>
      </c>
      <c r="N109" s="1"/>
      <c r="O109" s="1"/>
      <c r="P109" s="1"/>
      <c r="Q109" s="243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</row>
    <row r="110" spans="1:38" ht="12.75" customHeight="1" x14ac:dyDescent="0.3">
      <c r="A110" s="84" t="s">
        <v>2</v>
      </c>
      <c r="B110" s="85"/>
      <c r="C110" s="85"/>
      <c r="D110" s="86">
        <f>C7</f>
        <v>5.4</v>
      </c>
      <c r="E110" s="80" t="str">
        <f>D7</f>
        <v>V2</v>
      </c>
      <c r="F110" s="109"/>
      <c r="G110" s="110"/>
      <c r="H110" s="89">
        <v>1E-3</v>
      </c>
      <c r="I110" s="90"/>
      <c r="J110" s="90"/>
      <c r="K110" s="90"/>
      <c r="L110" s="90"/>
      <c r="M110" s="76"/>
      <c r="N110" s="1"/>
      <c r="O110" s="1"/>
      <c r="P110" s="1"/>
      <c r="Q110" s="243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</row>
    <row r="111" spans="1:38" ht="12.75" customHeight="1" x14ac:dyDescent="0.3">
      <c r="A111" s="91" t="s">
        <v>78</v>
      </c>
      <c r="B111" s="91" t="s">
        <v>79</v>
      </c>
      <c r="C111" s="91" t="s">
        <v>10</v>
      </c>
      <c r="D111" s="91" t="s">
        <v>80</v>
      </c>
      <c r="E111" s="91" t="s">
        <v>81</v>
      </c>
      <c r="F111" s="92" t="s">
        <v>82</v>
      </c>
      <c r="G111" s="91" t="s">
        <v>83</v>
      </c>
      <c r="H111" s="91" t="s">
        <v>84</v>
      </c>
      <c r="I111" s="91" t="s">
        <v>85</v>
      </c>
      <c r="J111" s="91" t="s">
        <v>86</v>
      </c>
      <c r="K111" s="91" t="s">
        <v>87</v>
      </c>
      <c r="L111" s="91" t="s">
        <v>144</v>
      </c>
      <c r="M111" s="91" t="s">
        <v>145</v>
      </c>
      <c r="N111" s="1"/>
      <c r="O111" s="1"/>
      <c r="P111" s="1"/>
      <c r="Q111" s="243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</row>
    <row r="112" spans="1:38" ht="12.75" customHeight="1" x14ac:dyDescent="0.3">
      <c r="A112" s="93" t="s">
        <v>90</v>
      </c>
      <c r="B112" s="94" t="s">
        <v>146</v>
      </c>
      <c r="C112" s="94" t="s">
        <v>42</v>
      </c>
      <c r="D112" s="95" t="str">
        <f>E110</f>
        <v>V2</v>
      </c>
      <c r="E112" s="94" t="s">
        <v>631</v>
      </c>
      <c r="F112" s="94">
        <f>STDEV(Data!E34:N34)/SQRT(5)</f>
        <v>0</v>
      </c>
      <c r="G112" s="94">
        <v>1</v>
      </c>
      <c r="H112" s="94">
        <f>5-1</f>
        <v>4</v>
      </c>
      <c r="I112" s="94">
        <f t="shared" ref="I112:I116" si="33">(F112)/G112</f>
        <v>0</v>
      </c>
      <c r="J112" s="94">
        <v>1</v>
      </c>
      <c r="K112" s="94">
        <f t="shared" ref="K112:K116" si="34">I112*J112</f>
        <v>0</v>
      </c>
      <c r="L112" s="94">
        <f t="shared" ref="L112:L116" si="35">K112^2</f>
        <v>0</v>
      </c>
      <c r="M112" s="94">
        <f t="shared" ref="M112:M116" si="36">(K112^4)/H112</f>
        <v>0</v>
      </c>
      <c r="N112" s="1"/>
      <c r="O112" s="1"/>
      <c r="P112" s="1"/>
      <c r="Q112" s="243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</row>
    <row r="113" spans="1:38" ht="12.75" customHeight="1" x14ac:dyDescent="0.3">
      <c r="A113" s="93" t="s">
        <v>93</v>
      </c>
      <c r="B113" s="94" t="s">
        <v>147</v>
      </c>
      <c r="C113" s="94" t="s">
        <v>95</v>
      </c>
      <c r="D113" s="95" t="str">
        <f>D112</f>
        <v>V2</v>
      </c>
      <c r="E113" s="94" t="s">
        <v>96</v>
      </c>
      <c r="F113" s="94">
        <f>H110/2</f>
        <v>5.0000000000000001E-4</v>
      </c>
      <c r="G113" s="94">
        <f>SQRT(3)</f>
        <v>1.7320508075688772</v>
      </c>
      <c r="H113" s="94">
        <v>50</v>
      </c>
      <c r="I113" s="94">
        <f t="shared" si="33"/>
        <v>2.886751345948129E-4</v>
      </c>
      <c r="J113" s="94">
        <v>1</v>
      </c>
      <c r="K113" s="94">
        <f t="shared" si="34"/>
        <v>2.886751345948129E-4</v>
      </c>
      <c r="L113" s="94">
        <f t="shared" si="35"/>
        <v>8.3333333333333338E-8</v>
      </c>
      <c r="M113" s="94">
        <f t="shared" si="36"/>
        <v>1.388888888888889E-16</v>
      </c>
      <c r="N113" s="1"/>
      <c r="O113" s="1"/>
      <c r="P113" s="1"/>
      <c r="Q113" s="243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</row>
    <row r="114" spans="1:38" ht="12.75" customHeight="1" x14ac:dyDescent="0.3">
      <c r="A114" s="93" t="s">
        <v>97</v>
      </c>
      <c r="B114" s="94" t="s">
        <v>148</v>
      </c>
      <c r="C114" s="94" t="s">
        <v>95</v>
      </c>
      <c r="D114" s="95" t="str">
        <f>D112</f>
        <v>V2</v>
      </c>
      <c r="E114" s="94" t="s">
        <v>92</v>
      </c>
      <c r="F114" s="96">
        <f>V30</f>
        <v>4.0000000000000003E-5</v>
      </c>
      <c r="G114" s="94">
        <v>2</v>
      </c>
      <c r="H114" s="94">
        <v>60</v>
      </c>
      <c r="I114" s="94">
        <f t="shared" si="33"/>
        <v>2.0000000000000002E-5</v>
      </c>
      <c r="J114" s="94">
        <v>1</v>
      </c>
      <c r="K114" s="94">
        <f t="shared" si="34"/>
        <v>2.0000000000000002E-5</v>
      </c>
      <c r="L114" s="94">
        <f t="shared" si="35"/>
        <v>4.0000000000000007E-10</v>
      </c>
      <c r="M114" s="94">
        <f t="shared" si="36"/>
        <v>2.6666666666666677E-21</v>
      </c>
      <c r="N114" s="1"/>
      <c r="O114" s="1"/>
      <c r="P114" s="1"/>
      <c r="Q114" s="243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</row>
    <row r="115" spans="1:38" ht="12.75" customHeight="1" x14ac:dyDescent="0.3">
      <c r="A115" s="93" t="s">
        <v>99</v>
      </c>
      <c r="B115" s="94" t="s">
        <v>149</v>
      </c>
      <c r="C115" s="94" t="s">
        <v>95</v>
      </c>
      <c r="D115" s="95" t="str">
        <f>D112</f>
        <v>V2</v>
      </c>
      <c r="E115" s="94" t="s">
        <v>96</v>
      </c>
      <c r="F115" s="96">
        <f>U30</f>
        <v>2.8435936014755831E-5</v>
      </c>
      <c r="G115" s="94">
        <f t="shared" ref="G115:G116" si="37">SQRT(3)</f>
        <v>1.7320508075688772</v>
      </c>
      <c r="H115" s="94">
        <v>50</v>
      </c>
      <c r="I115" s="94">
        <f t="shared" si="33"/>
        <v>1.6417495312778255E-5</v>
      </c>
      <c r="J115" s="94">
        <v>1</v>
      </c>
      <c r="K115" s="94">
        <f t="shared" si="34"/>
        <v>1.6417495312778255E-5</v>
      </c>
      <c r="L115" s="94">
        <f t="shared" si="35"/>
        <v>2.69534152345096E-10</v>
      </c>
      <c r="M115" s="94">
        <f t="shared" si="36"/>
        <v>1.4529731856077883E-21</v>
      </c>
      <c r="N115" s="1"/>
      <c r="O115" s="1"/>
      <c r="P115" s="1"/>
      <c r="Q115" s="243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</row>
    <row r="116" spans="1:38" ht="12.75" customHeight="1" x14ac:dyDescent="0.3">
      <c r="A116" s="93" t="s">
        <v>101</v>
      </c>
      <c r="B116" s="94" t="s">
        <v>150</v>
      </c>
      <c r="C116" s="94" t="s">
        <v>95</v>
      </c>
      <c r="D116" s="95" t="str">
        <f>D112</f>
        <v>V2</v>
      </c>
      <c r="E116" s="94" t="s">
        <v>96</v>
      </c>
      <c r="F116" s="94">
        <f>$F$41/1000</f>
        <v>2.8089999999925098E-6</v>
      </c>
      <c r="G116" s="94">
        <f t="shared" si="37"/>
        <v>1.7320508075688772</v>
      </c>
      <c r="H116" s="94">
        <v>50</v>
      </c>
      <c r="I116" s="94">
        <f t="shared" si="33"/>
        <v>1.6217769061493344E-6</v>
      </c>
      <c r="J116" s="94">
        <v>1</v>
      </c>
      <c r="K116" s="94">
        <f t="shared" si="34"/>
        <v>1.6217769061493344E-6</v>
      </c>
      <c r="L116" s="94">
        <f t="shared" si="35"/>
        <v>2.6301603333193072E-12</v>
      </c>
      <c r="M116" s="94">
        <f t="shared" si="36"/>
        <v>1.3835486757932657E-25</v>
      </c>
      <c r="N116" s="1"/>
      <c r="O116" s="1"/>
      <c r="P116" s="1"/>
      <c r="Q116" s="243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</row>
    <row r="117" spans="1:38" ht="12.75" customHeight="1" x14ac:dyDescent="0.3">
      <c r="A117" s="98"/>
      <c r="B117" s="98"/>
      <c r="C117" s="98"/>
      <c r="D117" s="93"/>
      <c r="E117" s="93"/>
      <c r="F117" s="93"/>
      <c r="G117" s="93"/>
      <c r="H117" s="93"/>
      <c r="I117" s="93"/>
      <c r="J117" s="93"/>
      <c r="K117" s="93"/>
      <c r="L117" s="94"/>
      <c r="M117" s="93"/>
      <c r="N117" s="1"/>
      <c r="O117" s="1"/>
      <c r="P117" s="1"/>
      <c r="Q117" s="243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</row>
    <row r="118" spans="1:38" ht="12.75" customHeight="1" x14ac:dyDescent="0.3">
      <c r="A118" s="834" t="s">
        <v>103</v>
      </c>
      <c r="B118" s="794"/>
      <c r="C118" s="794"/>
      <c r="D118" s="794"/>
      <c r="E118" s="794"/>
      <c r="F118" s="794"/>
      <c r="G118" s="794"/>
      <c r="H118" s="794"/>
      <c r="I118" s="794"/>
      <c r="J118" s="780"/>
      <c r="K118" s="835">
        <f>SUM(L112:L117)</f>
        <v>8.4005497646011759E-8</v>
      </c>
      <c r="L118" s="780"/>
      <c r="M118" s="93">
        <f>SUM(M112:M117)</f>
        <v>1.3889300866709602E-16</v>
      </c>
      <c r="N118" s="1"/>
      <c r="O118" s="1"/>
      <c r="P118" s="1"/>
      <c r="Q118" s="243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</row>
    <row r="119" spans="1:38" ht="12.75" customHeight="1" x14ac:dyDescent="0.3">
      <c r="A119" s="834" t="s">
        <v>104</v>
      </c>
      <c r="B119" s="794"/>
      <c r="C119" s="794"/>
      <c r="D119" s="794"/>
      <c r="E119" s="794"/>
      <c r="F119" s="794"/>
      <c r="G119" s="794"/>
      <c r="H119" s="794"/>
      <c r="I119" s="794"/>
      <c r="J119" s="780"/>
      <c r="K119" s="835">
        <f>SQRT(K118)</f>
        <v>2.8983701910903611E-4</v>
      </c>
      <c r="L119" s="780"/>
      <c r="M119" s="93"/>
      <c r="N119" s="1"/>
      <c r="O119" s="1"/>
      <c r="P119" s="1"/>
      <c r="Q119" s="243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</row>
    <row r="120" spans="1:38" ht="12.75" customHeight="1" x14ac:dyDescent="0.3">
      <c r="A120" s="834" t="s">
        <v>151</v>
      </c>
      <c r="B120" s="794"/>
      <c r="C120" s="794"/>
      <c r="D120" s="794"/>
      <c r="E120" s="794"/>
      <c r="F120" s="794"/>
      <c r="G120" s="794"/>
      <c r="H120" s="794"/>
      <c r="I120" s="794"/>
      <c r="J120" s="780"/>
      <c r="K120" s="99">
        <f>(K119^4)/M118</f>
        <v>50.808343072676806</v>
      </c>
      <c r="L120" s="101"/>
      <c r="M120" s="93"/>
      <c r="N120" s="1"/>
      <c r="O120" s="1"/>
      <c r="P120" s="1"/>
      <c r="Q120" s="243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</row>
    <row r="121" spans="1:38" ht="12.75" customHeight="1" x14ac:dyDescent="0.3">
      <c r="A121" s="834" t="s">
        <v>152</v>
      </c>
      <c r="B121" s="794"/>
      <c r="C121" s="794"/>
      <c r="D121" s="794"/>
      <c r="E121" s="794"/>
      <c r="F121" s="794"/>
      <c r="G121" s="794"/>
      <c r="H121" s="794"/>
      <c r="I121" s="794"/>
      <c r="J121" s="780"/>
      <c r="K121" s="99">
        <f>1.95996+2.37356/K120+2.818745/K120^2+2.546662/K120^3+1.761829/K120^4+0.245458/K120^5+1.000764/K120^6</f>
        <v>2.007787538348309</v>
      </c>
      <c r="L121" s="101">
        <v>2</v>
      </c>
      <c r="M121" s="93"/>
      <c r="N121" s="1"/>
      <c r="O121" s="1"/>
      <c r="P121" s="1"/>
      <c r="Q121" s="243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</row>
    <row r="122" spans="1:38" ht="12.75" customHeight="1" x14ac:dyDescent="0.3">
      <c r="A122" s="834" t="s">
        <v>107</v>
      </c>
      <c r="B122" s="794"/>
      <c r="C122" s="794"/>
      <c r="D122" s="794"/>
      <c r="E122" s="794"/>
      <c r="F122" s="794"/>
      <c r="G122" s="794"/>
      <c r="H122" s="794"/>
      <c r="I122" s="794"/>
      <c r="J122" s="780"/>
      <c r="K122" s="99">
        <f>K121*K119</f>
        <v>5.8193115511914338E-4</v>
      </c>
      <c r="L122" s="101">
        <f>L121*K119</f>
        <v>5.7967403821807223E-4</v>
      </c>
      <c r="M122" s="93"/>
      <c r="N122" s="1"/>
      <c r="O122" s="1"/>
      <c r="P122" s="1"/>
      <c r="Q122" s="243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</row>
    <row r="123" spans="1:38" ht="12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243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</row>
    <row r="124" spans="1:38" ht="12.75" customHeight="1" x14ac:dyDescent="0.3">
      <c r="A124" s="71" t="s">
        <v>76</v>
      </c>
      <c r="B124" s="1"/>
      <c r="C124" s="1"/>
      <c r="D124" s="1">
        <f t="shared" ref="D124:E124" si="38">A$8</f>
        <v>60</v>
      </c>
      <c r="E124" s="2" t="str">
        <f t="shared" si="38"/>
        <v>V</v>
      </c>
      <c r="F124" s="81"/>
      <c r="G124" s="82"/>
      <c r="H124" s="12"/>
      <c r="I124" s="12"/>
      <c r="J124" s="12"/>
      <c r="K124" s="12"/>
      <c r="L124" s="12"/>
      <c r="M124" s="287" t="str">
        <f>M$34</f>
        <v>DC Voltage-Measure</v>
      </c>
      <c r="N124" s="1"/>
      <c r="O124" s="1"/>
      <c r="P124" s="1"/>
      <c r="Q124" s="243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</row>
    <row r="125" spans="1:38" ht="12.75" customHeight="1" x14ac:dyDescent="0.3">
      <c r="A125" s="84" t="s">
        <v>2</v>
      </c>
      <c r="B125" s="85"/>
      <c r="C125" s="85"/>
      <c r="D125" s="86">
        <f>C8</f>
        <v>6</v>
      </c>
      <c r="E125" s="80" t="str">
        <f>D8</f>
        <v>V2</v>
      </c>
      <c r="F125" s="109"/>
      <c r="G125" s="88"/>
      <c r="H125" s="89">
        <v>0.01</v>
      </c>
      <c r="I125" s="90"/>
      <c r="J125" s="90"/>
      <c r="K125" s="90"/>
      <c r="L125" s="90"/>
      <c r="M125" s="76"/>
      <c r="N125" s="1"/>
      <c r="O125" s="1"/>
      <c r="P125" s="1"/>
      <c r="Q125" s="243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</row>
    <row r="126" spans="1:38" ht="12.75" customHeight="1" x14ac:dyDescent="0.3">
      <c r="A126" s="91" t="s">
        <v>78</v>
      </c>
      <c r="B126" s="91" t="s">
        <v>79</v>
      </c>
      <c r="C126" s="91" t="s">
        <v>10</v>
      </c>
      <c r="D126" s="91" t="s">
        <v>80</v>
      </c>
      <c r="E126" s="91" t="s">
        <v>81</v>
      </c>
      <c r="F126" s="92" t="s">
        <v>82</v>
      </c>
      <c r="G126" s="91" t="s">
        <v>83</v>
      </c>
      <c r="H126" s="91" t="s">
        <v>84</v>
      </c>
      <c r="I126" s="91" t="s">
        <v>85</v>
      </c>
      <c r="J126" s="91" t="s">
        <v>86</v>
      </c>
      <c r="K126" s="91" t="s">
        <v>87</v>
      </c>
      <c r="L126" s="91" t="s">
        <v>153</v>
      </c>
      <c r="M126" s="91" t="s">
        <v>154</v>
      </c>
      <c r="N126" s="1"/>
      <c r="O126" s="1"/>
      <c r="P126" s="1"/>
      <c r="Q126" s="243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</row>
    <row r="127" spans="1:38" ht="12.75" customHeight="1" x14ac:dyDescent="0.3">
      <c r="A127" s="93" t="s">
        <v>90</v>
      </c>
      <c r="B127" s="94" t="s">
        <v>155</v>
      </c>
      <c r="C127" s="94" t="s">
        <v>42</v>
      </c>
      <c r="D127" s="95" t="str">
        <f>E125</f>
        <v>V2</v>
      </c>
      <c r="E127" s="94" t="s">
        <v>631</v>
      </c>
      <c r="F127" s="94">
        <f>STDEV(Data!E36:N36)/SQRT(5)</f>
        <v>0</v>
      </c>
      <c r="G127" s="94">
        <v>1</v>
      </c>
      <c r="H127" s="94">
        <f>5-1</f>
        <v>4</v>
      </c>
      <c r="I127" s="94">
        <f t="shared" ref="I127:I131" si="39">(F127)/G127</f>
        <v>0</v>
      </c>
      <c r="J127" s="94">
        <v>1</v>
      </c>
      <c r="K127" s="94">
        <f t="shared" ref="K127:K131" si="40">I127*J127</f>
        <v>0</v>
      </c>
      <c r="L127" s="94">
        <f t="shared" ref="L127:L131" si="41">K127^2</f>
        <v>0</v>
      </c>
      <c r="M127" s="94">
        <f t="shared" ref="M127:M131" si="42">(K127^4)/H127</f>
        <v>0</v>
      </c>
      <c r="N127" s="1"/>
      <c r="O127" s="1"/>
      <c r="P127" s="1"/>
      <c r="Q127" s="243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</row>
    <row r="128" spans="1:38" ht="12.75" customHeight="1" x14ac:dyDescent="0.3">
      <c r="A128" s="93" t="s">
        <v>93</v>
      </c>
      <c r="B128" s="94" t="s">
        <v>156</v>
      </c>
      <c r="C128" s="94" t="s">
        <v>95</v>
      </c>
      <c r="D128" s="95" t="str">
        <f>D127</f>
        <v>V2</v>
      </c>
      <c r="E128" s="94" t="s">
        <v>96</v>
      </c>
      <c r="F128" s="94">
        <f>H125/2</f>
        <v>5.0000000000000001E-3</v>
      </c>
      <c r="G128" s="94">
        <f>SQRT(3)</f>
        <v>1.7320508075688772</v>
      </c>
      <c r="H128" s="94">
        <v>50</v>
      </c>
      <c r="I128" s="94">
        <f t="shared" si="39"/>
        <v>2.886751345948129E-3</v>
      </c>
      <c r="J128" s="94">
        <v>1</v>
      </c>
      <c r="K128" s="94">
        <f t="shared" si="40"/>
        <v>2.886751345948129E-3</v>
      </c>
      <c r="L128" s="94">
        <f t="shared" si="41"/>
        <v>8.3333333333333337E-6</v>
      </c>
      <c r="M128" s="94">
        <f t="shared" si="42"/>
        <v>1.3888888888888891E-12</v>
      </c>
      <c r="N128" s="1"/>
      <c r="O128" s="1"/>
      <c r="P128" s="1"/>
      <c r="Q128" s="243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</row>
    <row r="129" spans="1:38" ht="12.75" customHeight="1" x14ac:dyDescent="0.3">
      <c r="A129" s="93" t="s">
        <v>97</v>
      </c>
      <c r="B129" s="94" t="s">
        <v>157</v>
      </c>
      <c r="C129" s="94" t="s">
        <v>95</v>
      </c>
      <c r="D129" s="95" t="str">
        <f>D127</f>
        <v>V2</v>
      </c>
      <c r="E129" s="94" t="s">
        <v>92</v>
      </c>
      <c r="F129" s="112">
        <f>V31</f>
        <v>4.0000000000000003E-5</v>
      </c>
      <c r="G129" s="94">
        <v>2</v>
      </c>
      <c r="H129" s="94">
        <v>60</v>
      </c>
      <c r="I129" s="94">
        <f t="shared" si="39"/>
        <v>2.0000000000000002E-5</v>
      </c>
      <c r="J129" s="94">
        <v>1</v>
      </c>
      <c r="K129" s="94">
        <f t="shared" si="40"/>
        <v>2.0000000000000002E-5</v>
      </c>
      <c r="L129" s="94">
        <f t="shared" si="41"/>
        <v>4.0000000000000007E-10</v>
      </c>
      <c r="M129" s="94">
        <f t="shared" si="42"/>
        <v>2.6666666666666677E-21</v>
      </c>
      <c r="N129" s="1"/>
      <c r="O129" s="1"/>
      <c r="P129" s="1"/>
      <c r="Q129" s="243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</row>
    <row r="130" spans="1:38" ht="12.75" customHeight="1" x14ac:dyDescent="0.3">
      <c r="A130" s="93" t="s">
        <v>99</v>
      </c>
      <c r="B130" s="94" t="s">
        <v>158</v>
      </c>
      <c r="C130" s="94" t="s">
        <v>95</v>
      </c>
      <c r="D130" s="95" t="str">
        <f>D127</f>
        <v>V2</v>
      </c>
      <c r="E130" s="94" t="s">
        <v>96</v>
      </c>
      <c r="F130" s="96">
        <f>U31</f>
        <v>3.1832676494337317E-5</v>
      </c>
      <c r="G130" s="94">
        <f t="shared" ref="G130:G131" si="43">SQRT(3)</f>
        <v>1.7320508075688772</v>
      </c>
      <c r="H130" s="94">
        <v>50</v>
      </c>
      <c r="I130" s="94">
        <f t="shared" si="39"/>
        <v>1.8378604343031923E-5</v>
      </c>
      <c r="J130" s="94">
        <v>1</v>
      </c>
      <c r="K130" s="94">
        <f t="shared" si="40"/>
        <v>1.8378604343031923E-5</v>
      </c>
      <c r="L130" s="94">
        <f t="shared" si="41"/>
        <v>3.3777309759771186E-10</v>
      </c>
      <c r="M130" s="94">
        <f t="shared" si="42"/>
        <v>2.2818133092150677E-21</v>
      </c>
      <c r="N130" s="1"/>
      <c r="O130" s="1"/>
      <c r="P130" s="1"/>
      <c r="Q130" s="243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</row>
    <row r="131" spans="1:38" ht="12.75" customHeight="1" x14ac:dyDescent="0.3">
      <c r="A131" s="93" t="s">
        <v>101</v>
      </c>
      <c r="B131" s="94" t="s">
        <v>159</v>
      </c>
      <c r="C131" s="94" t="s">
        <v>95</v>
      </c>
      <c r="D131" s="95" t="str">
        <f>D127</f>
        <v>V2</v>
      </c>
      <c r="E131" s="94" t="s">
        <v>96</v>
      </c>
      <c r="F131" s="94">
        <f>$F$41/1000</f>
        <v>2.8089999999925098E-6</v>
      </c>
      <c r="G131" s="94">
        <f t="shared" si="43"/>
        <v>1.7320508075688772</v>
      </c>
      <c r="H131" s="94">
        <v>50</v>
      </c>
      <c r="I131" s="94">
        <f t="shared" si="39"/>
        <v>1.6217769061493344E-6</v>
      </c>
      <c r="J131" s="94">
        <v>1</v>
      </c>
      <c r="K131" s="94">
        <f t="shared" si="40"/>
        <v>1.6217769061493344E-6</v>
      </c>
      <c r="L131" s="94">
        <f t="shared" si="41"/>
        <v>2.6301603333193072E-12</v>
      </c>
      <c r="M131" s="94">
        <f t="shared" si="42"/>
        <v>1.3835486757932657E-25</v>
      </c>
      <c r="N131" s="1"/>
      <c r="O131" s="1"/>
      <c r="P131" s="1"/>
      <c r="Q131" s="243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</row>
    <row r="132" spans="1:38" ht="12.75" customHeight="1" x14ac:dyDescent="0.3">
      <c r="A132" s="98"/>
      <c r="B132" s="98"/>
      <c r="C132" s="98"/>
      <c r="D132" s="93"/>
      <c r="E132" s="93"/>
      <c r="F132" s="93"/>
      <c r="G132" s="93"/>
      <c r="H132" s="93"/>
      <c r="I132" s="93"/>
      <c r="J132" s="93"/>
      <c r="K132" s="93"/>
      <c r="L132" s="94"/>
      <c r="M132" s="93"/>
      <c r="N132" s="1"/>
      <c r="O132" s="1"/>
      <c r="P132" s="1"/>
      <c r="Q132" s="243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</row>
    <row r="133" spans="1:38" ht="12.75" customHeight="1" x14ac:dyDescent="0.3">
      <c r="A133" s="834" t="s">
        <v>103</v>
      </c>
      <c r="B133" s="794"/>
      <c r="C133" s="794"/>
      <c r="D133" s="794"/>
      <c r="E133" s="794"/>
      <c r="F133" s="794"/>
      <c r="G133" s="794"/>
      <c r="H133" s="794"/>
      <c r="I133" s="794"/>
      <c r="J133" s="780"/>
      <c r="K133" s="835">
        <f>SUM(L127:L132)</f>
        <v>8.3340737365912637E-6</v>
      </c>
      <c r="L133" s="780"/>
      <c r="M133" s="93">
        <f>SUM(M127:M132)</f>
        <v>1.3888888938375074E-12</v>
      </c>
      <c r="N133" s="1"/>
      <c r="O133" s="1"/>
      <c r="P133" s="1"/>
      <c r="Q133" s="243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</row>
    <row r="134" spans="1:38" ht="12.75" customHeight="1" x14ac:dyDescent="0.3">
      <c r="A134" s="834" t="s">
        <v>104</v>
      </c>
      <c r="B134" s="794"/>
      <c r="C134" s="794"/>
      <c r="D134" s="794"/>
      <c r="E134" s="794"/>
      <c r="F134" s="794"/>
      <c r="G134" s="794"/>
      <c r="H134" s="794"/>
      <c r="I134" s="794"/>
      <c r="J134" s="780"/>
      <c r="K134" s="835">
        <f>SQRT(K133)</f>
        <v>2.8868795847058226E-3</v>
      </c>
      <c r="L134" s="780"/>
      <c r="M134" s="93"/>
      <c r="N134" s="1"/>
      <c r="O134" s="1"/>
      <c r="P134" s="1"/>
      <c r="Q134" s="243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</row>
    <row r="135" spans="1:38" ht="12.75" customHeight="1" x14ac:dyDescent="0.3">
      <c r="A135" s="834" t="s">
        <v>160</v>
      </c>
      <c r="B135" s="794"/>
      <c r="C135" s="794"/>
      <c r="D135" s="794"/>
      <c r="E135" s="794"/>
      <c r="F135" s="794"/>
      <c r="G135" s="794"/>
      <c r="H135" s="794"/>
      <c r="I135" s="794"/>
      <c r="J135" s="780"/>
      <c r="K135" s="99">
        <f>(K134^4)/M133</f>
        <v>50.008885055615046</v>
      </c>
      <c r="L135" s="101"/>
      <c r="M135" s="93"/>
      <c r="N135" s="1"/>
      <c r="O135" s="1"/>
      <c r="P135" s="1"/>
      <c r="Q135" s="243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</row>
    <row r="136" spans="1:38" ht="12.75" customHeight="1" x14ac:dyDescent="0.3">
      <c r="A136" s="834" t="s">
        <v>161</v>
      </c>
      <c r="B136" s="794"/>
      <c r="C136" s="794"/>
      <c r="D136" s="794"/>
      <c r="E136" s="794"/>
      <c r="F136" s="794"/>
      <c r="G136" s="794"/>
      <c r="H136" s="794"/>
      <c r="I136" s="794"/>
      <c r="J136" s="780"/>
      <c r="K136" s="99">
        <f>1.95996+2.37356/K135+2.818745/K135^2+2.546662/K135^3+1.761829/K135^4+0.245458/K135^5+1.000764/K135^6</f>
        <v>2.0085705081851044</v>
      </c>
      <c r="L136" s="101">
        <v>2</v>
      </c>
      <c r="M136" s="93"/>
      <c r="N136" s="1"/>
      <c r="O136" s="1"/>
      <c r="P136" s="1"/>
      <c r="Q136" s="243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</row>
    <row r="137" spans="1:38" ht="12.75" customHeight="1" x14ac:dyDescent="0.3">
      <c r="A137" s="834" t="s">
        <v>107</v>
      </c>
      <c r="B137" s="794"/>
      <c r="C137" s="794"/>
      <c r="D137" s="794"/>
      <c r="E137" s="794"/>
      <c r="F137" s="794"/>
      <c r="G137" s="794"/>
      <c r="H137" s="794"/>
      <c r="I137" s="794"/>
      <c r="J137" s="780"/>
      <c r="K137" s="99">
        <f>K136*K134</f>
        <v>5.7985011945217773E-3</v>
      </c>
      <c r="L137" s="101">
        <f>L136*K134</f>
        <v>5.7737591694116451E-3</v>
      </c>
      <c r="M137" s="93"/>
      <c r="N137" s="1"/>
      <c r="O137" s="1"/>
      <c r="P137" s="1"/>
      <c r="Q137" s="243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</row>
    <row r="138" spans="1:38" ht="12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243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</row>
    <row r="139" spans="1:38" ht="12.75" customHeight="1" x14ac:dyDescent="0.3">
      <c r="A139" s="71" t="s">
        <v>76</v>
      </c>
      <c r="B139" s="1"/>
      <c r="C139" s="1"/>
      <c r="D139" s="1">
        <f t="shared" ref="D139:E139" si="44">A$8</f>
        <v>60</v>
      </c>
      <c r="E139" s="2" t="str">
        <f t="shared" si="44"/>
        <v>V</v>
      </c>
      <c r="F139" s="81"/>
      <c r="G139" s="82"/>
      <c r="H139" s="12"/>
      <c r="I139" s="12"/>
      <c r="J139" s="12"/>
      <c r="K139" s="12"/>
      <c r="L139" s="12"/>
      <c r="M139" s="287" t="str">
        <f>M$34</f>
        <v>DC Voltage-Measure</v>
      </c>
      <c r="N139" s="1"/>
      <c r="O139" s="1"/>
      <c r="P139" s="1"/>
      <c r="Q139" s="243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</row>
    <row r="140" spans="1:38" ht="12.75" customHeight="1" x14ac:dyDescent="0.3">
      <c r="A140" s="84" t="s">
        <v>2</v>
      </c>
      <c r="B140" s="85"/>
      <c r="C140" s="85"/>
      <c r="D140" s="86">
        <f>C9</f>
        <v>30</v>
      </c>
      <c r="E140" s="80" t="str">
        <f>D9</f>
        <v>V2</v>
      </c>
      <c r="F140" s="111"/>
      <c r="G140" s="90"/>
      <c r="H140" s="89">
        <v>0.01</v>
      </c>
      <c r="I140" s="90"/>
      <c r="J140" s="90"/>
      <c r="K140" s="90"/>
      <c r="L140" s="90"/>
      <c r="M140" s="76"/>
      <c r="N140" s="1"/>
      <c r="O140" s="1"/>
      <c r="P140" s="1"/>
      <c r="Q140" s="243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</row>
    <row r="141" spans="1:38" ht="12.75" customHeight="1" x14ac:dyDescent="0.3">
      <c r="A141" s="91" t="s">
        <v>78</v>
      </c>
      <c r="B141" s="91" t="s">
        <v>79</v>
      </c>
      <c r="C141" s="91" t="s">
        <v>10</v>
      </c>
      <c r="D141" s="91" t="s">
        <v>80</v>
      </c>
      <c r="E141" s="91" t="s">
        <v>81</v>
      </c>
      <c r="F141" s="92" t="s">
        <v>82</v>
      </c>
      <c r="G141" s="91" t="s">
        <v>83</v>
      </c>
      <c r="H141" s="91" t="s">
        <v>84</v>
      </c>
      <c r="I141" s="91" t="s">
        <v>85</v>
      </c>
      <c r="J141" s="91" t="s">
        <v>86</v>
      </c>
      <c r="K141" s="91" t="s">
        <v>87</v>
      </c>
      <c r="L141" s="91" t="s">
        <v>162</v>
      </c>
      <c r="M141" s="91" t="s">
        <v>163</v>
      </c>
      <c r="N141" s="1"/>
      <c r="O141" s="1"/>
      <c r="P141" s="1"/>
      <c r="Q141" s="243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</row>
    <row r="142" spans="1:38" ht="12.75" customHeight="1" x14ac:dyDescent="0.3">
      <c r="A142" s="93" t="s">
        <v>90</v>
      </c>
      <c r="B142" s="94" t="s">
        <v>164</v>
      </c>
      <c r="C142" s="94" t="s">
        <v>42</v>
      </c>
      <c r="D142" s="95" t="str">
        <f>E140</f>
        <v>V2</v>
      </c>
      <c r="E142" s="94" t="s">
        <v>631</v>
      </c>
      <c r="F142" s="94">
        <f>STDEV(Data!E37:N37)/SQRT(5)</f>
        <v>0</v>
      </c>
      <c r="G142" s="94">
        <v>1</v>
      </c>
      <c r="H142" s="94">
        <f>5-1</f>
        <v>4</v>
      </c>
      <c r="I142" s="94">
        <f t="shared" ref="I142:I146" si="45">(F142)/G142</f>
        <v>0</v>
      </c>
      <c r="J142" s="94">
        <v>1</v>
      </c>
      <c r="K142" s="94">
        <f t="shared" ref="K142:K146" si="46">I142*J142</f>
        <v>0</v>
      </c>
      <c r="L142" s="94">
        <f t="shared" ref="L142:L146" si="47">K142^2</f>
        <v>0</v>
      </c>
      <c r="M142" s="94">
        <f t="shared" ref="M142:M146" si="48">(K142^4)/H142</f>
        <v>0</v>
      </c>
      <c r="N142" s="1"/>
      <c r="O142" s="1"/>
      <c r="P142" s="1"/>
      <c r="Q142" s="243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</row>
    <row r="143" spans="1:38" ht="12.75" customHeight="1" x14ac:dyDescent="0.3">
      <c r="A143" s="93" t="s">
        <v>93</v>
      </c>
      <c r="B143" s="94" t="s">
        <v>165</v>
      </c>
      <c r="C143" s="94" t="s">
        <v>95</v>
      </c>
      <c r="D143" s="95" t="str">
        <f>D142</f>
        <v>V2</v>
      </c>
      <c r="E143" s="94" t="s">
        <v>96</v>
      </c>
      <c r="F143" s="94">
        <f>H140/2</f>
        <v>5.0000000000000001E-3</v>
      </c>
      <c r="G143" s="94">
        <f>SQRT(3)</f>
        <v>1.7320508075688772</v>
      </c>
      <c r="H143" s="94">
        <v>50</v>
      </c>
      <c r="I143" s="94">
        <f t="shared" si="45"/>
        <v>2.886751345948129E-3</v>
      </c>
      <c r="J143" s="94">
        <v>1</v>
      </c>
      <c r="K143" s="94">
        <f t="shared" si="46"/>
        <v>2.886751345948129E-3</v>
      </c>
      <c r="L143" s="94">
        <f t="shared" si="47"/>
        <v>8.3333333333333337E-6</v>
      </c>
      <c r="M143" s="94">
        <f t="shared" si="48"/>
        <v>1.3888888888888891E-12</v>
      </c>
      <c r="N143" s="1"/>
      <c r="O143" s="1"/>
      <c r="P143" s="1"/>
      <c r="Q143" s="243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</row>
    <row r="144" spans="1:38" ht="12.75" customHeight="1" x14ac:dyDescent="0.3">
      <c r="A144" s="93" t="s">
        <v>97</v>
      </c>
      <c r="B144" s="94" t="s">
        <v>166</v>
      </c>
      <c r="C144" s="94" t="s">
        <v>95</v>
      </c>
      <c r="D144" s="95" t="str">
        <f>D142</f>
        <v>V2</v>
      </c>
      <c r="E144" s="94" t="s">
        <v>92</v>
      </c>
      <c r="F144" s="96">
        <f>V32</f>
        <v>3.8000000000000002E-4</v>
      </c>
      <c r="G144" s="94">
        <v>2</v>
      </c>
      <c r="H144" s="94">
        <v>60</v>
      </c>
      <c r="I144" s="94">
        <f t="shared" si="45"/>
        <v>1.9000000000000001E-4</v>
      </c>
      <c r="J144" s="94">
        <v>1</v>
      </c>
      <c r="K144" s="94">
        <f t="shared" si="46"/>
        <v>1.9000000000000001E-4</v>
      </c>
      <c r="L144" s="94">
        <f t="shared" si="47"/>
        <v>3.6100000000000006E-8</v>
      </c>
      <c r="M144" s="94">
        <f t="shared" si="48"/>
        <v>2.1720166666666672E-17</v>
      </c>
      <c r="N144" s="1"/>
      <c r="O144" s="1"/>
      <c r="P144" s="1"/>
      <c r="Q144" s="243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</row>
    <row r="145" spans="1:38" ht="12.75" customHeight="1" x14ac:dyDescent="0.3">
      <c r="A145" s="93" t="s">
        <v>99</v>
      </c>
      <c r="B145" s="94" t="s">
        <v>167</v>
      </c>
      <c r="C145" s="94" t="s">
        <v>95</v>
      </c>
      <c r="D145" s="95" t="str">
        <f>D142</f>
        <v>V2</v>
      </c>
      <c r="E145" s="94" t="s">
        <v>96</v>
      </c>
      <c r="F145" s="96">
        <f>U32</f>
        <v>4.979133978073132E-5</v>
      </c>
      <c r="G145" s="94">
        <f t="shared" ref="G145:G146" si="49">SQRT(3)</f>
        <v>1.7320508075688772</v>
      </c>
      <c r="H145" s="94">
        <v>50</v>
      </c>
      <c r="I145" s="94">
        <f t="shared" si="45"/>
        <v>2.8747043425717352E-5</v>
      </c>
      <c r="J145" s="94">
        <v>1</v>
      </c>
      <c r="K145" s="94">
        <f t="shared" si="46"/>
        <v>2.8747043425717352E-5</v>
      </c>
      <c r="L145" s="94">
        <f t="shared" si="47"/>
        <v>8.263925057200792E-10</v>
      </c>
      <c r="M145" s="94">
        <f t="shared" si="48"/>
        <v>1.3658491470206224E-20</v>
      </c>
      <c r="N145" s="1"/>
      <c r="O145" s="1"/>
      <c r="P145" s="1"/>
      <c r="Q145" s="243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</row>
    <row r="146" spans="1:38" ht="12.75" customHeight="1" x14ac:dyDescent="0.3">
      <c r="A146" s="93" t="s">
        <v>101</v>
      </c>
      <c r="B146" s="94" t="s">
        <v>168</v>
      </c>
      <c r="C146" s="94" t="s">
        <v>95</v>
      </c>
      <c r="D146" s="95" t="str">
        <f>D142</f>
        <v>V2</v>
      </c>
      <c r="E146" s="94" t="s">
        <v>96</v>
      </c>
      <c r="F146" s="94">
        <f>$F$41/1000</f>
        <v>2.8089999999925098E-6</v>
      </c>
      <c r="G146" s="94">
        <f t="shared" si="49"/>
        <v>1.7320508075688772</v>
      </c>
      <c r="H146" s="94">
        <v>50</v>
      </c>
      <c r="I146" s="94">
        <f t="shared" si="45"/>
        <v>1.6217769061493344E-6</v>
      </c>
      <c r="J146" s="94">
        <v>1</v>
      </c>
      <c r="K146" s="94">
        <f t="shared" si="46"/>
        <v>1.6217769061493344E-6</v>
      </c>
      <c r="L146" s="94">
        <f t="shared" si="47"/>
        <v>2.6301603333193072E-12</v>
      </c>
      <c r="M146" s="94">
        <f t="shared" si="48"/>
        <v>1.3835486757932657E-25</v>
      </c>
      <c r="N146" s="1"/>
      <c r="O146" s="1"/>
      <c r="P146" s="1"/>
      <c r="Q146" s="243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</row>
    <row r="147" spans="1:38" ht="12.75" customHeight="1" x14ac:dyDescent="0.3">
      <c r="A147" s="98"/>
      <c r="B147" s="98"/>
      <c r="C147" s="98"/>
      <c r="D147" s="93"/>
      <c r="E147" s="93"/>
      <c r="F147" s="93"/>
      <c r="G147" s="93"/>
      <c r="H147" s="93"/>
      <c r="I147" s="93"/>
      <c r="J147" s="93"/>
      <c r="K147" s="93"/>
      <c r="L147" s="94"/>
      <c r="M147" s="93"/>
      <c r="N147" s="1"/>
      <c r="O147" s="1"/>
      <c r="P147" s="1"/>
      <c r="Q147" s="243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</row>
    <row r="148" spans="1:38" ht="12.75" customHeight="1" x14ac:dyDescent="0.3">
      <c r="A148" s="834" t="s">
        <v>103</v>
      </c>
      <c r="B148" s="794"/>
      <c r="C148" s="794"/>
      <c r="D148" s="794"/>
      <c r="E148" s="794"/>
      <c r="F148" s="794"/>
      <c r="G148" s="794"/>
      <c r="H148" s="794"/>
      <c r="I148" s="794"/>
      <c r="J148" s="780"/>
      <c r="K148" s="835">
        <f>SUM(L142:L147)</f>
        <v>8.3702623559993854E-6</v>
      </c>
      <c r="L148" s="780"/>
      <c r="M148" s="93">
        <f>SUM(M142:M147)</f>
        <v>1.3889106227141855E-12</v>
      </c>
      <c r="N148" s="1"/>
      <c r="O148" s="1"/>
      <c r="P148" s="1"/>
      <c r="Q148" s="243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</row>
    <row r="149" spans="1:38" ht="12.75" customHeight="1" x14ac:dyDescent="0.3">
      <c r="A149" s="834" t="s">
        <v>104</v>
      </c>
      <c r="B149" s="794"/>
      <c r="C149" s="794"/>
      <c r="D149" s="794"/>
      <c r="E149" s="794"/>
      <c r="F149" s="794"/>
      <c r="G149" s="794"/>
      <c r="H149" s="794"/>
      <c r="I149" s="794"/>
      <c r="J149" s="780"/>
      <c r="K149" s="835">
        <f>SQRT(K148)</f>
        <v>2.8931405696922827E-3</v>
      </c>
      <c r="L149" s="780"/>
      <c r="M149" s="93"/>
      <c r="N149" s="1"/>
      <c r="O149" s="1"/>
      <c r="P149" s="1"/>
      <c r="Q149" s="243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</row>
    <row r="150" spans="1:38" ht="12.75" customHeight="1" x14ac:dyDescent="0.3">
      <c r="A150" s="834" t="s">
        <v>169</v>
      </c>
      <c r="B150" s="794"/>
      <c r="C150" s="794"/>
      <c r="D150" s="794"/>
      <c r="E150" s="794"/>
      <c r="F150" s="794"/>
      <c r="G150" s="794"/>
      <c r="H150" s="794"/>
      <c r="I150" s="794"/>
      <c r="J150" s="780"/>
      <c r="K150" s="99">
        <f>(K149^4)/M148</f>
        <v>50.443340818682628</v>
      </c>
      <c r="L150" s="101"/>
      <c r="M150" s="93"/>
      <c r="N150" s="1"/>
      <c r="O150" s="1"/>
      <c r="P150" s="1"/>
      <c r="Q150" s="243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</row>
    <row r="151" spans="1:38" ht="12.75" customHeight="1" x14ac:dyDescent="0.3">
      <c r="A151" s="834" t="s">
        <v>170</v>
      </c>
      <c r="B151" s="794"/>
      <c r="C151" s="794"/>
      <c r="D151" s="794"/>
      <c r="E151" s="794"/>
      <c r="F151" s="794"/>
      <c r="G151" s="794"/>
      <c r="H151" s="794"/>
      <c r="I151" s="794"/>
      <c r="J151" s="780"/>
      <c r="K151" s="99">
        <f>1.95996+2.37356/K150+2.818745/K150^2+2.546662/K150^3+1.761829/K150^4+0.245458/K150^5+1.000764/K150^6</f>
        <v>2.0081418609313864</v>
      </c>
      <c r="L151" s="101">
        <v>2</v>
      </c>
      <c r="M151" s="93"/>
      <c r="N151" s="1"/>
      <c r="O151" s="1"/>
      <c r="P151" s="1"/>
      <c r="Q151" s="243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</row>
    <row r="152" spans="1:38" ht="12.75" customHeight="1" x14ac:dyDescent="0.3">
      <c r="A152" s="834" t="s">
        <v>107</v>
      </c>
      <c r="B152" s="794"/>
      <c r="C152" s="794"/>
      <c r="D152" s="794"/>
      <c r="E152" s="794"/>
      <c r="F152" s="794"/>
      <c r="G152" s="794"/>
      <c r="H152" s="794"/>
      <c r="I152" s="794"/>
      <c r="J152" s="780"/>
      <c r="K152" s="99">
        <f>K151*K149</f>
        <v>5.8098366875579521E-3</v>
      </c>
      <c r="L152" s="101">
        <f>L151*K149</f>
        <v>5.7862811393845654E-3</v>
      </c>
      <c r="M152" s="93"/>
      <c r="N152" s="1"/>
      <c r="O152" s="1"/>
      <c r="P152" s="1"/>
      <c r="Q152" s="243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</row>
    <row r="153" spans="1:38" ht="12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243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</row>
    <row r="154" spans="1:38" ht="12.75" customHeight="1" x14ac:dyDescent="0.3">
      <c r="A154" s="71" t="s">
        <v>76</v>
      </c>
      <c r="B154" s="1"/>
      <c r="C154" s="1"/>
      <c r="D154" s="1">
        <f t="shared" ref="D154:E154" si="50">A$8</f>
        <v>60</v>
      </c>
      <c r="E154" s="5" t="str">
        <f t="shared" si="50"/>
        <v>V</v>
      </c>
      <c r="F154" s="81"/>
      <c r="G154" s="82"/>
      <c r="H154" s="12"/>
      <c r="I154" s="12"/>
      <c r="J154" s="12"/>
      <c r="K154" s="12"/>
      <c r="L154" s="12"/>
      <c r="M154" s="287" t="str">
        <f>M$34</f>
        <v>DC Voltage-Measure</v>
      </c>
      <c r="N154" s="1"/>
      <c r="O154" s="1"/>
      <c r="P154" s="1"/>
      <c r="Q154" s="243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</row>
    <row r="155" spans="1:38" ht="12.75" customHeight="1" x14ac:dyDescent="0.3">
      <c r="A155" s="84" t="s">
        <v>2</v>
      </c>
      <c r="B155" s="85"/>
      <c r="C155" s="85"/>
      <c r="D155" s="80">
        <f>C10</f>
        <v>54</v>
      </c>
      <c r="E155" s="80" t="str">
        <f>D10</f>
        <v>V3</v>
      </c>
      <c r="F155" s="111"/>
      <c r="G155" s="90"/>
      <c r="H155" s="89">
        <v>0.01</v>
      </c>
      <c r="I155" s="90"/>
      <c r="J155" s="90"/>
      <c r="K155" s="90"/>
      <c r="L155" s="90"/>
      <c r="M155" s="76"/>
      <c r="N155" s="1"/>
      <c r="O155" s="1"/>
      <c r="P155" s="1"/>
      <c r="Q155" s="243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</row>
    <row r="156" spans="1:38" ht="12.75" customHeight="1" x14ac:dyDescent="0.3">
      <c r="A156" s="91" t="s">
        <v>78</v>
      </c>
      <c r="B156" s="91" t="s">
        <v>79</v>
      </c>
      <c r="C156" s="91" t="s">
        <v>10</v>
      </c>
      <c r="D156" s="91" t="s">
        <v>80</v>
      </c>
      <c r="E156" s="91" t="s">
        <v>81</v>
      </c>
      <c r="F156" s="92" t="s">
        <v>82</v>
      </c>
      <c r="G156" s="91" t="s">
        <v>83</v>
      </c>
      <c r="H156" s="91" t="s">
        <v>84</v>
      </c>
      <c r="I156" s="91" t="s">
        <v>85</v>
      </c>
      <c r="J156" s="91" t="s">
        <v>86</v>
      </c>
      <c r="K156" s="91" t="s">
        <v>87</v>
      </c>
      <c r="L156" s="91" t="s">
        <v>171</v>
      </c>
      <c r="M156" s="91" t="s">
        <v>172</v>
      </c>
      <c r="N156" s="1"/>
      <c r="O156" s="1"/>
      <c r="P156" s="1"/>
      <c r="Q156" s="243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</row>
    <row r="157" spans="1:38" ht="12.75" customHeight="1" x14ac:dyDescent="0.3">
      <c r="A157" s="93" t="s">
        <v>90</v>
      </c>
      <c r="B157" s="94" t="s">
        <v>173</v>
      </c>
      <c r="C157" s="94" t="s">
        <v>42</v>
      </c>
      <c r="D157" s="95" t="str">
        <f>E155</f>
        <v>V3</v>
      </c>
      <c r="E157" s="94" t="s">
        <v>631</v>
      </c>
      <c r="F157" s="94">
        <f>STDEV(Data!E38:N38)/SQRT(5)</f>
        <v>3.5527136788005009E-15</v>
      </c>
      <c r="G157" s="94">
        <v>1</v>
      </c>
      <c r="H157" s="94">
        <f>5-1</f>
        <v>4</v>
      </c>
      <c r="I157" s="94">
        <f t="shared" ref="I157:I161" si="51">(+F157)/G157</f>
        <v>3.5527136788005009E-15</v>
      </c>
      <c r="J157" s="94">
        <v>1</v>
      </c>
      <c r="K157" s="94">
        <f t="shared" ref="K157:K161" si="52">I157*J157</f>
        <v>3.5527136788005009E-15</v>
      </c>
      <c r="L157" s="94">
        <f t="shared" ref="L157:L161" si="53">K157^2</f>
        <v>1.2621774483536189E-29</v>
      </c>
      <c r="M157" s="94">
        <f t="shared" ref="M157:M161" si="54">(K157^4)/H157</f>
        <v>3.9827297778311307E-59</v>
      </c>
      <c r="N157" s="1"/>
      <c r="O157" s="1"/>
      <c r="P157" s="1"/>
      <c r="Q157" s="243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</row>
    <row r="158" spans="1:38" ht="12.75" customHeight="1" x14ac:dyDescent="0.3">
      <c r="A158" s="93" t="s">
        <v>93</v>
      </c>
      <c r="B158" s="94" t="s">
        <v>174</v>
      </c>
      <c r="C158" s="94" t="s">
        <v>95</v>
      </c>
      <c r="D158" s="95" t="str">
        <f>D157</f>
        <v>V3</v>
      </c>
      <c r="E158" s="94" t="s">
        <v>96</v>
      </c>
      <c r="F158" s="94">
        <f>H155/2</f>
        <v>5.0000000000000001E-3</v>
      </c>
      <c r="G158" s="94">
        <f>SQRT(3)</f>
        <v>1.7320508075688772</v>
      </c>
      <c r="H158" s="94">
        <v>50</v>
      </c>
      <c r="I158" s="94">
        <f t="shared" si="51"/>
        <v>2.886751345948129E-3</v>
      </c>
      <c r="J158" s="94">
        <v>1</v>
      </c>
      <c r="K158" s="94">
        <f t="shared" si="52"/>
        <v>2.886751345948129E-3</v>
      </c>
      <c r="L158" s="94">
        <f t="shared" si="53"/>
        <v>8.3333333333333337E-6</v>
      </c>
      <c r="M158" s="94">
        <f t="shared" si="54"/>
        <v>1.3888888888888891E-12</v>
      </c>
      <c r="N158" s="1"/>
      <c r="O158" s="1"/>
      <c r="P158" s="1"/>
      <c r="Q158" s="243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</row>
    <row r="159" spans="1:38" ht="12.75" customHeight="1" x14ac:dyDescent="0.3">
      <c r="A159" s="93" t="s">
        <v>97</v>
      </c>
      <c r="B159" s="94" t="s">
        <v>175</v>
      </c>
      <c r="C159" s="94" t="s">
        <v>95</v>
      </c>
      <c r="D159" s="95" t="str">
        <f>D157</f>
        <v>V3</v>
      </c>
      <c r="E159" s="94" t="s">
        <v>92</v>
      </c>
      <c r="F159" s="96">
        <f>V33</f>
        <v>7.6999999999999996E-4</v>
      </c>
      <c r="G159" s="94">
        <v>2</v>
      </c>
      <c r="H159" s="94">
        <v>60</v>
      </c>
      <c r="I159" s="94">
        <f t="shared" si="51"/>
        <v>3.8499999999999998E-4</v>
      </c>
      <c r="J159" s="94">
        <v>1</v>
      </c>
      <c r="K159" s="94">
        <f t="shared" si="52"/>
        <v>3.8499999999999998E-4</v>
      </c>
      <c r="L159" s="94">
        <f t="shared" si="53"/>
        <v>1.4822499999999999E-7</v>
      </c>
      <c r="M159" s="94">
        <f t="shared" si="54"/>
        <v>3.6617751041666664E-16</v>
      </c>
      <c r="N159" s="1"/>
      <c r="O159" s="1"/>
      <c r="P159" s="1"/>
      <c r="Q159" s="243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</row>
    <row r="160" spans="1:38" ht="12.75" customHeight="1" x14ac:dyDescent="0.3">
      <c r="A160" s="93" t="s">
        <v>99</v>
      </c>
      <c r="B160" s="94" t="s">
        <v>176</v>
      </c>
      <c r="C160" s="94" t="s">
        <v>95</v>
      </c>
      <c r="D160" s="95" t="str">
        <f>D157</f>
        <v>V3</v>
      </c>
      <c r="E160" s="94" t="s">
        <v>96</v>
      </c>
      <c r="F160" s="96">
        <f>U33</f>
        <v>3.8577266281446021E-4</v>
      </c>
      <c r="G160" s="94">
        <f t="shared" ref="G160:G161" si="55">SQRT(3)</f>
        <v>1.7320508075688772</v>
      </c>
      <c r="H160" s="94">
        <v>50</v>
      </c>
      <c r="I160" s="94">
        <f t="shared" si="51"/>
        <v>2.2272595072192735E-4</v>
      </c>
      <c r="J160" s="94">
        <v>1</v>
      </c>
      <c r="K160" s="94">
        <f t="shared" si="52"/>
        <v>2.2272595072192735E-4</v>
      </c>
      <c r="L160" s="94">
        <f t="shared" si="53"/>
        <v>4.9606849124986412E-8</v>
      </c>
      <c r="M160" s="94">
        <f t="shared" si="54"/>
        <v>4.9216789602183301E-17</v>
      </c>
      <c r="N160" s="1"/>
      <c r="O160" s="1"/>
      <c r="P160" s="1"/>
      <c r="Q160" s="243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</row>
    <row r="161" spans="1:38" ht="12.75" customHeight="1" x14ac:dyDescent="0.3">
      <c r="A161" s="93" t="s">
        <v>101</v>
      </c>
      <c r="B161" s="94" t="s">
        <v>177</v>
      </c>
      <c r="C161" s="94" t="s">
        <v>95</v>
      </c>
      <c r="D161" s="95" t="str">
        <f>D157</f>
        <v>V3</v>
      </c>
      <c r="E161" s="94" t="s">
        <v>96</v>
      </c>
      <c r="F161" s="94">
        <f>$F$41/1000</f>
        <v>2.8089999999925098E-6</v>
      </c>
      <c r="G161" s="94">
        <f t="shared" si="55"/>
        <v>1.7320508075688772</v>
      </c>
      <c r="H161" s="94">
        <v>50</v>
      </c>
      <c r="I161" s="94">
        <f t="shared" si="51"/>
        <v>1.6217769061493344E-6</v>
      </c>
      <c r="J161" s="94">
        <v>1</v>
      </c>
      <c r="K161" s="94">
        <f t="shared" si="52"/>
        <v>1.6217769061493344E-6</v>
      </c>
      <c r="L161" s="94">
        <f t="shared" si="53"/>
        <v>2.6301603333193072E-12</v>
      </c>
      <c r="M161" s="94">
        <f t="shared" si="54"/>
        <v>1.3835486757932657E-25</v>
      </c>
      <c r="N161" s="1"/>
      <c r="O161" s="1"/>
      <c r="P161" s="1"/>
      <c r="Q161" s="243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</row>
    <row r="162" spans="1:38" ht="12.75" customHeight="1" x14ac:dyDescent="0.3">
      <c r="A162" s="98"/>
      <c r="B162" s="98"/>
      <c r="C162" s="98"/>
      <c r="D162" s="93"/>
      <c r="E162" s="93"/>
      <c r="F162" s="93"/>
      <c r="G162" s="93"/>
      <c r="H162" s="93"/>
      <c r="I162" s="93"/>
      <c r="J162" s="93"/>
      <c r="K162" s="93"/>
      <c r="L162" s="94"/>
      <c r="M162" s="93"/>
      <c r="N162" s="1"/>
      <c r="O162" s="1"/>
      <c r="P162" s="1"/>
      <c r="Q162" s="243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</row>
    <row r="163" spans="1:38" ht="12.75" customHeight="1" x14ac:dyDescent="0.3">
      <c r="A163" s="834" t="s">
        <v>103</v>
      </c>
      <c r="B163" s="794"/>
      <c r="C163" s="794"/>
      <c r="D163" s="794"/>
      <c r="E163" s="794"/>
      <c r="F163" s="794"/>
      <c r="G163" s="794"/>
      <c r="H163" s="794"/>
      <c r="I163" s="794"/>
      <c r="J163" s="780"/>
      <c r="K163" s="835">
        <f>SUM(L157:L162)</f>
        <v>8.5311678126186528E-6</v>
      </c>
      <c r="L163" s="780"/>
      <c r="M163" s="93">
        <f>SUM(M157:M162)</f>
        <v>1.3893042831890465E-12</v>
      </c>
      <c r="N163" s="1"/>
      <c r="O163" s="1"/>
      <c r="P163" s="1"/>
      <c r="Q163" s="243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</row>
    <row r="164" spans="1:38" ht="12.75" customHeight="1" x14ac:dyDescent="0.3">
      <c r="A164" s="834" t="s">
        <v>104</v>
      </c>
      <c r="B164" s="794"/>
      <c r="C164" s="794"/>
      <c r="D164" s="794"/>
      <c r="E164" s="794"/>
      <c r="F164" s="794"/>
      <c r="G164" s="794"/>
      <c r="H164" s="794"/>
      <c r="I164" s="794"/>
      <c r="J164" s="780"/>
      <c r="K164" s="835">
        <f>SQRT(K163)</f>
        <v>2.9208162921722162E-3</v>
      </c>
      <c r="L164" s="780"/>
      <c r="M164" s="93"/>
      <c r="N164" s="1"/>
      <c r="O164" s="1"/>
      <c r="P164" s="1"/>
      <c r="Q164" s="243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</row>
    <row r="165" spans="1:38" ht="12.75" customHeight="1" x14ac:dyDescent="0.3">
      <c r="A165" s="834" t="s">
        <v>178</v>
      </c>
      <c r="B165" s="794"/>
      <c r="C165" s="794"/>
      <c r="D165" s="794"/>
      <c r="E165" s="794"/>
      <c r="F165" s="794"/>
      <c r="G165" s="794"/>
      <c r="H165" s="794"/>
      <c r="I165" s="794"/>
      <c r="J165" s="780"/>
      <c r="K165" s="99">
        <f>(K164^4)/M163</f>
        <v>52.386525491735661</v>
      </c>
      <c r="L165" s="101"/>
      <c r="M165" s="93"/>
      <c r="N165" s="1"/>
      <c r="O165" s="1"/>
      <c r="P165" s="1"/>
      <c r="Q165" s="243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</row>
    <row r="166" spans="1:38" ht="12.75" customHeight="1" x14ac:dyDescent="0.3">
      <c r="A166" s="834" t="s">
        <v>179</v>
      </c>
      <c r="B166" s="794"/>
      <c r="C166" s="794"/>
      <c r="D166" s="794"/>
      <c r="E166" s="794"/>
      <c r="F166" s="794"/>
      <c r="G166" s="794"/>
      <c r="H166" s="794"/>
      <c r="I166" s="794"/>
      <c r="J166" s="780"/>
      <c r="K166" s="99">
        <f>1.95996+2.37356/K165+2.818745/K165^2+2.546662/K165^3+1.761829/K165^4+0.245458/K165^5+1.000764/K165^6</f>
        <v>2.0063136551232641</v>
      </c>
      <c r="L166" s="101">
        <v>2</v>
      </c>
      <c r="M166" s="93"/>
      <c r="N166" s="1"/>
      <c r="O166" s="1"/>
      <c r="P166" s="1"/>
      <c r="Q166" s="243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</row>
    <row r="167" spans="1:38" ht="12.75" customHeight="1" x14ac:dyDescent="0.3">
      <c r="A167" s="834" t="s">
        <v>107</v>
      </c>
      <c r="B167" s="794"/>
      <c r="C167" s="794"/>
      <c r="D167" s="794"/>
      <c r="E167" s="794"/>
      <c r="F167" s="794"/>
      <c r="G167" s="794"/>
      <c r="H167" s="794"/>
      <c r="I167" s="794"/>
      <c r="J167" s="780"/>
      <c r="K167" s="99">
        <f>K166*K164</f>
        <v>5.8600736110916186E-3</v>
      </c>
      <c r="L167" s="101">
        <f>L166*K164</f>
        <v>5.8416325843444325E-3</v>
      </c>
      <c r="M167" s="93"/>
      <c r="N167" s="1"/>
      <c r="O167" s="1"/>
      <c r="P167" s="1"/>
      <c r="Q167" s="243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</row>
    <row r="168" spans="1:38" ht="12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243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</row>
    <row r="169" spans="1:38" ht="12.75" customHeight="1" x14ac:dyDescent="0.3">
      <c r="A169" s="71" t="s">
        <v>76</v>
      </c>
      <c r="B169" s="1"/>
      <c r="C169" s="1"/>
      <c r="D169" s="1">
        <f t="shared" ref="D169:E169" si="56">A$11</f>
        <v>600</v>
      </c>
      <c r="E169" s="103" t="str">
        <f t="shared" si="56"/>
        <v>V</v>
      </c>
      <c r="F169" s="81"/>
      <c r="G169" s="82"/>
      <c r="H169" s="12"/>
      <c r="I169" s="12"/>
      <c r="J169" s="12"/>
      <c r="K169" s="12"/>
      <c r="L169" s="12"/>
      <c r="M169" s="287" t="str">
        <f>M$34</f>
        <v>DC Voltage-Measure</v>
      </c>
      <c r="N169" s="1"/>
      <c r="O169" s="1"/>
      <c r="P169" s="1"/>
      <c r="Q169" s="243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</row>
    <row r="170" spans="1:38" ht="12.75" customHeight="1" x14ac:dyDescent="0.3">
      <c r="A170" s="84" t="s">
        <v>2</v>
      </c>
      <c r="B170" s="85"/>
      <c r="C170" s="85"/>
      <c r="D170" s="80">
        <f>C11</f>
        <v>60</v>
      </c>
      <c r="E170" s="6" t="str">
        <f>D11</f>
        <v>V3</v>
      </c>
      <c r="F170" s="111"/>
      <c r="G170" s="90"/>
      <c r="H170" s="89">
        <v>0.1</v>
      </c>
      <c r="I170" s="90"/>
      <c r="J170" s="90"/>
      <c r="K170" s="90"/>
      <c r="L170" s="90"/>
      <c r="M170" s="76"/>
      <c r="N170" s="1"/>
      <c r="O170" s="1"/>
      <c r="P170" s="1"/>
      <c r="Q170" s="243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</row>
    <row r="171" spans="1:38" ht="12.75" customHeight="1" x14ac:dyDescent="0.3">
      <c r="A171" s="91" t="s">
        <v>78</v>
      </c>
      <c r="B171" s="91" t="s">
        <v>79</v>
      </c>
      <c r="C171" s="91" t="s">
        <v>10</v>
      </c>
      <c r="D171" s="91" t="s">
        <v>80</v>
      </c>
      <c r="E171" s="91" t="s">
        <v>81</v>
      </c>
      <c r="F171" s="92" t="s">
        <v>82</v>
      </c>
      <c r="G171" s="91" t="s">
        <v>83</v>
      </c>
      <c r="H171" s="91" t="s">
        <v>84</v>
      </c>
      <c r="I171" s="91" t="s">
        <v>85</v>
      </c>
      <c r="J171" s="91" t="s">
        <v>86</v>
      </c>
      <c r="K171" s="91" t="s">
        <v>87</v>
      </c>
      <c r="L171" s="91" t="s">
        <v>180</v>
      </c>
      <c r="M171" s="91" t="s">
        <v>181</v>
      </c>
      <c r="N171" s="1"/>
      <c r="O171" s="1"/>
      <c r="P171" s="1"/>
      <c r="Q171" s="243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</row>
    <row r="172" spans="1:38" ht="12.75" customHeight="1" x14ac:dyDescent="0.3">
      <c r="A172" s="93" t="s">
        <v>90</v>
      </c>
      <c r="B172" s="94" t="s">
        <v>182</v>
      </c>
      <c r="C172" s="94" t="s">
        <v>42</v>
      </c>
      <c r="D172" s="95" t="str">
        <f>E170</f>
        <v>V3</v>
      </c>
      <c r="E172" s="94" t="s">
        <v>631</v>
      </c>
      <c r="F172" s="94">
        <f>STDEV(Data!E40:N40)/SQRT(5)</f>
        <v>0</v>
      </c>
      <c r="G172" s="94">
        <v>1</v>
      </c>
      <c r="H172" s="94">
        <f>5-1</f>
        <v>4</v>
      </c>
      <c r="I172" s="94">
        <f t="shared" ref="I172:I176" si="57">(F172)/G172</f>
        <v>0</v>
      </c>
      <c r="J172" s="94">
        <v>1</v>
      </c>
      <c r="K172" s="94">
        <f t="shared" ref="K172:K176" si="58">I172*J172</f>
        <v>0</v>
      </c>
      <c r="L172" s="94">
        <f t="shared" ref="L172:L176" si="59">K172^2</f>
        <v>0</v>
      </c>
      <c r="M172" s="94">
        <f t="shared" ref="M172:M176" si="60">(K172^4)/H172</f>
        <v>0</v>
      </c>
      <c r="N172" s="1"/>
      <c r="O172" s="1"/>
      <c r="P172" s="1"/>
      <c r="Q172" s="243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</row>
    <row r="173" spans="1:38" ht="12.75" customHeight="1" x14ac:dyDescent="0.3">
      <c r="A173" s="93" t="s">
        <v>93</v>
      </c>
      <c r="B173" s="94" t="s">
        <v>183</v>
      </c>
      <c r="C173" s="94" t="s">
        <v>95</v>
      </c>
      <c r="D173" s="95" t="str">
        <f>D172</f>
        <v>V3</v>
      </c>
      <c r="E173" s="94" t="s">
        <v>96</v>
      </c>
      <c r="F173" s="94">
        <f>H170/2</f>
        <v>0.05</v>
      </c>
      <c r="G173" s="94">
        <f>SQRT(3)</f>
        <v>1.7320508075688772</v>
      </c>
      <c r="H173" s="94">
        <v>50</v>
      </c>
      <c r="I173" s="94">
        <f t="shared" si="57"/>
        <v>2.8867513459481291E-2</v>
      </c>
      <c r="J173" s="94">
        <v>1</v>
      </c>
      <c r="K173" s="94">
        <f t="shared" si="58"/>
        <v>2.8867513459481291E-2</v>
      </c>
      <c r="L173" s="94">
        <f t="shared" si="59"/>
        <v>8.333333333333335E-4</v>
      </c>
      <c r="M173" s="94">
        <f t="shared" si="60"/>
        <v>1.3888888888888894E-8</v>
      </c>
      <c r="N173" s="1"/>
      <c r="O173" s="1"/>
      <c r="P173" s="1"/>
      <c r="Q173" s="243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</row>
    <row r="174" spans="1:38" ht="12.75" customHeight="1" x14ac:dyDescent="0.3">
      <c r="A174" s="93" t="s">
        <v>97</v>
      </c>
      <c r="B174" s="94" t="s">
        <v>184</v>
      </c>
      <c r="C174" s="94" t="s">
        <v>95</v>
      </c>
      <c r="D174" s="95" t="str">
        <f>D172</f>
        <v>V3</v>
      </c>
      <c r="E174" s="94" t="s">
        <v>92</v>
      </c>
      <c r="F174" s="96">
        <f>V34</f>
        <v>7.6999999999999996E-4</v>
      </c>
      <c r="G174" s="94">
        <v>2</v>
      </c>
      <c r="H174" s="94">
        <v>60</v>
      </c>
      <c r="I174" s="94">
        <f t="shared" si="57"/>
        <v>3.8499999999999998E-4</v>
      </c>
      <c r="J174" s="94">
        <v>1</v>
      </c>
      <c r="K174" s="94">
        <f t="shared" si="58"/>
        <v>3.8499999999999998E-4</v>
      </c>
      <c r="L174" s="94">
        <f t="shared" si="59"/>
        <v>1.4822499999999999E-7</v>
      </c>
      <c r="M174" s="94">
        <f t="shared" si="60"/>
        <v>3.6617751041666664E-16</v>
      </c>
      <c r="N174" s="1"/>
      <c r="O174" s="1"/>
      <c r="P174" s="1"/>
      <c r="Q174" s="243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</row>
    <row r="175" spans="1:38" ht="12.75" customHeight="1" x14ac:dyDescent="0.3">
      <c r="A175" s="93" t="s">
        <v>99</v>
      </c>
      <c r="B175" s="94" t="s">
        <v>185</v>
      </c>
      <c r="C175" s="94" t="s">
        <v>95</v>
      </c>
      <c r="D175" s="95" t="str">
        <f>D172</f>
        <v>V3</v>
      </c>
      <c r="E175" s="94" t="s">
        <v>96</v>
      </c>
      <c r="F175" s="96">
        <f>U34</f>
        <v>3.8317343802185446E-4</v>
      </c>
      <c r="G175" s="94">
        <f t="shared" ref="G175:G176" si="61">SQRT(3)</f>
        <v>1.7320508075688772</v>
      </c>
      <c r="H175" s="94">
        <v>50</v>
      </c>
      <c r="I175" s="94">
        <f t="shared" si="57"/>
        <v>2.2122528758823206E-4</v>
      </c>
      <c r="J175" s="94">
        <v>1</v>
      </c>
      <c r="K175" s="94">
        <f t="shared" si="58"/>
        <v>2.2122528758823206E-4</v>
      </c>
      <c r="L175" s="94">
        <f t="shared" si="59"/>
        <v>4.8940627868495979E-8</v>
      </c>
      <c r="M175" s="94">
        <f t="shared" si="60"/>
        <v>4.7903701123252108E-17</v>
      </c>
      <c r="N175" s="1"/>
      <c r="O175" s="1"/>
      <c r="P175" s="1"/>
      <c r="Q175" s="243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</row>
    <row r="176" spans="1:38" ht="12.75" customHeight="1" x14ac:dyDescent="0.3">
      <c r="A176" s="93" t="s">
        <v>101</v>
      </c>
      <c r="B176" s="94" t="s">
        <v>186</v>
      </c>
      <c r="C176" s="94" t="s">
        <v>95</v>
      </c>
      <c r="D176" s="95" t="str">
        <f>D172</f>
        <v>V3</v>
      </c>
      <c r="E176" s="94" t="s">
        <v>96</v>
      </c>
      <c r="F176" s="94">
        <f>$F$41/1000</f>
        <v>2.8089999999925098E-6</v>
      </c>
      <c r="G176" s="94">
        <f t="shared" si="61"/>
        <v>1.7320508075688772</v>
      </c>
      <c r="H176" s="94">
        <v>50</v>
      </c>
      <c r="I176" s="94">
        <f t="shared" si="57"/>
        <v>1.6217769061493344E-6</v>
      </c>
      <c r="J176" s="94">
        <v>1</v>
      </c>
      <c r="K176" s="94">
        <f t="shared" si="58"/>
        <v>1.6217769061493344E-6</v>
      </c>
      <c r="L176" s="94">
        <f t="shared" si="59"/>
        <v>2.6301603333193072E-12</v>
      </c>
      <c r="M176" s="94">
        <f t="shared" si="60"/>
        <v>1.3835486757932657E-25</v>
      </c>
      <c r="N176" s="1"/>
      <c r="O176" s="1"/>
      <c r="P176" s="1"/>
      <c r="Q176" s="243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</row>
    <row r="177" spans="1:38" ht="12.75" customHeight="1" x14ac:dyDescent="0.3">
      <c r="A177" s="98"/>
      <c r="B177" s="98"/>
      <c r="C177" s="98"/>
      <c r="D177" s="93"/>
      <c r="E177" s="93"/>
      <c r="F177" s="93"/>
      <c r="G177" s="93"/>
      <c r="H177" s="93"/>
      <c r="I177" s="93"/>
      <c r="J177" s="93"/>
      <c r="K177" s="93"/>
      <c r="L177" s="94"/>
      <c r="M177" s="93"/>
      <c r="N177" s="1"/>
      <c r="O177" s="1"/>
      <c r="P177" s="1"/>
      <c r="Q177" s="243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</row>
    <row r="178" spans="1:38" ht="12.75" customHeight="1" x14ac:dyDescent="0.3">
      <c r="A178" s="834" t="s">
        <v>103</v>
      </c>
      <c r="B178" s="794"/>
      <c r="C178" s="794"/>
      <c r="D178" s="794"/>
      <c r="E178" s="794"/>
      <c r="F178" s="794"/>
      <c r="G178" s="794"/>
      <c r="H178" s="794"/>
      <c r="I178" s="794"/>
      <c r="J178" s="780"/>
      <c r="K178" s="835">
        <f>SUM(L172:L177)</f>
        <v>8.3353050159136227E-4</v>
      </c>
      <c r="L178" s="780"/>
      <c r="M178" s="93">
        <f>SUM(M172:M177)</f>
        <v>1.3888889302970105E-8</v>
      </c>
      <c r="N178" s="1"/>
      <c r="O178" s="1"/>
      <c r="P178" s="1"/>
      <c r="Q178" s="243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</row>
    <row r="179" spans="1:38" ht="12.75" customHeight="1" x14ac:dyDescent="0.3">
      <c r="A179" s="834" t="s">
        <v>104</v>
      </c>
      <c r="B179" s="794"/>
      <c r="C179" s="794"/>
      <c r="D179" s="794"/>
      <c r="E179" s="794"/>
      <c r="F179" s="794"/>
      <c r="G179" s="794"/>
      <c r="H179" s="794"/>
      <c r="I179" s="794"/>
      <c r="J179" s="780"/>
      <c r="K179" s="835">
        <f>SQRT(K178)</f>
        <v>2.8870928311908545E-2</v>
      </c>
      <c r="L179" s="780"/>
      <c r="M179" s="93"/>
      <c r="N179" s="1"/>
      <c r="O179" s="1"/>
      <c r="P179" s="1"/>
      <c r="Q179" s="243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</row>
    <row r="180" spans="1:38" ht="12.75" customHeight="1" x14ac:dyDescent="0.3">
      <c r="A180" s="834" t="s">
        <v>187</v>
      </c>
      <c r="B180" s="794"/>
      <c r="C180" s="794"/>
      <c r="D180" s="794"/>
      <c r="E180" s="794"/>
      <c r="F180" s="794"/>
      <c r="G180" s="794"/>
      <c r="H180" s="794"/>
      <c r="I180" s="794"/>
      <c r="J180" s="780"/>
      <c r="K180" s="99">
        <f>(K179^4)/M178</f>
        <v>50.023661498588851</v>
      </c>
      <c r="L180" s="101"/>
      <c r="M180" s="93"/>
      <c r="N180" s="1"/>
      <c r="O180" s="1"/>
      <c r="P180" s="1"/>
      <c r="Q180" s="243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</row>
    <row r="181" spans="1:38" ht="12.75" customHeight="1" x14ac:dyDescent="0.3">
      <c r="A181" s="834" t="s">
        <v>188</v>
      </c>
      <c r="B181" s="794"/>
      <c r="C181" s="794"/>
      <c r="D181" s="794"/>
      <c r="E181" s="794"/>
      <c r="F181" s="794"/>
      <c r="G181" s="794"/>
      <c r="H181" s="794"/>
      <c r="I181" s="794"/>
      <c r="J181" s="780"/>
      <c r="K181" s="99">
        <f>1.95996+2.37356/K180+2.818745/K180^2+2.546662/K180^3+1.761829/K180^4+0.245458/K180^5+1.000764/K180^6</f>
        <v>2.0085558040634144</v>
      </c>
      <c r="L181" s="101">
        <v>2</v>
      </c>
      <c r="M181" s="93"/>
      <c r="N181" s="1"/>
      <c r="O181" s="1"/>
      <c r="P181" s="1"/>
      <c r="Q181" s="243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</row>
    <row r="182" spans="1:38" ht="12.75" customHeight="1" x14ac:dyDescent="0.3">
      <c r="A182" s="834" t="s">
        <v>107</v>
      </c>
      <c r="B182" s="794"/>
      <c r="C182" s="794"/>
      <c r="D182" s="794"/>
      <c r="E182" s="794"/>
      <c r="F182" s="794"/>
      <c r="G182" s="794"/>
      <c r="H182" s="794"/>
      <c r="I182" s="794"/>
      <c r="J182" s="780"/>
      <c r="K182" s="99">
        <f>K181*K179</f>
        <v>5.7988870629582662E-2</v>
      </c>
      <c r="L182" s="101">
        <f>L181*K179</f>
        <v>5.7741856623817089E-2</v>
      </c>
      <c r="M182" s="93"/>
      <c r="N182" s="1"/>
      <c r="O182" s="1"/>
      <c r="P182" s="1"/>
      <c r="Q182" s="243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</row>
    <row r="183" spans="1:38" ht="12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243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</row>
    <row r="184" spans="1:38" ht="12.75" customHeight="1" x14ac:dyDescent="0.3">
      <c r="A184" s="71" t="s">
        <v>76</v>
      </c>
      <c r="B184" s="1"/>
      <c r="C184" s="1"/>
      <c r="D184" s="1">
        <f t="shared" ref="D184:E184" si="62">A$11</f>
        <v>600</v>
      </c>
      <c r="E184" s="103" t="str">
        <f t="shared" si="62"/>
        <v>V</v>
      </c>
      <c r="F184" s="81"/>
      <c r="G184" s="82"/>
      <c r="H184" s="12"/>
      <c r="I184" s="12"/>
      <c r="J184" s="12"/>
      <c r="K184" s="12"/>
      <c r="L184" s="12"/>
      <c r="M184" s="287" t="str">
        <f>M$34</f>
        <v>DC Voltage-Measure</v>
      </c>
      <c r="N184" s="1"/>
      <c r="O184" s="1"/>
      <c r="P184" s="1"/>
      <c r="Q184" s="243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</row>
    <row r="185" spans="1:38" ht="12.75" customHeight="1" x14ac:dyDescent="0.3">
      <c r="A185" s="84" t="s">
        <v>2</v>
      </c>
      <c r="B185" s="85"/>
      <c r="C185" s="85"/>
      <c r="D185" s="80">
        <f>C12</f>
        <v>300</v>
      </c>
      <c r="E185" s="6" t="str">
        <f>D12</f>
        <v>V3</v>
      </c>
      <c r="F185" s="111"/>
      <c r="G185" s="90"/>
      <c r="H185" s="89">
        <v>0.1</v>
      </c>
      <c r="I185" s="90"/>
      <c r="J185" s="90"/>
      <c r="K185" s="90"/>
      <c r="L185" s="90"/>
      <c r="M185" s="76"/>
      <c r="N185" s="1"/>
      <c r="O185" s="1"/>
      <c r="P185" s="1"/>
      <c r="Q185" s="243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</row>
    <row r="186" spans="1:38" ht="12.75" customHeight="1" x14ac:dyDescent="0.3">
      <c r="A186" s="91" t="s">
        <v>78</v>
      </c>
      <c r="B186" s="91" t="s">
        <v>79</v>
      </c>
      <c r="C186" s="91" t="s">
        <v>10</v>
      </c>
      <c r="D186" s="91" t="s">
        <v>80</v>
      </c>
      <c r="E186" s="91" t="s">
        <v>81</v>
      </c>
      <c r="F186" s="92" t="s">
        <v>82</v>
      </c>
      <c r="G186" s="91" t="s">
        <v>83</v>
      </c>
      <c r="H186" s="91" t="s">
        <v>84</v>
      </c>
      <c r="I186" s="91" t="s">
        <v>85</v>
      </c>
      <c r="J186" s="91" t="s">
        <v>86</v>
      </c>
      <c r="K186" s="91" t="s">
        <v>87</v>
      </c>
      <c r="L186" s="91" t="s">
        <v>189</v>
      </c>
      <c r="M186" s="91" t="s">
        <v>190</v>
      </c>
      <c r="N186" s="1"/>
      <c r="O186" s="1"/>
      <c r="P186" s="1"/>
      <c r="Q186" s="243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</row>
    <row r="187" spans="1:38" ht="12.75" customHeight="1" x14ac:dyDescent="0.3">
      <c r="A187" s="93" t="s">
        <v>90</v>
      </c>
      <c r="B187" s="94" t="s">
        <v>191</v>
      </c>
      <c r="C187" s="94" t="s">
        <v>42</v>
      </c>
      <c r="D187" s="95" t="str">
        <f>E185</f>
        <v>V3</v>
      </c>
      <c r="E187" s="94" t="s">
        <v>631</v>
      </c>
      <c r="F187" s="94">
        <f>STDEV(Data!E41:N41)/SQRT(5)</f>
        <v>0</v>
      </c>
      <c r="G187" s="94">
        <v>1</v>
      </c>
      <c r="H187" s="94">
        <f>5-1</f>
        <v>4</v>
      </c>
      <c r="I187" s="94">
        <f t="shared" ref="I187:I191" si="63">(F187)/G187</f>
        <v>0</v>
      </c>
      <c r="J187" s="94">
        <v>1</v>
      </c>
      <c r="K187" s="94">
        <f t="shared" ref="K187:K191" si="64">I187*J187</f>
        <v>0</v>
      </c>
      <c r="L187" s="94">
        <f t="shared" ref="L187:L191" si="65">K187^2</f>
        <v>0</v>
      </c>
      <c r="M187" s="94">
        <f t="shared" ref="M187:M191" si="66">(K187^4)/H187</f>
        <v>0</v>
      </c>
      <c r="N187" s="1"/>
      <c r="O187" s="1"/>
      <c r="P187" s="1"/>
      <c r="Q187" s="243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</row>
    <row r="188" spans="1:38" ht="12.75" customHeight="1" x14ac:dyDescent="0.3">
      <c r="A188" s="93" t="s">
        <v>93</v>
      </c>
      <c r="B188" s="94" t="s">
        <v>192</v>
      </c>
      <c r="C188" s="94" t="s">
        <v>95</v>
      </c>
      <c r="D188" s="95" t="str">
        <f>D187</f>
        <v>V3</v>
      </c>
      <c r="E188" s="94" t="s">
        <v>96</v>
      </c>
      <c r="F188" s="94">
        <f>H185/2</f>
        <v>0.05</v>
      </c>
      <c r="G188" s="94">
        <f>SQRT(3)</f>
        <v>1.7320508075688772</v>
      </c>
      <c r="H188" s="94">
        <v>50</v>
      </c>
      <c r="I188" s="94">
        <f t="shared" si="63"/>
        <v>2.8867513459481291E-2</v>
      </c>
      <c r="J188" s="94">
        <v>1</v>
      </c>
      <c r="K188" s="94">
        <f t="shared" si="64"/>
        <v>2.8867513459481291E-2</v>
      </c>
      <c r="L188" s="94">
        <f t="shared" si="65"/>
        <v>8.333333333333335E-4</v>
      </c>
      <c r="M188" s="94">
        <f t="shared" si="66"/>
        <v>1.3888888888888894E-8</v>
      </c>
      <c r="N188" s="1"/>
      <c r="O188" s="1"/>
      <c r="P188" s="1"/>
      <c r="Q188" s="243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</row>
    <row r="189" spans="1:38" ht="12.75" customHeight="1" x14ac:dyDescent="0.3">
      <c r="A189" s="93" t="s">
        <v>97</v>
      </c>
      <c r="B189" s="94" t="s">
        <v>193</v>
      </c>
      <c r="C189" s="94" t="s">
        <v>95</v>
      </c>
      <c r="D189" s="95" t="str">
        <f>D187</f>
        <v>V3</v>
      </c>
      <c r="E189" s="94" t="s">
        <v>92</v>
      </c>
      <c r="F189" s="96">
        <f>V35</f>
        <v>3.8E-3</v>
      </c>
      <c r="G189" s="94">
        <v>2</v>
      </c>
      <c r="H189" s="94">
        <v>60</v>
      </c>
      <c r="I189" s="94">
        <f t="shared" si="63"/>
        <v>1.9E-3</v>
      </c>
      <c r="J189" s="94">
        <v>1</v>
      </c>
      <c r="K189" s="94">
        <f t="shared" si="64"/>
        <v>1.9E-3</v>
      </c>
      <c r="L189" s="94">
        <f t="shared" si="65"/>
        <v>3.6100000000000002E-6</v>
      </c>
      <c r="M189" s="94">
        <f t="shared" si="66"/>
        <v>2.1720166666666669E-13</v>
      </c>
      <c r="N189" s="1"/>
      <c r="O189" s="1"/>
      <c r="P189" s="1"/>
      <c r="Q189" s="243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</row>
    <row r="190" spans="1:38" ht="12.75" customHeight="1" x14ac:dyDescent="0.3">
      <c r="A190" s="93" t="s">
        <v>99</v>
      </c>
      <c r="B190" s="94" t="s">
        <v>194</v>
      </c>
      <c r="C190" s="94" t="s">
        <v>95</v>
      </c>
      <c r="D190" s="95" t="str">
        <f>D187</f>
        <v>V3</v>
      </c>
      <c r="E190" s="94" t="s">
        <v>96</v>
      </c>
      <c r="F190" s="96">
        <f>U35</f>
        <v>5.2467480806016418E-4</v>
      </c>
      <c r="G190" s="94">
        <f t="shared" ref="G190:G191" si="67">SQRT(3)</f>
        <v>1.7320508075688772</v>
      </c>
      <c r="H190" s="94">
        <v>50</v>
      </c>
      <c r="I190" s="94">
        <f t="shared" si="63"/>
        <v>3.0292114167055105E-4</v>
      </c>
      <c r="J190" s="94">
        <v>1</v>
      </c>
      <c r="K190" s="94">
        <f t="shared" si="64"/>
        <v>3.0292114167055105E-4</v>
      </c>
      <c r="L190" s="94">
        <f t="shared" si="65"/>
        <v>9.1761218070990063E-8</v>
      </c>
      <c r="M190" s="94">
        <f t="shared" si="66"/>
        <v>1.6840242283743589E-16</v>
      </c>
      <c r="N190" s="1"/>
      <c r="O190" s="1"/>
      <c r="P190" s="1"/>
      <c r="Q190" s="243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</row>
    <row r="191" spans="1:38" ht="12.75" customHeight="1" x14ac:dyDescent="0.3">
      <c r="A191" s="93" t="s">
        <v>101</v>
      </c>
      <c r="B191" s="94" t="s">
        <v>195</v>
      </c>
      <c r="C191" s="94" t="s">
        <v>95</v>
      </c>
      <c r="D191" s="95" t="str">
        <f>D187</f>
        <v>V3</v>
      </c>
      <c r="E191" s="94" t="s">
        <v>96</v>
      </c>
      <c r="F191" s="94">
        <f>$F$41/1000</f>
        <v>2.8089999999925098E-6</v>
      </c>
      <c r="G191" s="94">
        <f t="shared" si="67"/>
        <v>1.7320508075688772</v>
      </c>
      <c r="H191" s="94">
        <v>50</v>
      </c>
      <c r="I191" s="94">
        <f t="shared" si="63"/>
        <v>1.6217769061493344E-6</v>
      </c>
      <c r="J191" s="94">
        <v>1</v>
      </c>
      <c r="K191" s="94">
        <f t="shared" si="64"/>
        <v>1.6217769061493344E-6</v>
      </c>
      <c r="L191" s="94">
        <f t="shared" si="65"/>
        <v>2.6301603333193072E-12</v>
      </c>
      <c r="M191" s="94">
        <f t="shared" si="66"/>
        <v>1.3835486757932657E-25</v>
      </c>
      <c r="N191" s="1"/>
      <c r="O191" s="1"/>
      <c r="P191" s="1"/>
      <c r="Q191" s="243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</row>
    <row r="192" spans="1:38" ht="12.75" customHeight="1" x14ac:dyDescent="0.3">
      <c r="A192" s="98"/>
      <c r="B192" s="98"/>
      <c r="C192" s="98"/>
      <c r="D192" s="93"/>
      <c r="E192" s="93"/>
      <c r="F192" s="93"/>
      <c r="G192" s="93"/>
      <c r="H192" s="93"/>
      <c r="I192" s="93"/>
      <c r="J192" s="93"/>
      <c r="K192" s="93"/>
      <c r="L192" s="94"/>
      <c r="M192" s="93"/>
      <c r="N192" s="1"/>
      <c r="O192" s="1"/>
      <c r="P192" s="1"/>
      <c r="Q192" s="243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</row>
    <row r="193" spans="1:38" ht="12.75" customHeight="1" x14ac:dyDescent="0.3">
      <c r="A193" s="834" t="s">
        <v>103</v>
      </c>
      <c r="B193" s="794"/>
      <c r="C193" s="794"/>
      <c r="D193" s="794"/>
      <c r="E193" s="794"/>
      <c r="F193" s="794"/>
      <c r="G193" s="794"/>
      <c r="H193" s="794"/>
      <c r="I193" s="794"/>
      <c r="J193" s="780"/>
      <c r="K193" s="835">
        <f>SUM(L187:L192)</f>
        <v>8.3703509718156485E-4</v>
      </c>
      <c r="L193" s="780"/>
      <c r="M193" s="93">
        <f>SUM(M187:M192)</f>
        <v>1.3889106258957983E-8</v>
      </c>
      <c r="N193" s="1"/>
      <c r="O193" s="1"/>
      <c r="P193" s="1"/>
      <c r="Q193" s="243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</row>
    <row r="194" spans="1:38" ht="12.75" customHeight="1" x14ac:dyDescent="0.3">
      <c r="A194" s="834" t="s">
        <v>104</v>
      </c>
      <c r="B194" s="794"/>
      <c r="C194" s="794"/>
      <c r="D194" s="794"/>
      <c r="E194" s="794"/>
      <c r="F194" s="794"/>
      <c r="G194" s="794"/>
      <c r="H194" s="794"/>
      <c r="I194" s="794"/>
      <c r="J194" s="780"/>
      <c r="K194" s="835">
        <f>SQRT(K193)</f>
        <v>2.893155884465206E-2</v>
      </c>
      <c r="L194" s="780"/>
      <c r="M194" s="93"/>
      <c r="N194" s="1"/>
      <c r="O194" s="1"/>
      <c r="P194" s="1"/>
      <c r="Q194" s="243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</row>
    <row r="195" spans="1:38" ht="12.75" customHeight="1" x14ac:dyDescent="0.3">
      <c r="A195" s="834" t="s">
        <v>196</v>
      </c>
      <c r="B195" s="794"/>
      <c r="C195" s="794"/>
      <c r="D195" s="794"/>
      <c r="E195" s="794"/>
      <c r="F195" s="794"/>
      <c r="G195" s="794"/>
      <c r="H195" s="794"/>
      <c r="I195" s="794"/>
      <c r="J195" s="780"/>
      <c r="K195" s="99">
        <f>(K194^4)/M193</f>
        <v>50.444408794257122</v>
      </c>
      <c r="L195" s="101"/>
      <c r="M195" s="93"/>
      <c r="N195" s="1"/>
      <c r="O195" s="1"/>
      <c r="P195" s="1"/>
      <c r="Q195" s="243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</row>
    <row r="196" spans="1:38" ht="12.75" customHeight="1" x14ac:dyDescent="0.3">
      <c r="A196" s="834" t="s">
        <v>197</v>
      </c>
      <c r="B196" s="794"/>
      <c r="C196" s="794"/>
      <c r="D196" s="794"/>
      <c r="E196" s="794"/>
      <c r="F196" s="794"/>
      <c r="G196" s="794"/>
      <c r="H196" s="794"/>
      <c r="I196" s="794"/>
      <c r="J196" s="780"/>
      <c r="K196" s="99">
        <f>1.95996+2.37356/K195+2.818745/K195^2+2.546662/K195^3+1.761829/K195^4+0.245458/K195^5+1.000764/K195^6</f>
        <v>2.008140816547141</v>
      </c>
      <c r="L196" s="101">
        <v>2</v>
      </c>
      <c r="M196" s="93"/>
      <c r="N196" s="1"/>
      <c r="O196" s="1"/>
      <c r="P196" s="1"/>
      <c r="Q196" s="243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</row>
    <row r="197" spans="1:38" ht="12.75" customHeight="1" x14ac:dyDescent="0.3">
      <c r="A197" s="834" t="s">
        <v>107</v>
      </c>
      <c r="B197" s="794"/>
      <c r="C197" s="794"/>
      <c r="D197" s="794"/>
      <c r="E197" s="794"/>
      <c r="F197" s="794"/>
      <c r="G197" s="794"/>
      <c r="H197" s="794"/>
      <c r="I197" s="794"/>
      <c r="J197" s="780"/>
      <c r="K197" s="99">
        <f>K196*K194</f>
        <v>5.8098644202281245E-2</v>
      </c>
      <c r="L197" s="101">
        <f>L196*K194</f>
        <v>5.7863117689304119E-2</v>
      </c>
      <c r="M197" s="93"/>
      <c r="N197" s="1"/>
      <c r="O197" s="1"/>
      <c r="P197" s="1"/>
      <c r="Q197" s="243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</row>
    <row r="198" spans="1:38" ht="12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243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</row>
    <row r="199" spans="1:38" ht="12.75" customHeight="1" x14ac:dyDescent="0.3">
      <c r="A199" s="71" t="s">
        <v>76</v>
      </c>
      <c r="B199" s="1"/>
      <c r="C199" s="1"/>
      <c r="D199" s="1">
        <f t="shared" ref="D199:E199" si="68">A$11</f>
        <v>600</v>
      </c>
      <c r="E199" s="103" t="str">
        <f t="shared" si="68"/>
        <v>V</v>
      </c>
      <c r="F199" s="81"/>
      <c r="G199" s="82"/>
      <c r="H199" s="12"/>
      <c r="I199" s="12"/>
      <c r="J199" s="12"/>
      <c r="K199" s="12"/>
      <c r="L199" s="12"/>
      <c r="M199" s="287" t="str">
        <f>M$34</f>
        <v>DC Voltage-Measure</v>
      </c>
      <c r="N199" s="1"/>
      <c r="O199" s="1"/>
      <c r="P199" s="1"/>
      <c r="Q199" s="243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</row>
    <row r="200" spans="1:38" ht="12.75" customHeight="1" x14ac:dyDescent="0.3">
      <c r="A200" s="84" t="s">
        <v>2</v>
      </c>
      <c r="B200" s="85"/>
      <c r="C200" s="85"/>
      <c r="D200" s="6">
        <f>C13</f>
        <v>540</v>
      </c>
      <c r="E200" s="80" t="str">
        <f>D13</f>
        <v>V4</v>
      </c>
      <c r="F200" s="111"/>
      <c r="G200" s="90"/>
      <c r="H200" s="89">
        <v>0.1</v>
      </c>
      <c r="I200" s="90"/>
      <c r="J200" s="90"/>
      <c r="K200" s="90"/>
      <c r="L200" s="90"/>
      <c r="M200" s="76"/>
      <c r="N200" s="1"/>
      <c r="O200" s="1"/>
      <c r="P200" s="1"/>
      <c r="Q200" s="243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</row>
    <row r="201" spans="1:38" ht="12.75" customHeight="1" x14ac:dyDescent="0.3">
      <c r="A201" s="91" t="s">
        <v>78</v>
      </c>
      <c r="B201" s="91" t="s">
        <v>79</v>
      </c>
      <c r="C201" s="91" t="s">
        <v>10</v>
      </c>
      <c r="D201" s="91" t="s">
        <v>80</v>
      </c>
      <c r="E201" s="91" t="s">
        <v>81</v>
      </c>
      <c r="F201" s="92" t="s">
        <v>82</v>
      </c>
      <c r="G201" s="91" t="s">
        <v>83</v>
      </c>
      <c r="H201" s="91" t="s">
        <v>84</v>
      </c>
      <c r="I201" s="91" t="s">
        <v>85</v>
      </c>
      <c r="J201" s="91" t="s">
        <v>86</v>
      </c>
      <c r="K201" s="91" t="s">
        <v>87</v>
      </c>
      <c r="L201" s="91" t="s">
        <v>198</v>
      </c>
      <c r="M201" s="91" t="s">
        <v>199</v>
      </c>
      <c r="N201" s="1"/>
      <c r="O201" s="1"/>
      <c r="P201" s="1"/>
      <c r="Q201" s="243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</row>
    <row r="202" spans="1:38" ht="12.75" customHeight="1" x14ac:dyDescent="0.3">
      <c r="A202" s="93" t="s">
        <v>90</v>
      </c>
      <c r="B202" s="94" t="s">
        <v>200</v>
      </c>
      <c r="C202" s="94" t="s">
        <v>42</v>
      </c>
      <c r="D202" s="95" t="str">
        <f>E200</f>
        <v>V4</v>
      </c>
      <c r="E202" s="94" t="s">
        <v>631</v>
      </c>
      <c r="F202" s="94">
        <f>STDEV(Data!E42:N42)/SQRT(5)</f>
        <v>0</v>
      </c>
      <c r="G202" s="94">
        <v>1</v>
      </c>
      <c r="H202" s="94">
        <f>5-1</f>
        <v>4</v>
      </c>
      <c r="I202" s="94">
        <f t="shared" ref="I202:I206" si="69">(F202)/G202</f>
        <v>0</v>
      </c>
      <c r="J202" s="94">
        <v>1</v>
      </c>
      <c r="K202" s="94">
        <f t="shared" ref="K202:K206" si="70">I202*J202</f>
        <v>0</v>
      </c>
      <c r="L202" s="94">
        <f t="shared" ref="L202:L206" si="71">K202^2</f>
        <v>0</v>
      </c>
      <c r="M202" s="94">
        <f t="shared" ref="M202:M206" si="72">(K202^4)/H202</f>
        <v>0</v>
      </c>
      <c r="N202" s="1"/>
      <c r="O202" s="1"/>
      <c r="P202" s="1"/>
      <c r="Q202" s="243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</row>
    <row r="203" spans="1:38" ht="12.75" customHeight="1" x14ac:dyDescent="0.3">
      <c r="A203" s="93" t="s">
        <v>93</v>
      </c>
      <c r="B203" s="94" t="s">
        <v>201</v>
      </c>
      <c r="C203" s="94" t="s">
        <v>95</v>
      </c>
      <c r="D203" s="95" t="str">
        <f>D202</f>
        <v>V4</v>
      </c>
      <c r="E203" s="94" t="s">
        <v>96</v>
      </c>
      <c r="F203" s="94">
        <f>H200/2</f>
        <v>0.05</v>
      </c>
      <c r="G203" s="94">
        <f>SQRT(3)</f>
        <v>1.7320508075688772</v>
      </c>
      <c r="H203" s="94">
        <v>50</v>
      </c>
      <c r="I203" s="94">
        <f t="shared" si="69"/>
        <v>2.8867513459481291E-2</v>
      </c>
      <c r="J203" s="94">
        <v>1</v>
      </c>
      <c r="K203" s="94">
        <f t="shared" si="70"/>
        <v>2.8867513459481291E-2</v>
      </c>
      <c r="L203" s="94">
        <f t="shared" si="71"/>
        <v>8.333333333333335E-4</v>
      </c>
      <c r="M203" s="94">
        <f t="shared" si="72"/>
        <v>1.3888888888888894E-8</v>
      </c>
      <c r="N203" s="1"/>
      <c r="O203" s="1"/>
      <c r="P203" s="1"/>
      <c r="Q203" s="243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</row>
    <row r="204" spans="1:38" ht="12.75" customHeight="1" x14ac:dyDescent="0.3">
      <c r="A204" s="93" t="s">
        <v>97</v>
      </c>
      <c r="B204" s="94" t="s">
        <v>202</v>
      </c>
      <c r="C204" s="94" t="s">
        <v>95</v>
      </c>
      <c r="D204" s="95" t="str">
        <f>D202</f>
        <v>V4</v>
      </c>
      <c r="E204" s="94" t="s">
        <v>92</v>
      </c>
      <c r="F204" s="96">
        <f>V36</f>
        <v>6.4000000000000003E-3</v>
      </c>
      <c r="G204" s="94">
        <v>2</v>
      </c>
      <c r="H204" s="94">
        <v>60</v>
      </c>
      <c r="I204" s="94">
        <f t="shared" si="69"/>
        <v>3.2000000000000002E-3</v>
      </c>
      <c r="J204" s="94">
        <v>1</v>
      </c>
      <c r="K204" s="94">
        <f t="shared" si="70"/>
        <v>3.2000000000000002E-3</v>
      </c>
      <c r="L204" s="94">
        <f t="shared" si="71"/>
        <v>1.024E-5</v>
      </c>
      <c r="M204" s="94">
        <f t="shared" si="72"/>
        <v>1.7476266666666669E-12</v>
      </c>
      <c r="N204" s="1"/>
      <c r="O204" s="1"/>
      <c r="P204" s="1"/>
      <c r="Q204" s="243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</row>
    <row r="205" spans="1:38" ht="12.75" customHeight="1" x14ac:dyDescent="0.3">
      <c r="A205" s="93" t="s">
        <v>99</v>
      </c>
      <c r="B205" s="94" t="s">
        <v>203</v>
      </c>
      <c r="C205" s="94" t="s">
        <v>95</v>
      </c>
      <c r="D205" s="95" t="str">
        <f>D202</f>
        <v>V4</v>
      </c>
      <c r="E205" s="94" t="s">
        <v>96</v>
      </c>
      <c r="F205" s="96">
        <f>U36</f>
        <v>3.1218432030756609E-3</v>
      </c>
      <c r="G205" s="94">
        <f t="shared" ref="G205:G206" si="73">SQRT(3)</f>
        <v>1.7320508075688772</v>
      </c>
      <c r="H205" s="94">
        <v>50</v>
      </c>
      <c r="I205" s="94">
        <f t="shared" si="69"/>
        <v>1.8023970136635365E-3</v>
      </c>
      <c r="J205" s="94">
        <v>1</v>
      </c>
      <c r="K205" s="94">
        <f t="shared" si="70"/>
        <v>1.8023970136635365E-3</v>
      </c>
      <c r="L205" s="94">
        <f t="shared" si="71"/>
        <v>3.2486349948632348E-6</v>
      </c>
      <c r="M205" s="94">
        <f t="shared" si="72"/>
        <v>2.11072586597001E-13</v>
      </c>
      <c r="N205" s="1"/>
      <c r="O205" s="1"/>
      <c r="P205" s="1"/>
      <c r="Q205" s="243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</row>
    <row r="206" spans="1:38" ht="12.75" customHeight="1" x14ac:dyDescent="0.3">
      <c r="A206" s="93" t="s">
        <v>101</v>
      </c>
      <c r="B206" s="94" t="s">
        <v>204</v>
      </c>
      <c r="C206" s="94" t="s">
        <v>95</v>
      </c>
      <c r="D206" s="95" t="str">
        <f>D202</f>
        <v>V4</v>
      </c>
      <c r="E206" s="94" t="s">
        <v>96</v>
      </c>
      <c r="F206" s="94">
        <f>$F$41/1000</f>
        <v>2.8089999999925098E-6</v>
      </c>
      <c r="G206" s="94">
        <f t="shared" si="73"/>
        <v>1.7320508075688772</v>
      </c>
      <c r="H206" s="94">
        <v>50</v>
      </c>
      <c r="I206" s="94">
        <f t="shared" si="69"/>
        <v>1.6217769061493344E-6</v>
      </c>
      <c r="J206" s="94">
        <v>1</v>
      </c>
      <c r="K206" s="94">
        <f t="shared" si="70"/>
        <v>1.6217769061493344E-6</v>
      </c>
      <c r="L206" s="94">
        <f t="shared" si="71"/>
        <v>2.6301603333193072E-12</v>
      </c>
      <c r="M206" s="94">
        <f t="shared" si="72"/>
        <v>1.3835486757932657E-25</v>
      </c>
      <c r="N206" s="1"/>
      <c r="O206" s="1"/>
      <c r="P206" s="1"/>
      <c r="Q206" s="243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</row>
    <row r="207" spans="1:38" ht="12.75" customHeight="1" x14ac:dyDescent="0.3">
      <c r="A207" s="98"/>
      <c r="B207" s="98"/>
      <c r="C207" s="98"/>
      <c r="D207" s="93"/>
      <c r="E207" s="93"/>
      <c r="F207" s="93"/>
      <c r="G207" s="93"/>
      <c r="H207" s="93"/>
      <c r="I207" s="93"/>
      <c r="J207" s="93"/>
      <c r="K207" s="93"/>
      <c r="L207" s="94"/>
      <c r="M207" s="93"/>
      <c r="N207" s="1"/>
      <c r="O207" s="1"/>
      <c r="P207" s="1"/>
      <c r="Q207" s="243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</row>
    <row r="208" spans="1:38" ht="12.75" customHeight="1" x14ac:dyDescent="0.3">
      <c r="A208" s="834" t="s">
        <v>103</v>
      </c>
      <c r="B208" s="794"/>
      <c r="C208" s="794"/>
      <c r="D208" s="794"/>
      <c r="E208" s="794"/>
      <c r="F208" s="794"/>
      <c r="G208" s="794"/>
      <c r="H208" s="794"/>
      <c r="I208" s="794"/>
      <c r="J208" s="780"/>
      <c r="K208" s="835">
        <f>SUM(L202:L207)</f>
        <v>8.46821970958357E-4</v>
      </c>
      <c r="L208" s="780"/>
      <c r="M208" s="93">
        <f>SUM(M202:M207)</f>
        <v>1.3890847588142157E-8</v>
      </c>
      <c r="N208" s="1"/>
      <c r="O208" s="1"/>
      <c r="P208" s="1"/>
      <c r="Q208" s="243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</row>
    <row r="209" spans="1:38" ht="12.75" customHeight="1" x14ac:dyDescent="0.3">
      <c r="A209" s="834" t="s">
        <v>104</v>
      </c>
      <c r="B209" s="794"/>
      <c r="C209" s="794"/>
      <c r="D209" s="794"/>
      <c r="E209" s="794"/>
      <c r="F209" s="794"/>
      <c r="G209" s="794"/>
      <c r="H209" s="794"/>
      <c r="I209" s="794"/>
      <c r="J209" s="780"/>
      <c r="K209" s="835">
        <f>SQRT(K208)</f>
        <v>2.9100205685842789E-2</v>
      </c>
      <c r="L209" s="780"/>
      <c r="M209" s="93"/>
      <c r="N209" s="1"/>
      <c r="O209" s="1"/>
      <c r="P209" s="1"/>
      <c r="Q209" s="243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</row>
    <row r="210" spans="1:38" ht="12.75" customHeight="1" x14ac:dyDescent="0.3">
      <c r="A210" s="834" t="s">
        <v>205</v>
      </c>
      <c r="B210" s="794"/>
      <c r="C210" s="794"/>
      <c r="D210" s="794"/>
      <c r="E210" s="794"/>
      <c r="F210" s="794"/>
      <c r="G210" s="794"/>
      <c r="H210" s="794"/>
      <c r="I210" s="794"/>
      <c r="J210" s="780"/>
      <c r="K210" s="99">
        <f>(K209^4)/M208</f>
        <v>51.624456027431407</v>
      </c>
      <c r="L210" s="101"/>
      <c r="M210" s="93"/>
      <c r="N210" s="1"/>
      <c r="O210" s="1"/>
      <c r="P210" s="1"/>
      <c r="Q210" s="243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</row>
    <row r="211" spans="1:38" ht="12.75" customHeight="1" x14ac:dyDescent="0.3">
      <c r="A211" s="834" t="s">
        <v>206</v>
      </c>
      <c r="B211" s="794"/>
      <c r="C211" s="794"/>
      <c r="D211" s="794"/>
      <c r="E211" s="794"/>
      <c r="F211" s="794"/>
      <c r="G211" s="794"/>
      <c r="H211" s="794"/>
      <c r="I211" s="794"/>
      <c r="J211" s="780"/>
      <c r="K211" s="99">
        <f>1.95996+2.37356/K210+2.818745/K210^2+2.546662/K210^3+1.761829/K210^4+0.245458/K210^5+1.000764/K210^6</f>
        <v>2.0070138492351712</v>
      </c>
      <c r="L211" s="101">
        <v>2</v>
      </c>
      <c r="M211" s="93"/>
      <c r="N211" s="1"/>
      <c r="O211" s="1"/>
      <c r="P211" s="1"/>
      <c r="Q211" s="243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</row>
    <row r="212" spans="1:38" ht="12.75" customHeight="1" x14ac:dyDescent="0.3">
      <c r="A212" s="834" t="s">
        <v>107</v>
      </c>
      <c r="B212" s="794"/>
      <c r="C212" s="794"/>
      <c r="D212" s="794"/>
      <c r="E212" s="794"/>
      <c r="F212" s="794"/>
      <c r="G212" s="794"/>
      <c r="H212" s="794"/>
      <c r="I212" s="794"/>
      <c r="J212" s="780"/>
      <c r="K212" s="99">
        <f>K211*K209</f>
        <v>5.8404515827078556E-2</v>
      </c>
      <c r="L212" s="101">
        <f>L211*K209</f>
        <v>5.8200411371685579E-2</v>
      </c>
      <c r="M212" s="93"/>
      <c r="N212" s="1"/>
      <c r="O212" s="1"/>
      <c r="P212" s="1"/>
      <c r="Q212" s="243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</row>
    <row r="213" spans="1:38" ht="12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243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</row>
    <row r="214" spans="1:38" ht="12.75" customHeight="1" x14ac:dyDescent="0.3">
      <c r="A214" s="71" t="s">
        <v>76</v>
      </c>
      <c r="B214" s="1"/>
      <c r="C214" s="1"/>
      <c r="D214" s="103">
        <f t="shared" ref="D214:E214" si="74">A$14</f>
        <v>1000</v>
      </c>
      <c r="E214" s="103" t="str">
        <f t="shared" si="74"/>
        <v>V</v>
      </c>
      <c r="F214" s="81"/>
      <c r="G214" s="82"/>
      <c r="H214" s="12"/>
      <c r="I214" s="12"/>
      <c r="J214" s="12"/>
      <c r="K214" s="12"/>
      <c r="L214" s="12"/>
      <c r="M214" s="287" t="str">
        <f>M$34</f>
        <v>DC Voltage-Measure</v>
      </c>
      <c r="N214" s="1"/>
      <c r="O214" s="1"/>
      <c r="P214" s="1"/>
      <c r="Q214" s="243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</row>
    <row r="215" spans="1:38" ht="12.75" customHeight="1" x14ac:dyDescent="0.3">
      <c r="A215" s="84" t="s">
        <v>2</v>
      </c>
      <c r="B215" s="85"/>
      <c r="C215" s="85"/>
      <c r="D215" s="80">
        <f>C14</f>
        <v>100</v>
      </c>
      <c r="E215" s="6" t="str">
        <f>D14</f>
        <v>V3</v>
      </c>
      <c r="F215" s="111"/>
      <c r="G215" s="90"/>
      <c r="H215" s="89">
        <v>1</v>
      </c>
      <c r="I215" s="90"/>
      <c r="J215" s="90"/>
      <c r="K215" s="90"/>
      <c r="L215" s="90"/>
      <c r="M215" s="76"/>
      <c r="N215" s="1"/>
      <c r="O215" s="1"/>
      <c r="P215" s="1"/>
      <c r="Q215" s="243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</row>
    <row r="216" spans="1:38" ht="12.75" customHeight="1" x14ac:dyDescent="0.3">
      <c r="A216" s="91" t="s">
        <v>78</v>
      </c>
      <c r="B216" s="91" t="s">
        <v>79</v>
      </c>
      <c r="C216" s="91" t="s">
        <v>10</v>
      </c>
      <c r="D216" s="91" t="s">
        <v>80</v>
      </c>
      <c r="E216" s="91" t="s">
        <v>81</v>
      </c>
      <c r="F216" s="92" t="s">
        <v>82</v>
      </c>
      <c r="G216" s="91" t="s">
        <v>83</v>
      </c>
      <c r="H216" s="91" t="s">
        <v>84</v>
      </c>
      <c r="I216" s="91" t="s">
        <v>85</v>
      </c>
      <c r="J216" s="91" t="s">
        <v>86</v>
      </c>
      <c r="K216" s="91" t="s">
        <v>87</v>
      </c>
      <c r="L216" s="91" t="s">
        <v>207</v>
      </c>
      <c r="M216" s="91" t="s">
        <v>208</v>
      </c>
      <c r="N216" s="1"/>
      <c r="O216" s="1"/>
      <c r="P216" s="1"/>
      <c r="Q216" s="243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</row>
    <row r="217" spans="1:38" ht="12.75" customHeight="1" x14ac:dyDescent="0.3">
      <c r="A217" s="93" t="s">
        <v>90</v>
      </c>
      <c r="B217" s="94" t="s">
        <v>209</v>
      </c>
      <c r="C217" s="94" t="s">
        <v>42</v>
      </c>
      <c r="D217" s="95" t="str">
        <f>E215</f>
        <v>V3</v>
      </c>
      <c r="E217" s="94" t="s">
        <v>631</v>
      </c>
      <c r="F217" s="94">
        <f>STDEV(Data!E44:N44)/SQRT(5)</f>
        <v>0</v>
      </c>
      <c r="G217" s="94">
        <v>1</v>
      </c>
      <c r="H217" s="94">
        <f>5-1</f>
        <v>4</v>
      </c>
      <c r="I217" s="94">
        <f t="shared" ref="I217:I221" si="75">(F217)/G217</f>
        <v>0</v>
      </c>
      <c r="J217" s="94">
        <v>1</v>
      </c>
      <c r="K217" s="94">
        <f t="shared" ref="K217:K221" si="76">I217*J217</f>
        <v>0</v>
      </c>
      <c r="L217" s="94">
        <f t="shared" ref="L217:L221" si="77">K217^2</f>
        <v>0</v>
      </c>
      <c r="M217" s="94">
        <f t="shared" ref="M217:M221" si="78">(K217^4)/H217</f>
        <v>0</v>
      </c>
      <c r="N217" s="1"/>
      <c r="O217" s="1"/>
      <c r="P217" s="1"/>
      <c r="Q217" s="243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</row>
    <row r="218" spans="1:38" ht="12.75" customHeight="1" x14ac:dyDescent="0.3">
      <c r="A218" s="93" t="s">
        <v>93</v>
      </c>
      <c r="B218" s="94" t="s">
        <v>210</v>
      </c>
      <c r="C218" s="94" t="s">
        <v>95</v>
      </c>
      <c r="D218" s="95" t="str">
        <f>D217</f>
        <v>V3</v>
      </c>
      <c r="E218" s="94" t="s">
        <v>96</v>
      </c>
      <c r="F218" s="94">
        <f>H215/2</f>
        <v>0.5</v>
      </c>
      <c r="G218" s="94">
        <f>SQRT(3)</f>
        <v>1.7320508075688772</v>
      </c>
      <c r="H218" s="94">
        <v>50</v>
      </c>
      <c r="I218" s="94">
        <f t="shared" si="75"/>
        <v>0.28867513459481292</v>
      </c>
      <c r="J218" s="94">
        <v>1</v>
      </c>
      <c r="K218" s="94">
        <f t="shared" si="76"/>
        <v>0.28867513459481292</v>
      </c>
      <c r="L218" s="94">
        <f t="shared" si="77"/>
        <v>8.3333333333333356E-2</v>
      </c>
      <c r="M218" s="94">
        <f t="shared" si="78"/>
        <v>1.3888888888888897E-4</v>
      </c>
      <c r="N218" s="1"/>
      <c r="O218" s="1"/>
      <c r="P218" s="1"/>
      <c r="Q218" s="243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</row>
    <row r="219" spans="1:38" ht="12.75" customHeight="1" x14ac:dyDescent="0.3">
      <c r="A219" s="93" t="s">
        <v>97</v>
      </c>
      <c r="B219" s="94" t="s">
        <v>211</v>
      </c>
      <c r="C219" s="94" t="s">
        <v>95</v>
      </c>
      <c r="D219" s="95" t="str">
        <f>D217</f>
        <v>V3</v>
      </c>
      <c r="E219" s="94" t="s">
        <v>92</v>
      </c>
      <c r="F219" s="96">
        <f>V37</f>
        <v>7.6999999999999996E-4</v>
      </c>
      <c r="G219" s="94">
        <v>2</v>
      </c>
      <c r="H219" s="94">
        <v>60</v>
      </c>
      <c r="I219" s="94">
        <f t="shared" si="75"/>
        <v>3.8499999999999998E-4</v>
      </c>
      <c r="J219" s="94">
        <v>1</v>
      </c>
      <c r="K219" s="94">
        <f t="shared" si="76"/>
        <v>3.8499999999999998E-4</v>
      </c>
      <c r="L219" s="94">
        <f t="shared" si="77"/>
        <v>1.4822499999999999E-7</v>
      </c>
      <c r="M219" s="94">
        <f t="shared" si="78"/>
        <v>3.6617751041666664E-16</v>
      </c>
      <c r="N219" s="1"/>
      <c r="O219" s="1"/>
      <c r="P219" s="1"/>
      <c r="Q219" s="243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</row>
    <row r="220" spans="1:38" ht="12.75" customHeight="1" x14ac:dyDescent="0.3">
      <c r="A220" s="93" t="s">
        <v>99</v>
      </c>
      <c r="B220" s="94" t="s">
        <v>212</v>
      </c>
      <c r="C220" s="94" t="s">
        <v>95</v>
      </c>
      <c r="D220" s="95" t="str">
        <f>D217</f>
        <v>V3</v>
      </c>
      <c r="E220" s="94" t="s">
        <v>96</v>
      </c>
      <c r="F220" s="96">
        <f>U37</f>
        <v>3.6584527273781628E-4</v>
      </c>
      <c r="G220" s="94">
        <f t="shared" ref="G220:G221" si="79">SQRT(3)</f>
        <v>1.7320508075688772</v>
      </c>
      <c r="H220" s="94">
        <v>50</v>
      </c>
      <c r="I220" s="94">
        <f t="shared" si="75"/>
        <v>2.1122086669693029E-4</v>
      </c>
      <c r="J220" s="94">
        <v>1</v>
      </c>
      <c r="K220" s="94">
        <f t="shared" si="76"/>
        <v>2.1122086669693029E-4</v>
      </c>
      <c r="L220" s="94">
        <f t="shared" si="77"/>
        <v>4.4614254528202394E-8</v>
      </c>
      <c r="M220" s="94">
        <f t="shared" si="78"/>
        <v>3.9808634142144555E-17</v>
      </c>
      <c r="N220" s="1"/>
      <c r="O220" s="1"/>
      <c r="P220" s="1"/>
      <c r="Q220" s="243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</row>
    <row r="221" spans="1:38" ht="12.75" customHeight="1" x14ac:dyDescent="0.3">
      <c r="A221" s="93" t="s">
        <v>101</v>
      </c>
      <c r="B221" s="94" t="s">
        <v>213</v>
      </c>
      <c r="C221" s="94" t="s">
        <v>95</v>
      </c>
      <c r="D221" s="95" t="str">
        <f>D217</f>
        <v>V3</v>
      </c>
      <c r="E221" s="94" t="s">
        <v>96</v>
      </c>
      <c r="F221" s="94">
        <f>$F$41/1000</f>
        <v>2.8089999999925098E-6</v>
      </c>
      <c r="G221" s="94">
        <f t="shared" si="79"/>
        <v>1.7320508075688772</v>
      </c>
      <c r="H221" s="94">
        <v>50</v>
      </c>
      <c r="I221" s="94">
        <f t="shared" si="75"/>
        <v>1.6217769061493344E-6</v>
      </c>
      <c r="J221" s="94">
        <v>1</v>
      </c>
      <c r="K221" s="94">
        <f t="shared" si="76"/>
        <v>1.6217769061493344E-6</v>
      </c>
      <c r="L221" s="94">
        <f t="shared" si="77"/>
        <v>2.6301603333193072E-12</v>
      </c>
      <c r="M221" s="94">
        <f t="shared" si="78"/>
        <v>1.3835486757932657E-25</v>
      </c>
      <c r="N221" s="1"/>
      <c r="O221" s="1"/>
      <c r="P221" s="1"/>
      <c r="Q221" s="243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</row>
    <row r="222" spans="1:38" ht="12.75" customHeight="1" x14ac:dyDescent="0.3">
      <c r="A222" s="98"/>
      <c r="B222" s="98"/>
      <c r="C222" s="98"/>
      <c r="D222" s="93"/>
      <c r="E222" s="93"/>
      <c r="F222" s="93"/>
      <c r="G222" s="93"/>
      <c r="H222" s="93"/>
      <c r="I222" s="93"/>
      <c r="J222" s="93"/>
      <c r="K222" s="93"/>
      <c r="L222" s="94"/>
      <c r="M222" s="93"/>
      <c r="N222" s="1"/>
      <c r="O222" s="1"/>
      <c r="P222" s="1"/>
      <c r="Q222" s="243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</row>
    <row r="223" spans="1:38" ht="12.75" customHeight="1" x14ac:dyDescent="0.3">
      <c r="A223" s="834" t="s">
        <v>103</v>
      </c>
      <c r="B223" s="794"/>
      <c r="C223" s="794"/>
      <c r="D223" s="794"/>
      <c r="E223" s="794"/>
      <c r="F223" s="794"/>
      <c r="G223" s="794"/>
      <c r="H223" s="794"/>
      <c r="I223" s="794"/>
      <c r="J223" s="780"/>
      <c r="K223" s="835">
        <f>SUM(L217:L222)</f>
        <v>8.333352617521804E-2</v>
      </c>
      <c r="L223" s="780"/>
      <c r="M223" s="93">
        <f>SUM(M217:M222)</f>
        <v>1.3888888888929498E-4</v>
      </c>
      <c r="N223" s="1"/>
      <c r="O223" s="1"/>
      <c r="P223" s="1"/>
      <c r="Q223" s="243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</row>
    <row r="224" spans="1:38" ht="12.75" customHeight="1" x14ac:dyDescent="0.3">
      <c r="A224" s="834" t="s">
        <v>104</v>
      </c>
      <c r="B224" s="794"/>
      <c r="C224" s="794"/>
      <c r="D224" s="794"/>
      <c r="E224" s="794"/>
      <c r="F224" s="794"/>
      <c r="G224" s="794"/>
      <c r="H224" s="794"/>
      <c r="I224" s="794"/>
      <c r="J224" s="780"/>
      <c r="K224" s="835">
        <f>SQRT(K223)</f>
        <v>0.28867546860656179</v>
      </c>
      <c r="L224" s="780"/>
      <c r="M224" s="93"/>
      <c r="N224" s="1"/>
      <c r="O224" s="1"/>
      <c r="P224" s="1"/>
      <c r="Q224" s="243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</row>
    <row r="225" spans="1:38" ht="12.75" customHeight="1" x14ac:dyDescent="0.3">
      <c r="A225" s="834" t="s">
        <v>214</v>
      </c>
      <c r="B225" s="794"/>
      <c r="C225" s="794"/>
      <c r="D225" s="794"/>
      <c r="E225" s="794"/>
      <c r="F225" s="794"/>
      <c r="G225" s="794"/>
      <c r="H225" s="794"/>
      <c r="I225" s="794"/>
      <c r="J225" s="780"/>
      <c r="K225" s="99">
        <f>(K224^4)/M223</f>
        <v>50.000231410383208</v>
      </c>
      <c r="L225" s="101"/>
      <c r="M225" s="93"/>
      <c r="N225" s="1"/>
      <c r="O225" s="1"/>
      <c r="P225" s="1"/>
      <c r="Q225" s="243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</row>
    <row r="226" spans="1:38" ht="12.75" customHeight="1" x14ac:dyDescent="0.3">
      <c r="A226" s="834" t="s">
        <v>215</v>
      </c>
      <c r="B226" s="794"/>
      <c r="C226" s="794"/>
      <c r="D226" s="794"/>
      <c r="E226" s="794"/>
      <c r="F226" s="794"/>
      <c r="G226" s="794"/>
      <c r="H226" s="794"/>
      <c r="I226" s="794"/>
      <c r="J226" s="780"/>
      <c r="K226" s="99">
        <f>1.95996+2.37356/K225+2.818745/K225^2+2.546662/K225^3+1.761829/K225^4+0.245458/K225^5+1.000764/K225^6</f>
        <v>2.0085791236079706</v>
      </c>
      <c r="L226" s="101">
        <v>2</v>
      </c>
      <c r="M226" s="93"/>
      <c r="N226" s="1"/>
      <c r="O226" s="1"/>
      <c r="P226" s="1"/>
      <c r="Q226" s="243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</row>
    <row r="227" spans="1:38" ht="12.75" customHeight="1" x14ac:dyDescent="0.3">
      <c r="A227" s="834" t="s">
        <v>107</v>
      </c>
      <c r="B227" s="794"/>
      <c r="C227" s="794"/>
      <c r="D227" s="794"/>
      <c r="E227" s="794"/>
      <c r="F227" s="794"/>
      <c r="G227" s="794"/>
      <c r="H227" s="794"/>
      <c r="I227" s="794"/>
      <c r="J227" s="780"/>
      <c r="K227" s="99">
        <f>K226*K224</f>
        <v>0.57982751974088809</v>
      </c>
      <c r="L227" s="101">
        <f>L226*K224</f>
        <v>0.57735093721312358</v>
      </c>
      <c r="M227" s="93"/>
      <c r="N227" s="1"/>
      <c r="O227" s="1"/>
      <c r="P227" s="1"/>
      <c r="Q227" s="243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</row>
    <row r="228" spans="1:38" ht="12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243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</row>
    <row r="229" spans="1:38" ht="12.75" customHeight="1" x14ac:dyDescent="0.3">
      <c r="A229" s="71" t="s">
        <v>76</v>
      </c>
      <c r="B229" s="1"/>
      <c r="C229" s="1"/>
      <c r="D229" s="103">
        <f t="shared" ref="D229:E229" si="80">A$14</f>
        <v>1000</v>
      </c>
      <c r="E229" s="103" t="str">
        <f t="shared" si="80"/>
        <v>V</v>
      </c>
      <c r="F229" s="81"/>
      <c r="G229" s="82"/>
      <c r="H229" s="12"/>
      <c r="I229" s="12"/>
      <c r="J229" s="12"/>
      <c r="K229" s="12"/>
      <c r="L229" s="12"/>
      <c r="M229" s="287" t="str">
        <f>M$34</f>
        <v>DC Voltage-Measure</v>
      </c>
      <c r="N229" s="1"/>
      <c r="O229" s="1"/>
      <c r="P229" s="1"/>
      <c r="Q229" s="243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</row>
    <row r="230" spans="1:38" ht="12.75" customHeight="1" x14ac:dyDescent="0.3">
      <c r="A230" s="84" t="s">
        <v>2</v>
      </c>
      <c r="B230" s="85"/>
      <c r="C230" s="85"/>
      <c r="D230" s="6">
        <f>C15</f>
        <v>500</v>
      </c>
      <c r="E230" s="6" t="str">
        <f>D15</f>
        <v>V4</v>
      </c>
      <c r="F230" s="111"/>
      <c r="G230" s="90"/>
      <c r="H230" s="89">
        <v>1</v>
      </c>
      <c r="I230" s="90"/>
      <c r="J230" s="90"/>
      <c r="K230" s="90"/>
      <c r="L230" s="90"/>
      <c r="M230" s="76"/>
      <c r="N230" s="1"/>
      <c r="O230" s="1"/>
      <c r="P230" s="1"/>
      <c r="Q230" s="243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</row>
    <row r="231" spans="1:38" ht="12.75" customHeight="1" x14ac:dyDescent="0.3">
      <c r="A231" s="91" t="s">
        <v>78</v>
      </c>
      <c r="B231" s="91" t="s">
        <v>79</v>
      </c>
      <c r="C231" s="91" t="s">
        <v>10</v>
      </c>
      <c r="D231" s="91" t="s">
        <v>80</v>
      </c>
      <c r="E231" s="91" t="s">
        <v>81</v>
      </c>
      <c r="F231" s="92" t="s">
        <v>82</v>
      </c>
      <c r="G231" s="91" t="s">
        <v>83</v>
      </c>
      <c r="H231" s="91" t="s">
        <v>84</v>
      </c>
      <c r="I231" s="91" t="s">
        <v>85</v>
      </c>
      <c r="J231" s="91" t="s">
        <v>86</v>
      </c>
      <c r="K231" s="91" t="s">
        <v>87</v>
      </c>
      <c r="L231" s="91" t="s">
        <v>216</v>
      </c>
      <c r="M231" s="91" t="s">
        <v>217</v>
      </c>
      <c r="N231" s="1"/>
      <c r="O231" s="1"/>
      <c r="P231" s="1"/>
      <c r="Q231" s="243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</row>
    <row r="232" spans="1:38" ht="12.75" customHeight="1" x14ac:dyDescent="0.3">
      <c r="A232" s="93" t="s">
        <v>90</v>
      </c>
      <c r="B232" s="94" t="s">
        <v>218</v>
      </c>
      <c r="C232" s="94" t="s">
        <v>42</v>
      </c>
      <c r="D232" s="95" t="str">
        <f>E230</f>
        <v>V4</v>
      </c>
      <c r="E232" s="94" t="s">
        <v>631</v>
      </c>
      <c r="F232" s="94">
        <f>STDEV(Data!E45:N45)/SQRT(5)</f>
        <v>0</v>
      </c>
      <c r="G232" s="94">
        <v>1</v>
      </c>
      <c r="H232" s="94">
        <f>5-1</f>
        <v>4</v>
      </c>
      <c r="I232" s="94">
        <f t="shared" ref="I232:I236" si="81">(F232)/G232</f>
        <v>0</v>
      </c>
      <c r="J232" s="94">
        <v>1</v>
      </c>
      <c r="K232" s="94">
        <f t="shared" ref="K232:K236" si="82">I232*J232</f>
        <v>0</v>
      </c>
      <c r="L232" s="94">
        <f t="shared" ref="L232:L236" si="83">K232^2</f>
        <v>0</v>
      </c>
      <c r="M232" s="94">
        <f t="shared" ref="M232:M236" si="84">(K232^4)/H232</f>
        <v>0</v>
      </c>
      <c r="N232" s="1"/>
      <c r="O232" s="1"/>
      <c r="P232" s="1"/>
      <c r="Q232" s="243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</row>
    <row r="233" spans="1:38" ht="12.75" customHeight="1" x14ac:dyDescent="0.3">
      <c r="A233" s="93" t="s">
        <v>93</v>
      </c>
      <c r="B233" s="94" t="s">
        <v>219</v>
      </c>
      <c r="C233" s="94" t="s">
        <v>95</v>
      </c>
      <c r="D233" s="95" t="str">
        <f>D232</f>
        <v>V4</v>
      </c>
      <c r="E233" s="94" t="s">
        <v>96</v>
      </c>
      <c r="F233" s="94">
        <f>H230/2</f>
        <v>0.5</v>
      </c>
      <c r="G233" s="94">
        <f>SQRT(3)</f>
        <v>1.7320508075688772</v>
      </c>
      <c r="H233" s="94">
        <v>50</v>
      </c>
      <c r="I233" s="94">
        <f t="shared" si="81"/>
        <v>0.28867513459481292</v>
      </c>
      <c r="J233" s="94">
        <v>1</v>
      </c>
      <c r="K233" s="94">
        <f t="shared" si="82"/>
        <v>0.28867513459481292</v>
      </c>
      <c r="L233" s="94">
        <f t="shared" si="83"/>
        <v>8.3333333333333356E-2</v>
      </c>
      <c r="M233" s="94">
        <f t="shared" si="84"/>
        <v>1.3888888888888897E-4</v>
      </c>
      <c r="N233" s="1"/>
      <c r="O233" s="1"/>
      <c r="P233" s="1"/>
      <c r="Q233" s="243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</row>
    <row r="234" spans="1:38" ht="12.75" customHeight="1" x14ac:dyDescent="0.3">
      <c r="A234" s="93" t="s">
        <v>97</v>
      </c>
      <c r="B234" s="94" t="s">
        <v>220</v>
      </c>
      <c r="C234" s="94" t="s">
        <v>95</v>
      </c>
      <c r="D234" s="95" t="str">
        <f>D232</f>
        <v>V4</v>
      </c>
      <c r="E234" s="94" t="s">
        <v>92</v>
      </c>
      <c r="F234" s="96">
        <f>V38</f>
        <v>4.3E-3</v>
      </c>
      <c r="G234" s="94">
        <v>2</v>
      </c>
      <c r="H234" s="94">
        <v>60</v>
      </c>
      <c r="I234" s="94">
        <f t="shared" si="81"/>
        <v>2.15E-3</v>
      </c>
      <c r="J234" s="94">
        <v>1</v>
      </c>
      <c r="K234" s="94">
        <f t="shared" si="82"/>
        <v>2.15E-3</v>
      </c>
      <c r="L234" s="94">
        <f t="shared" si="83"/>
        <v>4.6225000000000002E-6</v>
      </c>
      <c r="M234" s="94">
        <f t="shared" si="84"/>
        <v>3.5612510416666674E-13</v>
      </c>
      <c r="N234" s="1"/>
      <c r="O234" s="1"/>
      <c r="P234" s="1"/>
      <c r="Q234" s="243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</row>
    <row r="235" spans="1:38" ht="12.75" customHeight="1" x14ac:dyDescent="0.3">
      <c r="A235" s="93" t="s">
        <v>99</v>
      </c>
      <c r="B235" s="94" t="s">
        <v>221</v>
      </c>
      <c r="C235" s="94" t="s">
        <v>95</v>
      </c>
      <c r="D235" s="95" t="str">
        <f>D232</f>
        <v>V4</v>
      </c>
      <c r="E235" s="94" t="s">
        <v>96</v>
      </c>
      <c r="F235" s="96">
        <f>U38</f>
        <v>3.373768401613944E-3</v>
      </c>
      <c r="G235" s="94">
        <f t="shared" ref="G235:G236" si="85">SQRT(3)</f>
        <v>1.7320508075688772</v>
      </c>
      <c r="H235" s="94">
        <v>505</v>
      </c>
      <c r="I235" s="94">
        <f t="shared" si="81"/>
        <v>1.9478460948552641E-3</v>
      </c>
      <c r="J235" s="94">
        <v>1</v>
      </c>
      <c r="K235" s="94">
        <f t="shared" si="82"/>
        <v>1.9478460948552641E-3</v>
      </c>
      <c r="L235" s="94">
        <f t="shared" si="83"/>
        <v>3.7941044092429024E-6</v>
      </c>
      <c r="M235" s="94">
        <f t="shared" si="84"/>
        <v>2.850540251135927E-14</v>
      </c>
      <c r="N235" s="1"/>
      <c r="O235" s="1"/>
      <c r="P235" s="1"/>
      <c r="Q235" s="243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</row>
    <row r="236" spans="1:38" ht="12.75" customHeight="1" x14ac:dyDescent="0.3">
      <c r="A236" s="93" t="s">
        <v>101</v>
      </c>
      <c r="B236" s="94" t="s">
        <v>222</v>
      </c>
      <c r="C236" s="94" t="s">
        <v>95</v>
      </c>
      <c r="D236" s="95" t="str">
        <f>D232</f>
        <v>V4</v>
      </c>
      <c r="E236" s="94" t="s">
        <v>96</v>
      </c>
      <c r="F236" s="94">
        <f>$F$41/1000</f>
        <v>2.8089999999925098E-6</v>
      </c>
      <c r="G236" s="94">
        <f t="shared" si="85"/>
        <v>1.7320508075688772</v>
      </c>
      <c r="H236" s="94">
        <v>50</v>
      </c>
      <c r="I236" s="94">
        <f t="shared" si="81"/>
        <v>1.6217769061493344E-6</v>
      </c>
      <c r="J236" s="94">
        <v>1</v>
      </c>
      <c r="K236" s="94">
        <f t="shared" si="82"/>
        <v>1.6217769061493344E-6</v>
      </c>
      <c r="L236" s="94">
        <f t="shared" si="83"/>
        <v>2.6301603333193072E-12</v>
      </c>
      <c r="M236" s="94">
        <f t="shared" si="84"/>
        <v>1.3835486757932657E-25</v>
      </c>
      <c r="N236" s="1"/>
      <c r="O236" s="1"/>
      <c r="P236" s="1"/>
      <c r="Q236" s="243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</row>
    <row r="237" spans="1:38" ht="12.75" customHeight="1" x14ac:dyDescent="0.3">
      <c r="A237" s="98"/>
      <c r="B237" s="98"/>
      <c r="C237" s="98"/>
      <c r="D237" s="93"/>
      <c r="E237" s="93"/>
      <c r="F237" s="93"/>
      <c r="G237" s="93"/>
      <c r="H237" s="93"/>
      <c r="I237" s="93"/>
      <c r="J237" s="93"/>
      <c r="K237" s="93"/>
      <c r="L237" s="94"/>
      <c r="M237" s="93"/>
      <c r="N237" s="1"/>
      <c r="O237" s="1"/>
      <c r="P237" s="1"/>
      <c r="Q237" s="243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</row>
    <row r="238" spans="1:38" ht="12.75" customHeight="1" x14ac:dyDescent="0.3">
      <c r="A238" s="834" t="s">
        <v>103</v>
      </c>
      <c r="B238" s="794"/>
      <c r="C238" s="794"/>
      <c r="D238" s="794"/>
      <c r="E238" s="794"/>
      <c r="F238" s="794"/>
      <c r="G238" s="794"/>
      <c r="H238" s="794"/>
      <c r="I238" s="794"/>
      <c r="J238" s="780"/>
      <c r="K238" s="835">
        <f>SUM(L232:L237)</f>
        <v>8.3341749940372759E-2</v>
      </c>
      <c r="L238" s="780"/>
      <c r="M238" s="93">
        <f>SUM(M232:M237)</f>
        <v>1.3888888927351948E-4</v>
      </c>
      <c r="N238" s="1"/>
      <c r="O238" s="1"/>
      <c r="P238" s="1"/>
      <c r="Q238" s="243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</row>
    <row r="239" spans="1:38" ht="12.75" customHeight="1" x14ac:dyDescent="0.3">
      <c r="A239" s="834" t="s">
        <v>104</v>
      </c>
      <c r="B239" s="794"/>
      <c r="C239" s="794"/>
      <c r="D239" s="794"/>
      <c r="E239" s="794"/>
      <c r="F239" s="794"/>
      <c r="G239" s="794"/>
      <c r="H239" s="794"/>
      <c r="I239" s="794"/>
      <c r="J239" s="780"/>
      <c r="K239" s="835">
        <f>SQRT(K238)</f>
        <v>0.28868971221775941</v>
      </c>
      <c r="L239" s="780"/>
      <c r="M239" s="93"/>
      <c r="N239" s="1"/>
      <c r="O239" s="1"/>
      <c r="P239" s="1"/>
      <c r="Q239" s="243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</row>
    <row r="240" spans="1:38" ht="12.75" customHeight="1" x14ac:dyDescent="0.3">
      <c r="A240" s="834" t="s">
        <v>223</v>
      </c>
      <c r="B240" s="794"/>
      <c r="C240" s="794"/>
      <c r="D240" s="794"/>
      <c r="E240" s="794"/>
      <c r="F240" s="794"/>
      <c r="G240" s="794"/>
      <c r="H240" s="794"/>
      <c r="I240" s="794"/>
      <c r="J240" s="780"/>
      <c r="K240" s="99">
        <f>(K239^4)/M238</f>
        <v>50.010100299995088</v>
      </c>
      <c r="L240" s="101"/>
      <c r="M240" s="93"/>
      <c r="N240" s="1"/>
      <c r="O240" s="1"/>
      <c r="P240" s="1"/>
      <c r="Q240" s="243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</row>
    <row r="241" spans="1:38" ht="12.75" customHeight="1" x14ac:dyDescent="0.3">
      <c r="A241" s="834" t="s">
        <v>224</v>
      </c>
      <c r="B241" s="794"/>
      <c r="C241" s="794"/>
      <c r="D241" s="794"/>
      <c r="E241" s="794"/>
      <c r="F241" s="794"/>
      <c r="G241" s="794"/>
      <c r="H241" s="794"/>
      <c r="I241" s="794"/>
      <c r="J241" s="780"/>
      <c r="K241" s="99">
        <f>1.95996+2.37356/K240+2.818745/K240^2+2.546662/K240^3+1.761829/K240^4+0.245458/K240^5+1.000764/K240^6</f>
        <v>2.0085692985528101</v>
      </c>
      <c r="L241" s="101">
        <v>2</v>
      </c>
      <c r="M241" s="93"/>
      <c r="N241" s="1"/>
      <c r="O241" s="1"/>
      <c r="P241" s="1"/>
      <c r="Q241" s="243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</row>
    <row r="242" spans="1:38" ht="12.75" customHeight="1" x14ac:dyDescent="0.3">
      <c r="A242" s="834" t="s">
        <v>107</v>
      </c>
      <c r="B242" s="794"/>
      <c r="C242" s="794"/>
      <c r="D242" s="794"/>
      <c r="E242" s="794"/>
      <c r="F242" s="794"/>
      <c r="G242" s="794"/>
      <c r="H242" s="794"/>
      <c r="I242" s="794"/>
      <c r="J242" s="780"/>
      <c r="K242" s="99">
        <f>K241*K239</f>
        <v>0.57985329276863762</v>
      </c>
      <c r="L242" s="101">
        <f>L241*K239</f>
        <v>0.57737942443551882</v>
      </c>
      <c r="M242" s="93"/>
      <c r="N242" s="1"/>
      <c r="O242" s="1"/>
      <c r="P242" s="1"/>
      <c r="Q242" s="243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</row>
    <row r="243" spans="1:38" ht="12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243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</row>
    <row r="244" spans="1:38" ht="12.75" customHeight="1" x14ac:dyDescent="0.3">
      <c r="A244" s="71" t="s">
        <v>76</v>
      </c>
      <c r="B244" s="1"/>
      <c r="C244" s="1"/>
      <c r="D244" s="103">
        <f>A$14</f>
        <v>1000</v>
      </c>
      <c r="E244" s="103" t="str">
        <f>B$11</f>
        <v>V</v>
      </c>
      <c r="F244" s="81"/>
      <c r="G244" s="82"/>
      <c r="H244" s="12"/>
      <c r="I244" s="12"/>
      <c r="J244" s="12"/>
      <c r="K244" s="12"/>
      <c r="L244" s="12"/>
      <c r="M244" s="287" t="str">
        <f>M$34</f>
        <v>DC Voltage-Measure</v>
      </c>
      <c r="N244" s="1"/>
      <c r="O244" s="1"/>
      <c r="P244" s="1"/>
      <c r="Q244" s="243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</row>
    <row r="245" spans="1:38" ht="12.75" customHeight="1" x14ac:dyDescent="0.3">
      <c r="A245" s="84" t="s">
        <v>2</v>
      </c>
      <c r="B245" s="85"/>
      <c r="C245" s="85"/>
      <c r="D245" s="6">
        <f>C16</f>
        <v>900</v>
      </c>
      <c r="E245" s="80" t="str">
        <f>D16</f>
        <v>V4</v>
      </c>
      <c r="F245" s="111"/>
      <c r="G245" s="90"/>
      <c r="H245" s="89">
        <v>1</v>
      </c>
      <c r="I245" s="90"/>
      <c r="J245" s="90"/>
      <c r="K245" s="90"/>
      <c r="L245" s="90"/>
      <c r="M245" s="76"/>
      <c r="N245" s="1"/>
      <c r="O245" s="1"/>
      <c r="P245" s="1"/>
      <c r="Q245" s="243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</row>
    <row r="246" spans="1:38" ht="12.75" customHeight="1" x14ac:dyDescent="0.3">
      <c r="A246" s="91" t="s">
        <v>78</v>
      </c>
      <c r="B246" s="91" t="s">
        <v>79</v>
      </c>
      <c r="C246" s="91" t="s">
        <v>10</v>
      </c>
      <c r="D246" s="91" t="s">
        <v>80</v>
      </c>
      <c r="E246" s="91" t="s">
        <v>81</v>
      </c>
      <c r="F246" s="92" t="s">
        <v>82</v>
      </c>
      <c r="G246" s="91" t="s">
        <v>83</v>
      </c>
      <c r="H246" s="91" t="s">
        <v>84</v>
      </c>
      <c r="I246" s="91" t="s">
        <v>85</v>
      </c>
      <c r="J246" s="91" t="s">
        <v>86</v>
      </c>
      <c r="K246" s="91" t="s">
        <v>87</v>
      </c>
      <c r="L246" s="91" t="s">
        <v>225</v>
      </c>
      <c r="M246" s="91" t="s">
        <v>226</v>
      </c>
      <c r="N246" s="1"/>
      <c r="O246" s="1"/>
      <c r="P246" s="1"/>
      <c r="Q246" s="243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</row>
    <row r="247" spans="1:38" ht="12.75" customHeight="1" x14ac:dyDescent="0.3">
      <c r="A247" s="93" t="s">
        <v>90</v>
      </c>
      <c r="B247" s="94" t="s">
        <v>227</v>
      </c>
      <c r="C247" s="94" t="s">
        <v>42</v>
      </c>
      <c r="D247" s="95" t="str">
        <f>E245</f>
        <v>V4</v>
      </c>
      <c r="E247" s="94" t="s">
        <v>631</v>
      </c>
      <c r="F247" s="94">
        <f>STDEV(Data!E46:N46)/SQRT(5)</f>
        <v>0</v>
      </c>
      <c r="G247" s="94">
        <v>1</v>
      </c>
      <c r="H247" s="94">
        <f>5-1</f>
        <v>4</v>
      </c>
      <c r="I247" s="94">
        <f t="shared" ref="I247:I251" si="86">(F247)/G247</f>
        <v>0</v>
      </c>
      <c r="J247" s="94">
        <v>1</v>
      </c>
      <c r="K247" s="94">
        <f t="shared" ref="K247:K251" si="87">I247*J247</f>
        <v>0</v>
      </c>
      <c r="L247" s="94">
        <f t="shared" ref="L247:L251" si="88">K247^2</f>
        <v>0</v>
      </c>
      <c r="M247" s="94">
        <f t="shared" ref="M247:M251" si="89">(K247^4)/H247</f>
        <v>0</v>
      </c>
      <c r="N247" s="1"/>
      <c r="O247" s="1"/>
      <c r="P247" s="1"/>
      <c r="Q247" s="243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</row>
    <row r="248" spans="1:38" ht="12.75" customHeight="1" x14ac:dyDescent="0.3">
      <c r="A248" s="93" t="s">
        <v>93</v>
      </c>
      <c r="B248" s="94" t="s">
        <v>228</v>
      </c>
      <c r="C248" s="94" t="s">
        <v>95</v>
      </c>
      <c r="D248" s="95" t="str">
        <f>D247</f>
        <v>V4</v>
      </c>
      <c r="E248" s="94" t="s">
        <v>96</v>
      </c>
      <c r="F248" s="94">
        <f>H245/2</f>
        <v>0.5</v>
      </c>
      <c r="G248" s="94">
        <f>SQRT(3)</f>
        <v>1.7320508075688772</v>
      </c>
      <c r="H248" s="94">
        <v>50</v>
      </c>
      <c r="I248" s="94">
        <f t="shared" si="86"/>
        <v>0.28867513459481292</v>
      </c>
      <c r="J248" s="94">
        <v>1</v>
      </c>
      <c r="K248" s="94">
        <f t="shared" si="87"/>
        <v>0.28867513459481292</v>
      </c>
      <c r="L248" s="94">
        <f t="shared" si="88"/>
        <v>8.3333333333333356E-2</v>
      </c>
      <c r="M248" s="94">
        <f t="shared" si="89"/>
        <v>1.3888888888888897E-4</v>
      </c>
      <c r="N248" s="1"/>
      <c r="O248" s="1"/>
      <c r="P248" s="1"/>
      <c r="Q248" s="243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</row>
    <row r="249" spans="1:38" ht="12.75" customHeight="1" x14ac:dyDescent="0.3">
      <c r="A249" s="93" t="s">
        <v>97</v>
      </c>
      <c r="B249" s="94" t="s">
        <v>229</v>
      </c>
      <c r="C249" s="94" t="s">
        <v>95</v>
      </c>
      <c r="D249" s="95" t="str">
        <f>D247</f>
        <v>V4</v>
      </c>
      <c r="E249" s="94" t="s">
        <v>92</v>
      </c>
      <c r="F249" s="96">
        <f>V39</f>
        <v>7.7999999999999996E-3</v>
      </c>
      <c r="G249" s="94">
        <v>2</v>
      </c>
      <c r="H249" s="94">
        <v>60</v>
      </c>
      <c r="I249" s="94">
        <f t="shared" si="86"/>
        <v>3.8999999999999998E-3</v>
      </c>
      <c r="J249" s="94">
        <v>1</v>
      </c>
      <c r="K249" s="94">
        <f t="shared" si="87"/>
        <v>3.8999999999999998E-3</v>
      </c>
      <c r="L249" s="94">
        <f t="shared" si="88"/>
        <v>1.5209999999999998E-5</v>
      </c>
      <c r="M249" s="94">
        <f t="shared" si="89"/>
        <v>3.8557349999999994E-12</v>
      </c>
      <c r="N249" s="1"/>
      <c r="O249" s="1"/>
      <c r="P249" s="1"/>
      <c r="Q249" s="243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</row>
    <row r="250" spans="1:38" ht="12.75" customHeight="1" x14ac:dyDescent="0.3">
      <c r="A250" s="93" t="s">
        <v>99</v>
      </c>
      <c r="B250" s="94" t="s">
        <v>230</v>
      </c>
      <c r="C250" s="94" t="s">
        <v>95</v>
      </c>
      <c r="D250" s="95" t="str">
        <f>D247</f>
        <v>V4</v>
      </c>
      <c r="E250" s="94" t="s">
        <v>96</v>
      </c>
      <c r="F250" s="96">
        <f>U39</f>
        <v>3.5936648099577557E-3</v>
      </c>
      <c r="G250" s="94">
        <f t="shared" ref="G250:G251" si="90">SQRT(3)</f>
        <v>1.7320508075688772</v>
      </c>
      <c r="H250" s="94">
        <v>50</v>
      </c>
      <c r="I250" s="94">
        <f t="shared" si="86"/>
        <v>2.0748033454063958E-3</v>
      </c>
      <c r="J250" s="94">
        <v>1</v>
      </c>
      <c r="K250" s="94">
        <f t="shared" si="87"/>
        <v>2.0748033454063958E-3</v>
      </c>
      <c r="L250" s="94">
        <f t="shared" si="88"/>
        <v>4.304808922109572E-6</v>
      </c>
      <c r="M250" s="94">
        <f t="shared" si="89"/>
        <v>3.7062759711748351E-13</v>
      </c>
      <c r="N250" s="1"/>
      <c r="O250" s="1"/>
      <c r="P250" s="1"/>
      <c r="Q250" s="243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</row>
    <row r="251" spans="1:38" ht="12.75" customHeight="1" x14ac:dyDescent="0.3">
      <c r="A251" s="93" t="s">
        <v>101</v>
      </c>
      <c r="B251" s="94" t="s">
        <v>231</v>
      </c>
      <c r="C251" s="94" t="s">
        <v>95</v>
      </c>
      <c r="D251" s="95" t="str">
        <f>D247</f>
        <v>V4</v>
      </c>
      <c r="E251" s="94" t="s">
        <v>96</v>
      </c>
      <c r="F251" s="94">
        <f>$F$41/1000</f>
        <v>2.8089999999925098E-6</v>
      </c>
      <c r="G251" s="94">
        <f t="shared" si="90"/>
        <v>1.7320508075688772</v>
      </c>
      <c r="H251" s="94">
        <v>50</v>
      </c>
      <c r="I251" s="94">
        <f t="shared" si="86"/>
        <v>1.6217769061493344E-6</v>
      </c>
      <c r="J251" s="94">
        <v>1</v>
      </c>
      <c r="K251" s="94">
        <f t="shared" si="87"/>
        <v>1.6217769061493344E-6</v>
      </c>
      <c r="L251" s="94">
        <f t="shared" si="88"/>
        <v>2.6301603333193072E-12</v>
      </c>
      <c r="M251" s="94">
        <f t="shared" si="89"/>
        <v>1.3835486757932657E-25</v>
      </c>
      <c r="N251" s="1"/>
      <c r="O251" s="1"/>
      <c r="P251" s="1"/>
      <c r="Q251" s="243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</row>
    <row r="252" spans="1:38" ht="12.75" customHeight="1" x14ac:dyDescent="0.3">
      <c r="A252" s="98"/>
      <c r="B252" s="98"/>
      <c r="C252" s="98"/>
      <c r="D252" s="93"/>
      <c r="E252" s="93"/>
      <c r="F252" s="93"/>
      <c r="G252" s="93"/>
      <c r="H252" s="93"/>
      <c r="I252" s="93"/>
      <c r="J252" s="93"/>
      <c r="K252" s="93"/>
      <c r="L252" s="94"/>
      <c r="M252" s="93"/>
      <c r="N252" s="1"/>
      <c r="O252" s="1"/>
      <c r="P252" s="1"/>
      <c r="Q252" s="243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</row>
    <row r="253" spans="1:38" ht="12.75" customHeight="1" x14ac:dyDescent="0.3">
      <c r="A253" s="834" t="s">
        <v>103</v>
      </c>
      <c r="B253" s="794"/>
      <c r="C253" s="794"/>
      <c r="D253" s="794"/>
      <c r="E253" s="794"/>
      <c r="F253" s="794"/>
      <c r="G253" s="794"/>
      <c r="H253" s="794"/>
      <c r="I253" s="794"/>
      <c r="J253" s="780"/>
      <c r="K253" s="835">
        <f>SUM(L247:L252)</f>
        <v>8.3352848144885625E-2</v>
      </c>
      <c r="L253" s="780"/>
      <c r="M253" s="93">
        <f>SUM(M247:M252)</f>
        <v>1.3888889311525158E-4</v>
      </c>
      <c r="N253" s="1"/>
      <c r="O253" s="1"/>
      <c r="P253" s="1"/>
      <c r="Q253" s="243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</row>
    <row r="254" spans="1:38" ht="12.75" customHeight="1" x14ac:dyDescent="0.3">
      <c r="A254" s="834" t="s">
        <v>104</v>
      </c>
      <c r="B254" s="794"/>
      <c r="C254" s="794"/>
      <c r="D254" s="794"/>
      <c r="E254" s="794"/>
      <c r="F254" s="794"/>
      <c r="G254" s="794"/>
      <c r="H254" s="794"/>
      <c r="I254" s="794"/>
      <c r="J254" s="780"/>
      <c r="K254" s="835">
        <f>SQRT(K253)</f>
        <v>0.28870893326131358</v>
      </c>
      <c r="L254" s="780"/>
      <c r="M254" s="93"/>
      <c r="N254" s="1"/>
      <c r="O254" s="1"/>
      <c r="P254" s="1"/>
      <c r="Q254" s="243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</row>
    <row r="255" spans="1:38" ht="12.75" customHeight="1" x14ac:dyDescent="0.3">
      <c r="A255" s="834" t="s">
        <v>232</v>
      </c>
      <c r="B255" s="794"/>
      <c r="C255" s="794"/>
      <c r="D255" s="794"/>
      <c r="E255" s="794"/>
      <c r="F255" s="794"/>
      <c r="G255" s="794"/>
      <c r="H255" s="794"/>
      <c r="I255" s="794"/>
      <c r="J255" s="780"/>
      <c r="K255" s="99">
        <f>(K254^4)/M253</f>
        <v>50.023418993620204</v>
      </c>
      <c r="L255" s="101"/>
      <c r="M255" s="93"/>
      <c r="N255" s="1"/>
      <c r="O255" s="1"/>
      <c r="P255" s="1"/>
      <c r="Q255" s="243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</row>
    <row r="256" spans="1:38" ht="12.75" customHeight="1" x14ac:dyDescent="0.3">
      <c r="A256" s="834" t="s">
        <v>233</v>
      </c>
      <c r="B256" s="794"/>
      <c r="C256" s="794"/>
      <c r="D256" s="794"/>
      <c r="E256" s="794"/>
      <c r="F256" s="794"/>
      <c r="G256" s="794"/>
      <c r="H256" s="794"/>
      <c r="I256" s="794"/>
      <c r="J256" s="780"/>
      <c r="K256" s="99">
        <f>1.95996+2.37356/K255+2.818745/K255^2+2.546662/K255^3+1.761829/K255^4+0.245458/K255^5+1.000764/K255^6</f>
        <v>2.0085560453096871</v>
      </c>
      <c r="L256" s="101">
        <v>2</v>
      </c>
      <c r="M256" s="93"/>
      <c r="N256" s="1"/>
      <c r="O256" s="1"/>
      <c r="P256" s="1"/>
      <c r="Q256" s="243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</row>
    <row r="257" spans="1:38" ht="12.75" customHeight="1" x14ac:dyDescent="0.3">
      <c r="A257" s="834" t="s">
        <v>107</v>
      </c>
      <c r="B257" s="794"/>
      <c r="C257" s="794"/>
      <c r="D257" s="794"/>
      <c r="E257" s="794"/>
      <c r="F257" s="794"/>
      <c r="G257" s="794"/>
      <c r="H257" s="794"/>
      <c r="I257" s="794"/>
      <c r="J257" s="780"/>
      <c r="K257" s="99">
        <f>K256*K254</f>
        <v>0.57988807323692237</v>
      </c>
      <c r="L257" s="101">
        <f>L256*K254</f>
        <v>0.57741786652262717</v>
      </c>
      <c r="M257" s="93"/>
      <c r="N257" s="1"/>
      <c r="O257" s="1"/>
      <c r="P257" s="1"/>
      <c r="Q257" s="243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</row>
    <row r="258" spans="1:38" ht="12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243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</row>
    <row r="259" spans="1:38" ht="12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243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</row>
    <row r="260" spans="1:38" ht="12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243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</row>
    <row r="261" spans="1:38" ht="12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243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</row>
    <row r="262" spans="1:38" ht="12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243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</row>
    <row r="263" spans="1:38" ht="12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243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</row>
    <row r="264" spans="1:38" ht="12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243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</row>
    <row r="265" spans="1:38" ht="12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243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</row>
    <row r="266" spans="1:38" ht="12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243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</row>
    <row r="267" spans="1:38" ht="12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243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</row>
    <row r="268" spans="1:38" ht="12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243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</row>
    <row r="269" spans="1:38" ht="12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243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</row>
    <row r="270" spans="1:38" ht="12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243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</row>
    <row r="271" spans="1:38" ht="12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243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</row>
    <row r="272" spans="1:38" ht="12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243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</row>
    <row r="273" spans="1:38" ht="12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243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</row>
    <row r="274" spans="1:38" ht="12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243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</row>
    <row r="275" spans="1:38" ht="12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243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</row>
    <row r="276" spans="1:38" ht="12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243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</row>
    <row r="277" spans="1:38" ht="12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243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</row>
    <row r="278" spans="1:38" ht="12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243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</row>
    <row r="279" spans="1:38" ht="12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243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</row>
    <row r="280" spans="1:38" ht="12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243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</row>
    <row r="281" spans="1:38" ht="12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243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</row>
    <row r="282" spans="1:38" ht="12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243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</row>
    <row r="283" spans="1:38" ht="12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243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</row>
    <row r="284" spans="1:38" ht="12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243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</row>
    <row r="285" spans="1:38" ht="12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243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</row>
    <row r="286" spans="1:38" ht="12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243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</row>
    <row r="287" spans="1:38" ht="12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243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</row>
    <row r="288" spans="1:38" ht="12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243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</row>
    <row r="289" spans="1:38" ht="12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243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</row>
    <row r="290" spans="1:38" ht="12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243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</row>
    <row r="291" spans="1:38" ht="12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243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</row>
    <row r="292" spans="1:38" ht="12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243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</row>
    <row r="293" spans="1:38" ht="12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243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</row>
    <row r="294" spans="1:38" ht="12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243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</row>
    <row r="295" spans="1:38" ht="12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243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</row>
    <row r="296" spans="1:38" ht="12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243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</row>
    <row r="297" spans="1:38" ht="12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243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</row>
    <row r="298" spans="1:38" ht="12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243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</row>
    <row r="299" spans="1:38" ht="12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243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</row>
    <row r="300" spans="1:38" ht="12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243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</row>
    <row r="301" spans="1:38" ht="12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243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</row>
    <row r="302" spans="1:38" ht="12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243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</row>
    <row r="303" spans="1:38" ht="12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243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</row>
    <row r="304" spans="1:38" ht="12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243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</row>
    <row r="305" spans="1:38" ht="12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243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</row>
    <row r="306" spans="1:38" ht="12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243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</row>
    <row r="307" spans="1:38" ht="12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243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</row>
    <row r="308" spans="1:38" ht="12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243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</row>
    <row r="309" spans="1:38" ht="12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243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</row>
    <row r="310" spans="1:38" ht="12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243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</row>
    <row r="311" spans="1:38" ht="12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243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</row>
    <row r="312" spans="1:38" ht="12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243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</row>
    <row r="313" spans="1:38" ht="12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243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</row>
    <row r="314" spans="1:38" ht="12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243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</row>
    <row r="315" spans="1:38" ht="12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243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</row>
    <row r="316" spans="1:38" ht="12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243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</row>
    <row r="317" spans="1:38" ht="12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243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</row>
    <row r="318" spans="1:38" ht="12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243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</row>
    <row r="319" spans="1:38" ht="12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243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</row>
    <row r="320" spans="1:38" ht="12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243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</row>
    <row r="321" spans="1:38" ht="12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243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</row>
    <row r="322" spans="1:38" ht="12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243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</row>
    <row r="323" spans="1:38" ht="12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243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</row>
    <row r="324" spans="1:38" ht="12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243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</row>
    <row r="325" spans="1:38" ht="12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243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</row>
    <row r="326" spans="1:38" ht="12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243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</row>
    <row r="327" spans="1:38" ht="12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243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</row>
    <row r="328" spans="1:38" ht="12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243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</row>
    <row r="329" spans="1:38" ht="12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243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</row>
    <row r="330" spans="1:38" ht="12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243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</row>
    <row r="331" spans="1:38" ht="12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243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</row>
    <row r="332" spans="1:38" ht="12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243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</row>
    <row r="333" spans="1:38" ht="12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243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</row>
    <row r="334" spans="1:38" ht="12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243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</row>
    <row r="335" spans="1:38" ht="12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243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</row>
    <row r="336" spans="1:38" ht="12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243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</row>
    <row r="337" spans="1:38" ht="12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243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</row>
    <row r="338" spans="1:38" ht="12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243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</row>
    <row r="339" spans="1:38" ht="12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243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</row>
    <row r="340" spans="1:38" ht="12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243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</row>
    <row r="341" spans="1:38" ht="12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243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</row>
    <row r="342" spans="1:38" ht="12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243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</row>
    <row r="343" spans="1:38" ht="12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243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</row>
    <row r="344" spans="1:38" ht="12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243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</row>
    <row r="345" spans="1:38" ht="12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243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</row>
    <row r="346" spans="1:38" ht="12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243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</row>
    <row r="347" spans="1:38" ht="12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243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</row>
    <row r="348" spans="1:38" ht="12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243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</row>
    <row r="349" spans="1:38" ht="12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243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</row>
    <row r="350" spans="1:38" ht="12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243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</row>
    <row r="351" spans="1:38" ht="12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243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</row>
    <row r="352" spans="1:38" ht="12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243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</row>
    <row r="353" spans="1:38" ht="12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243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</row>
    <row r="354" spans="1:38" ht="12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243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</row>
    <row r="355" spans="1:38" ht="12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243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</row>
    <row r="356" spans="1:38" ht="12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243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</row>
    <row r="357" spans="1:38" ht="12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243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</row>
    <row r="358" spans="1:38" ht="12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243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</row>
    <row r="359" spans="1:38" ht="12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243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</row>
    <row r="360" spans="1:38" ht="12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243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</row>
    <row r="361" spans="1:38" ht="12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243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</row>
    <row r="362" spans="1:38" ht="12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243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</row>
    <row r="363" spans="1:38" ht="12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243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</row>
    <row r="364" spans="1:38" ht="12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243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</row>
    <row r="365" spans="1:38" ht="12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243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</row>
    <row r="366" spans="1:38" ht="12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243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</row>
    <row r="367" spans="1:38" ht="12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243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</row>
    <row r="368" spans="1:38" ht="12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243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</row>
    <row r="369" spans="1:38" ht="12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243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</row>
    <row r="370" spans="1:38" ht="12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243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</row>
    <row r="371" spans="1:38" ht="12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243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</row>
    <row r="372" spans="1:38" ht="12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243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</row>
    <row r="373" spans="1:38" ht="12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243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</row>
    <row r="374" spans="1:38" ht="12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243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</row>
    <row r="375" spans="1:38" ht="12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243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</row>
    <row r="376" spans="1:38" ht="12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243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</row>
    <row r="377" spans="1:38" ht="12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243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</row>
    <row r="378" spans="1:38" ht="12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243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</row>
    <row r="379" spans="1:38" ht="12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243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</row>
    <row r="380" spans="1:38" ht="12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243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</row>
    <row r="381" spans="1:38" ht="12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243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</row>
    <row r="382" spans="1:38" ht="12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243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</row>
    <row r="383" spans="1:38" ht="12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243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</row>
    <row r="384" spans="1:38" ht="12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243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</row>
    <row r="385" spans="1:38" ht="12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243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</row>
    <row r="386" spans="1:38" ht="12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243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</row>
    <row r="387" spans="1:38" ht="12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243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</row>
    <row r="388" spans="1:38" ht="12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243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</row>
    <row r="389" spans="1:38" ht="12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243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</row>
    <row r="390" spans="1:38" ht="12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243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</row>
    <row r="391" spans="1:38" ht="12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243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</row>
    <row r="392" spans="1:38" ht="12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243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</row>
    <row r="393" spans="1:38" ht="12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243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</row>
    <row r="394" spans="1:38" ht="12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243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</row>
    <row r="395" spans="1:38" ht="12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243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</row>
    <row r="396" spans="1:38" ht="12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243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</row>
    <row r="397" spans="1:38" ht="12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243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</row>
    <row r="398" spans="1:38" ht="12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243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</row>
    <row r="399" spans="1:38" ht="12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243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</row>
    <row r="400" spans="1:38" ht="12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243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</row>
    <row r="401" spans="1:38" ht="12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243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</row>
    <row r="402" spans="1:38" ht="12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243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</row>
    <row r="403" spans="1:38" ht="12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243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</row>
    <row r="404" spans="1:38" ht="12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243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</row>
    <row r="405" spans="1:38" ht="12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243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</row>
    <row r="406" spans="1:38" ht="12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243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</row>
    <row r="407" spans="1:38" ht="12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243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</row>
    <row r="408" spans="1:38" ht="12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243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</row>
    <row r="409" spans="1:38" ht="12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243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</row>
    <row r="410" spans="1:38" ht="12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243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</row>
    <row r="411" spans="1:38" ht="12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243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</row>
    <row r="412" spans="1:38" ht="12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243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</row>
    <row r="413" spans="1:38" ht="12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243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</row>
    <row r="414" spans="1:38" ht="12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243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</row>
    <row r="415" spans="1:38" ht="12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243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</row>
    <row r="416" spans="1:38" ht="12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243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</row>
    <row r="417" spans="1:38" ht="12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243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</row>
    <row r="418" spans="1:38" ht="12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243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</row>
    <row r="419" spans="1:38" ht="12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243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</row>
    <row r="420" spans="1:38" ht="12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243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</row>
    <row r="421" spans="1:38" ht="12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243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</row>
    <row r="422" spans="1:38" ht="12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243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</row>
    <row r="423" spans="1:38" ht="12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243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</row>
    <row r="424" spans="1:38" ht="12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243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</row>
    <row r="425" spans="1:38" ht="12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243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</row>
    <row r="426" spans="1:38" ht="12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243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</row>
    <row r="427" spans="1:38" ht="12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243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</row>
    <row r="428" spans="1:38" ht="12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243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</row>
    <row r="429" spans="1:38" ht="12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243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</row>
    <row r="430" spans="1:38" ht="12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243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</row>
    <row r="431" spans="1:38" ht="12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243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</row>
    <row r="432" spans="1:38" ht="12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243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</row>
    <row r="433" spans="1:38" ht="12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243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</row>
    <row r="434" spans="1:38" ht="12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243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</row>
    <row r="435" spans="1:38" ht="12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243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</row>
    <row r="436" spans="1:38" ht="12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243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</row>
    <row r="437" spans="1:38" ht="12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243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</row>
    <row r="438" spans="1:38" ht="12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243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</row>
    <row r="439" spans="1:38" ht="12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243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</row>
    <row r="440" spans="1:38" ht="12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243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</row>
    <row r="441" spans="1:38" ht="12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243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</row>
    <row r="442" spans="1:38" ht="12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243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</row>
    <row r="443" spans="1:38" ht="12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243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</row>
    <row r="444" spans="1:38" ht="12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243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</row>
    <row r="445" spans="1:38" ht="12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243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</row>
    <row r="446" spans="1:38" ht="12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243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</row>
    <row r="447" spans="1:38" ht="12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243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</row>
    <row r="448" spans="1:38" ht="12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243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</row>
    <row r="449" spans="1:38" ht="12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243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</row>
    <row r="450" spans="1:38" ht="12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243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</row>
    <row r="451" spans="1:38" ht="12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243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</row>
    <row r="452" spans="1:38" ht="12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243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</row>
    <row r="453" spans="1:38" ht="12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243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</row>
    <row r="454" spans="1:38" ht="12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243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</row>
    <row r="455" spans="1:38" ht="12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243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</row>
    <row r="456" spans="1:38" ht="12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243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</row>
    <row r="457" spans="1:38" ht="12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243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</row>
    <row r="458" spans="1:38" ht="12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243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</row>
    <row r="459" spans="1:38" ht="12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243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</row>
    <row r="460" spans="1:38" ht="12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243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</row>
    <row r="461" spans="1:38" ht="12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243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</row>
    <row r="462" spans="1:38" ht="12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243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</row>
    <row r="463" spans="1:38" ht="12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243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</row>
    <row r="464" spans="1:38" ht="12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243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</row>
    <row r="465" spans="1:38" ht="12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243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</row>
    <row r="466" spans="1:38" ht="12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243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</row>
    <row r="467" spans="1:38" ht="12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243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</row>
    <row r="468" spans="1:38" ht="12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243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</row>
    <row r="469" spans="1:38" ht="12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243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</row>
    <row r="470" spans="1:38" ht="12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243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</row>
    <row r="471" spans="1:38" ht="12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243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</row>
    <row r="472" spans="1:38" ht="12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243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</row>
    <row r="473" spans="1:38" ht="12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243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</row>
    <row r="474" spans="1:38" ht="12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243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</row>
    <row r="475" spans="1:38" ht="12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243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</row>
    <row r="476" spans="1:38" ht="12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243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</row>
    <row r="477" spans="1:38" ht="12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243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</row>
    <row r="478" spans="1:38" ht="12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243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</row>
    <row r="479" spans="1:38" ht="12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243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</row>
    <row r="480" spans="1:38" ht="12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243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</row>
    <row r="481" spans="1:38" ht="12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243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</row>
    <row r="482" spans="1:38" ht="12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243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</row>
    <row r="483" spans="1:38" ht="12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243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</row>
    <row r="484" spans="1:38" ht="12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243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</row>
    <row r="485" spans="1:38" ht="12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243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</row>
    <row r="486" spans="1:38" ht="12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243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</row>
    <row r="487" spans="1:38" ht="12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243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</row>
    <row r="488" spans="1:38" ht="12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243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</row>
    <row r="489" spans="1:38" ht="12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243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</row>
    <row r="490" spans="1:38" ht="12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243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</row>
    <row r="491" spans="1:38" ht="12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243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</row>
    <row r="492" spans="1:38" ht="12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243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</row>
    <row r="493" spans="1:38" ht="12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243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</row>
    <row r="494" spans="1:38" ht="12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243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</row>
    <row r="495" spans="1:38" ht="12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243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</row>
    <row r="496" spans="1:38" ht="12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243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</row>
    <row r="497" spans="1:38" ht="12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243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</row>
    <row r="498" spans="1:38" ht="12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243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</row>
    <row r="499" spans="1:38" ht="12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243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</row>
    <row r="500" spans="1:38" ht="12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243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</row>
    <row r="501" spans="1:38" ht="12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243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</row>
    <row r="502" spans="1:38" ht="12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243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</row>
    <row r="503" spans="1:38" ht="12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243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</row>
    <row r="504" spans="1:38" ht="12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243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</row>
    <row r="505" spans="1:38" ht="12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243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</row>
    <row r="506" spans="1:38" ht="12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243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</row>
    <row r="507" spans="1:38" ht="12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243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</row>
    <row r="508" spans="1:38" ht="12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243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</row>
    <row r="509" spans="1:38" ht="12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243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</row>
    <row r="510" spans="1:38" ht="12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243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</row>
    <row r="511" spans="1:38" ht="12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243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</row>
    <row r="512" spans="1:38" ht="12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243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</row>
    <row r="513" spans="1:38" ht="12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243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</row>
    <row r="514" spans="1:38" ht="12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243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</row>
    <row r="515" spans="1:38" ht="12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243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</row>
    <row r="516" spans="1:38" ht="12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243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</row>
    <row r="517" spans="1:38" ht="12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243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</row>
    <row r="518" spans="1:38" ht="12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243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</row>
    <row r="519" spans="1:38" ht="12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243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</row>
    <row r="520" spans="1:38" ht="12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243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</row>
    <row r="521" spans="1:38" ht="12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243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</row>
    <row r="522" spans="1:38" ht="12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243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</row>
    <row r="523" spans="1:38" ht="12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243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</row>
    <row r="524" spans="1:38" ht="12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243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</row>
    <row r="525" spans="1:38" ht="12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243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</row>
    <row r="526" spans="1:38" ht="12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243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</row>
    <row r="527" spans="1:38" ht="12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243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</row>
    <row r="528" spans="1:38" ht="12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243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</row>
    <row r="529" spans="1:38" ht="12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243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</row>
    <row r="530" spans="1:38" ht="12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243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</row>
    <row r="531" spans="1:38" ht="12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243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</row>
    <row r="532" spans="1:38" ht="12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243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</row>
    <row r="533" spans="1:38" ht="12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243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</row>
    <row r="534" spans="1:38" ht="12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243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</row>
    <row r="535" spans="1:38" ht="12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243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</row>
    <row r="536" spans="1:38" ht="12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243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</row>
    <row r="537" spans="1:38" ht="12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243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</row>
    <row r="538" spans="1:38" ht="12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243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</row>
    <row r="539" spans="1:38" ht="12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243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</row>
    <row r="540" spans="1:38" ht="12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243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</row>
    <row r="541" spans="1:38" ht="12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243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</row>
    <row r="542" spans="1:38" ht="12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243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</row>
    <row r="543" spans="1:38" ht="12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243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</row>
    <row r="544" spans="1:38" ht="12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243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</row>
    <row r="545" spans="1:38" ht="12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243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</row>
    <row r="546" spans="1:38" ht="12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243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</row>
    <row r="547" spans="1:38" ht="12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243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</row>
    <row r="548" spans="1:38" ht="12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243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</row>
    <row r="549" spans="1:38" ht="12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243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</row>
    <row r="550" spans="1:38" ht="12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243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</row>
    <row r="551" spans="1:38" ht="12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243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</row>
    <row r="552" spans="1:38" ht="12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243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</row>
    <row r="553" spans="1:38" ht="12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243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</row>
    <row r="554" spans="1:38" ht="12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243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</row>
    <row r="555" spans="1:38" ht="12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243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</row>
    <row r="556" spans="1:38" ht="12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243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</row>
    <row r="557" spans="1:38" ht="12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243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</row>
    <row r="558" spans="1:38" ht="12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243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</row>
    <row r="559" spans="1:38" ht="12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243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</row>
    <row r="560" spans="1:38" ht="12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243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</row>
    <row r="561" spans="1:38" ht="12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243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</row>
    <row r="562" spans="1:38" ht="12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243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</row>
    <row r="563" spans="1:38" ht="12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243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</row>
    <row r="564" spans="1:38" ht="12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243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</row>
    <row r="565" spans="1:38" ht="12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243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</row>
    <row r="566" spans="1:38" ht="12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243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</row>
    <row r="567" spans="1:38" ht="12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243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</row>
    <row r="568" spans="1:38" ht="12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243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</row>
    <row r="569" spans="1:38" ht="12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243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</row>
    <row r="570" spans="1:38" ht="12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243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</row>
    <row r="571" spans="1:38" ht="12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243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</row>
    <row r="572" spans="1:38" ht="12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243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</row>
    <row r="573" spans="1:38" ht="12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243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</row>
    <row r="574" spans="1:38" ht="12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243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</row>
    <row r="575" spans="1:38" ht="12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243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</row>
    <row r="576" spans="1:38" ht="12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243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</row>
    <row r="577" spans="1:38" ht="12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243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</row>
    <row r="578" spans="1:38" ht="12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243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</row>
    <row r="579" spans="1:38" ht="12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243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</row>
    <row r="580" spans="1:38" ht="12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243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</row>
    <row r="581" spans="1:38" ht="12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243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</row>
    <row r="582" spans="1:38" ht="12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243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</row>
    <row r="583" spans="1:38" ht="12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243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</row>
    <row r="584" spans="1:38" ht="12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243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</row>
    <row r="585" spans="1:38" ht="12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243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</row>
    <row r="586" spans="1:38" ht="12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243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</row>
    <row r="587" spans="1:38" ht="12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243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</row>
    <row r="588" spans="1:38" ht="12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243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</row>
    <row r="589" spans="1:38" ht="12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243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</row>
    <row r="590" spans="1:38" ht="12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243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</row>
    <row r="591" spans="1:38" ht="12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243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</row>
    <row r="592" spans="1:38" ht="12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243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</row>
    <row r="593" spans="1:38" ht="12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243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</row>
    <row r="594" spans="1:38" ht="12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243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</row>
    <row r="595" spans="1:38" ht="12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243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</row>
    <row r="596" spans="1:38" ht="12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243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</row>
    <row r="597" spans="1:38" ht="12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243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</row>
    <row r="598" spans="1:38" ht="12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243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</row>
    <row r="599" spans="1:38" ht="12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243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</row>
    <row r="600" spans="1:38" ht="12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243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</row>
    <row r="601" spans="1:38" ht="12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243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</row>
    <row r="602" spans="1:38" ht="12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243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</row>
    <row r="603" spans="1:38" ht="12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243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</row>
    <row r="604" spans="1:38" ht="12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243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</row>
    <row r="605" spans="1:38" ht="12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243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</row>
    <row r="606" spans="1:38" ht="12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243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</row>
    <row r="607" spans="1:38" ht="12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243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</row>
    <row r="608" spans="1:38" ht="12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243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</row>
    <row r="609" spans="1:38" ht="12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243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</row>
    <row r="610" spans="1:38" ht="12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243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</row>
    <row r="611" spans="1:38" ht="12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243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</row>
    <row r="612" spans="1:38" ht="12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243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</row>
    <row r="613" spans="1:38" ht="12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243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</row>
    <row r="614" spans="1:38" ht="12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243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</row>
    <row r="615" spans="1:38" ht="12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243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</row>
    <row r="616" spans="1:38" ht="12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243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</row>
    <row r="617" spans="1:38" ht="12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243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</row>
    <row r="618" spans="1:38" ht="12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243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</row>
    <row r="619" spans="1:38" ht="12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243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</row>
    <row r="620" spans="1:38" ht="12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243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</row>
    <row r="621" spans="1:38" ht="12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243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</row>
    <row r="622" spans="1:38" ht="12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243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</row>
    <row r="623" spans="1:38" ht="12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243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</row>
    <row r="624" spans="1:38" ht="12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243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</row>
    <row r="625" spans="1:38" ht="12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243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</row>
    <row r="626" spans="1:38" ht="12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243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</row>
    <row r="627" spans="1:38" ht="12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243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</row>
    <row r="628" spans="1:38" ht="12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243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</row>
    <row r="629" spans="1:38" ht="12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243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</row>
    <row r="630" spans="1:38" ht="12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243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</row>
    <row r="631" spans="1:38" ht="12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243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</row>
    <row r="632" spans="1:38" ht="12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243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</row>
    <row r="633" spans="1:38" ht="12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243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</row>
    <row r="634" spans="1:38" ht="12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243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</row>
    <row r="635" spans="1:38" ht="12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243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</row>
    <row r="636" spans="1:38" ht="12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243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</row>
    <row r="637" spans="1:38" ht="12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243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</row>
    <row r="638" spans="1:38" ht="12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243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</row>
    <row r="639" spans="1:38" ht="12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243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</row>
    <row r="640" spans="1:38" ht="12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243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</row>
    <row r="641" spans="1:38" ht="12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243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</row>
    <row r="642" spans="1:38" ht="12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243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</row>
    <row r="643" spans="1:38" ht="12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243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</row>
    <row r="644" spans="1:38" ht="12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243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</row>
    <row r="645" spans="1:38" ht="12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243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</row>
    <row r="646" spans="1:38" ht="12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243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</row>
    <row r="647" spans="1:38" ht="12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243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</row>
    <row r="648" spans="1:38" ht="12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243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</row>
    <row r="649" spans="1:38" ht="12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243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</row>
    <row r="650" spans="1:38" ht="12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243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</row>
    <row r="651" spans="1:38" ht="12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243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</row>
    <row r="652" spans="1:38" ht="12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243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</row>
    <row r="653" spans="1:38" ht="12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243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</row>
    <row r="654" spans="1:38" ht="12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243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</row>
    <row r="655" spans="1:38" ht="12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243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</row>
    <row r="656" spans="1:38" ht="12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243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</row>
    <row r="657" spans="1:38" ht="12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243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</row>
    <row r="658" spans="1:38" ht="12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243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</row>
    <row r="659" spans="1:38" ht="12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243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</row>
    <row r="660" spans="1:38" ht="12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243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</row>
    <row r="661" spans="1:38" ht="12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243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</row>
    <row r="662" spans="1:38" ht="12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243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</row>
    <row r="663" spans="1:38" ht="12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243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</row>
    <row r="664" spans="1:38" ht="12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243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</row>
    <row r="665" spans="1:38" ht="12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243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</row>
    <row r="666" spans="1:38" ht="12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243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</row>
    <row r="667" spans="1:38" ht="12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243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</row>
    <row r="668" spans="1:38" ht="12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243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</row>
    <row r="669" spans="1:38" ht="12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243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</row>
    <row r="670" spans="1:38" ht="12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243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</row>
    <row r="671" spans="1:38" ht="12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243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</row>
    <row r="672" spans="1:38" ht="12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243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</row>
    <row r="673" spans="1:38" ht="12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243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</row>
    <row r="674" spans="1:38" ht="12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243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</row>
    <row r="675" spans="1:38" ht="12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243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</row>
    <row r="676" spans="1:38" ht="12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243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</row>
    <row r="677" spans="1:38" ht="12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243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</row>
    <row r="678" spans="1:38" ht="12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243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</row>
    <row r="679" spans="1:38" ht="12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243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</row>
    <row r="680" spans="1:38" ht="12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243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</row>
    <row r="681" spans="1:38" ht="12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243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</row>
    <row r="682" spans="1:38" ht="12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243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</row>
    <row r="683" spans="1:38" ht="12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243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</row>
    <row r="684" spans="1:38" ht="12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243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</row>
    <row r="685" spans="1:38" ht="12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243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</row>
    <row r="686" spans="1:38" ht="12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243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</row>
    <row r="687" spans="1:38" ht="12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243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</row>
    <row r="688" spans="1:38" ht="12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243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</row>
    <row r="689" spans="1:38" ht="12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243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</row>
    <row r="690" spans="1:38" ht="12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243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</row>
    <row r="691" spans="1:38" ht="12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243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</row>
    <row r="692" spans="1:38" ht="12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243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</row>
    <row r="693" spans="1:38" ht="12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243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</row>
    <row r="694" spans="1:38" ht="12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243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</row>
    <row r="695" spans="1:38" ht="12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243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</row>
    <row r="696" spans="1:38" ht="12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243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</row>
    <row r="697" spans="1:38" ht="12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243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</row>
    <row r="698" spans="1:38" ht="12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243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</row>
    <row r="699" spans="1:38" ht="12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243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</row>
    <row r="700" spans="1:38" ht="12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243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</row>
    <row r="701" spans="1:38" ht="12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243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</row>
    <row r="702" spans="1:38" ht="12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243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</row>
    <row r="703" spans="1:38" ht="12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243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</row>
    <row r="704" spans="1:38" ht="12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243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</row>
    <row r="705" spans="1:38" ht="12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243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</row>
    <row r="706" spans="1:38" ht="12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243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</row>
    <row r="707" spans="1:38" ht="12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243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</row>
    <row r="708" spans="1:38" ht="12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243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</row>
    <row r="709" spans="1:38" ht="12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243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</row>
    <row r="710" spans="1:38" ht="12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243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</row>
    <row r="711" spans="1:38" ht="12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243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</row>
    <row r="712" spans="1:38" ht="12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243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</row>
    <row r="713" spans="1:38" ht="12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243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</row>
    <row r="714" spans="1:38" ht="12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243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</row>
    <row r="715" spans="1:38" ht="12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243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</row>
    <row r="716" spans="1:38" ht="12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243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</row>
    <row r="717" spans="1:38" ht="12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243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</row>
    <row r="718" spans="1:38" ht="12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243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</row>
    <row r="719" spans="1:38" ht="12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243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</row>
    <row r="720" spans="1:38" ht="12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243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</row>
    <row r="721" spans="1:38" ht="12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243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</row>
    <row r="722" spans="1:38" ht="12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243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</row>
    <row r="723" spans="1:38" ht="12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243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</row>
    <row r="724" spans="1:38" ht="12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243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</row>
    <row r="725" spans="1:38" ht="12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243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</row>
    <row r="726" spans="1:38" ht="12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243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</row>
    <row r="727" spans="1:38" ht="12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243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</row>
    <row r="728" spans="1:38" ht="12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243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</row>
    <row r="729" spans="1:38" ht="12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243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</row>
    <row r="730" spans="1:38" ht="12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243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</row>
    <row r="731" spans="1:38" ht="12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243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</row>
    <row r="732" spans="1:38" ht="12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243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</row>
    <row r="733" spans="1:38" ht="12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243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</row>
    <row r="734" spans="1:38" ht="12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243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</row>
    <row r="735" spans="1:38" ht="12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243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</row>
    <row r="736" spans="1:38" ht="12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243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</row>
    <row r="737" spans="1:38" ht="12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243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</row>
    <row r="738" spans="1:38" ht="12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243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</row>
    <row r="739" spans="1:38" ht="12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243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</row>
    <row r="740" spans="1:38" ht="12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243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</row>
    <row r="741" spans="1:38" ht="12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243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</row>
    <row r="742" spans="1:38" ht="12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243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</row>
    <row r="743" spans="1:38" ht="12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243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</row>
    <row r="744" spans="1:38" ht="12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243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</row>
    <row r="745" spans="1:38" ht="12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243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</row>
    <row r="746" spans="1:38" ht="12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243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</row>
    <row r="747" spans="1:38" ht="12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243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</row>
    <row r="748" spans="1:38" ht="12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243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</row>
    <row r="749" spans="1:38" ht="12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243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</row>
    <row r="750" spans="1:38" ht="12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243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</row>
    <row r="751" spans="1:38" ht="12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243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</row>
    <row r="752" spans="1:38" ht="12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243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</row>
    <row r="753" spans="1:38" ht="12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243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</row>
    <row r="754" spans="1:38" ht="12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243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</row>
    <row r="755" spans="1:38" ht="12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243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</row>
    <row r="756" spans="1:38" ht="12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243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</row>
    <row r="757" spans="1:38" ht="12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243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</row>
    <row r="758" spans="1:38" ht="12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243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</row>
    <row r="759" spans="1:38" ht="12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243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</row>
    <row r="760" spans="1:38" ht="12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243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</row>
    <row r="761" spans="1:38" ht="12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243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</row>
    <row r="762" spans="1:38" ht="12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243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</row>
    <row r="763" spans="1:38" ht="12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243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</row>
    <row r="764" spans="1:38" ht="12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243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</row>
    <row r="765" spans="1:38" ht="12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243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</row>
    <row r="766" spans="1:38" ht="12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243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</row>
    <row r="767" spans="1:38" ht="12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243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</row>
    <row r="768" spans="1:38" ht="12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243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</row>
    <row r="769" spans="1:38" ht="12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243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</row>
    <row r="770" spans="1:38" ht="12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243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</row>
    <row r="771" spans="1:38" ht="12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243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</row>
    <row r="772" spans="1:38" ht="12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243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</row>
    <row r="773" spans="1:38" ht="12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243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</row>
    <row r="774" spans="1:38" ht="12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243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</row>
    <row r="775" spans="1:38" ht="12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243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</row>
    <row r="776" spans="1:38" ht="12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243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</row>
    <row r="777" spans="1:38" ht="12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243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</row>
    <row r="778" spans="1:38" ht="12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243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</row>
    <row r="779" spans="1:38" ht="12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243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</row>
    <row r="780" spans="1:38" ht="12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243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</row>
    <row r="781" spans="1:38" ht="12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243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</row>
    <row r="782" spans="1:38" ht="12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243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</row>
    <row r="783" spans="1:38" ht="12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243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</row>
    <row r="784" spans="1:38" ht="12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243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</row>
    <row r="785" spans="1:38" ht="12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243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</row>
    <row r="786" spans="1:38" ht="12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243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</row>
    <row r="787" spans="1:38" ht="12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243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</row>
    <row r="788" spans="1:38" ht="12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243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</row>
    <row r="789" spans="1:38" ht="12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243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</row>
    <row r="790" spans="1:38" ht="12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243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</row>
    <row r="791" spans="1:38" ht="12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243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</row>
    <row r="792" spans="1:38" ht="12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243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</row>
    <row r="793" spans="1:38" ht="12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243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</row>
    <row r="794" spans="1:38" ht="12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243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</row>
    <row r="795" spans="1:38" ht="12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243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</row>
    <row r="796" spans="1:38" ht="12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243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</row>
    <row r="797" spans="1:38" ht="12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243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</row>
    <row r="798" spans="1:38" ht="12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243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</row>
    <row r="799" spans="1:38" ht="12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243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</row>
    <row r="800" spans="1:38" ht="12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243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</row>
    <row r="801" spans="1:38" ht="12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243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</row>
    <row r="802" spans="1:38" ht="12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243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</row>
    <row r="803" spans="1:38" ht="12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243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</row>
    <row r="804" spans="1:38" ht="12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243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</row>
    <row r="805" spans="1:38" ht="12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243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</row>
    <row r="806" spans="1:38" ht="12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243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</row>
    <row r="807" spans="1:38" ht="12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243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</row>
    <row r="808" spans="1:38" ht="12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243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</row>
    <row r="809" spans="1:38" ht="12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243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</row>
    <row r="810" spans="1:38" ht="12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243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</row>
    <row r="811" spans="1:38" ht="12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243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</row>
    <row r="812" spans="1:38" ht="12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243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</row>
    <row r="813" spans="1:38" ht="12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243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</row>
    <row r="814" spans="1:38" ht="12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243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</row>
    <row r="815" spans="1:38" ht="12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243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</row>
    <row r="816" spans="1:38" ht="12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243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</row>
    <row r="817" spans="1:38" ht="12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243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</row>
    <row r="818" spans="1:38" ht="12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243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</row>
    <row r="819" spans="1:38" ht="12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243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</row>
    <row r="820" spans="1:38" ht="12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243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</row>
    <row r="821" spans="1:38" ht="12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243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</row>
    <row r="822" spans="1:38" ht="12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243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</row>
    <row r="823" spans="1:38" ht="12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243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</row>
    <row r="824" spans="1:38" ht="12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243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</row>
    <row r="825" spans="1:38" ht="12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243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</row>
    <row r="826" spans="1:38" ht="12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243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</row>
    <row r="827" spans="1:38" ht="12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243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</row>
    <row r="828" spans="1:38" ht="12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243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</row>
    <row r="829" spans="1:38" ht="12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243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</row>
    <row r="830" spans="1:38" ht="12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243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</row>
    <row r="831" spans="1:38" ht="12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243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</row>
    <row r="832" spans="1:38" ht="12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243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</row>
    <row r="833" spans="1:38" ht="12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243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</row>
    <row r="834" spans="1:38" ht="12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243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</row>
    <row r="835" spans="1:38" ht="12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243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</row>
    <row r="836" spans="1:38" ht="12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243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</row>
    <row r="837" spans="1:38" ht="12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243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</row>
    <row r="838" spans="1:38" ht="12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243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</row>
    <row r="839" spans="1:38" ht="12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243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</row>
    <row r="840" spans="1:38" ht="12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243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</row>
    <row r="841" spans="1:38" ht="12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243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</row>
    <row r="842" spans="1:38" ht="12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243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</row>
    <row r="843" spans="1:38" ht="12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243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</row>
    <row r="844" spans="1:38" ht="12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243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</row>
    <row r="845" spans="1:38" ht="12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243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</row>
    <row r="846" spans="1:38" ht="12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243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</row>
    <row r="847" spans="1:38" ht="12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243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</row>
    <row r="848" spans="1:38" ht="12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243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</row>
    <row r="849" spans="1:38" ht="12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243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</row>
    <row r="850" spans="1:38" ht="12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243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</row>
    <row r="851" spans="1:38" ht="12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243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</row>
    <row r="852" spans="1:38" ht="12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243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</row>
    <row r="853" spans="1:38" ht="12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243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</row>
    <row r="854" spans="1:38" ht="12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243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</row>
    <row r="855" spans="1:38" ht="12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243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</row>
    <row r="856" spans="1:38" ht="12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243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</row>
    <row r="857" spans="1:38" ht="12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243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</row>
    <row r="858" spans="1:38" ht="12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243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</row>
    <row r="859" spans="1:38" ht="12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243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</row>
    <row r="860" spans="1:38" ht="12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243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</row>
    <row r="861" spans="1:38" ht="12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243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</row>
    <row r="862" spans="1:38" ht="12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243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</row>
    <row r="863" spans="1:38" ht="12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243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</row>
    <row r="864" spans="1:38" ht="12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243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</row>
    <row r="865" spans="1:38" ht="12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243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</row>
    <row r="866" spans="1:38" ht="12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243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</row>
    <row r="867" spans="1:38" ht="12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243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</row>
    <row r="868" spans="1:38" ht="12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243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</row>
    <row r="869" spans="1:38" ht="12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243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</row>
    <row r="870" spans="1:38" ht="12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243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</row>
    <row r="871" spans="1:38" ht="12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243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</row>
    <row r="872" spans="1:38" ht="12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243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</row>
    <row r="873" spans="1:38" ht="12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243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</row>
    <row r="874" spans="1:38" ht="12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243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</row>
    <row r="875" spans="1:38" ht="12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243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</row>
    <row r="876" spans="1:38" ht="12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243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</row>
    <row r="877" spans="1:38" ht="12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243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</row>
    <row r="878" spans="1:38" ht="12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243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</row>
    <row r="879" spans="1:38" ht="12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243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</row>
    <row r="880" spans="1:38" ht="12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243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</row>
    <row r="881" spans="1:38" ht="12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243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</row>
    <row r="882" spans="1:38" ht="12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243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</row>
    <row r="883" spans="1:38" ht="12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243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</row>
    <row r="884" spans="1:38" ht="12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243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</row>
    <row r="885" spans="1:38" ht="12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243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</row>
    <row r="886" spans="1:38" ht="12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243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</row>
    <row r="887" spans="1:38" ht="12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243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</row>
    <row r="888" spans="1:38" ht="12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243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</row>
    <row r="889" spans="1:38" ht="12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243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</row>
    <row r="890" spans="1:38" ht="12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243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</row>
    <row r="891" spans="1:38" ht="12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243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</row>
    <row r="892" spans="1:38" ht="12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243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</row>
    <row r="893" spans="1:38" ht="12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243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</row>
    <row r="894" spans="1:38" ht="12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243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</row>
    <row r="895" spans="1:38" ht="12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243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</row>
    <row r="896" spans="1:38" ht="12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243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</row>
    <row r="897" spans="1:38" ht="12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243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</row>
    <row r="898" spans="1:38" ht="12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243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</row>
    <row r="899" spans="1:38" ht="12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243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</row>
    <row r="900" spans="1:38" ht="12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243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</row>
  </sheetData>
  <mergeCells count="114">
    <mergeCell ref="A104:J104"/>
    <mergeCell ref="K104:L104"/>
    <mergeCell ref="A105:J105"/>
    <mergeCell ref="A106:J106"/>
    <mergeCell ref="A227:J227"/>
    <mergeCell ref="A238:J238"/>
    <mergeCell ref="K238:L238"/>
    <mergeCell ref="A239:J239"/>
    <mergeCell ref="K239:L239"/>
    <mergeCell ref="A194:J194"/>
    <mergeCell ref="K194:L194"/>
    <mergeCell ref="A195:J195"/>
    <mergeCell ref="A196:J196"/>
    <mergeCell ref="A197:J197"/>
    <mergeCell ref="A208:J208"/>
    <mergeCell ref="K208:L208"/>
    <mergeCell ref="A209:J209"/>
    <mergeCell ref="K209:L209"/>
    <mergeCell ref="A167:J167"/>
    <mergeCell ref="A178:J178"/>
    <mergeCell ref="K178:L178"/>
    <mergeCell ref="A179:J179"/>
    <mergeCell ref="K179:L179"/>
    <mergeCell ref="A180:J180"/>
    <mergeCell ref="X24:Y24"/>
    <mergeCell ref="A25:D25"/>
    <mergeCell ref="A26:D26"/>
    <mergeCell ref="A43:J43"/>
    <mergeCell ref="K43:L43"/>
    <mergeCell ref="A44:J44"/>
    <mergeCell ref="K44:L44"/>
    <mergeCell ref="A45:J45"/>
    <mergeCell ref="A46:J46"/>
    <mergeCell ref="A1:B1"/>
    <mergeCell ref="C1:D1"/>
    <mergeCell ref="F1:G1"/>
    <mergeCell ref="A24:D24"/>
    <mergeCell ref="O24:P24"/>
    <mergeCell ref="A47:J47"/>
    <mergeCell ref="A58:J58"/>
    <mergeCell ref="K58:L58"/>
    <mergeCell ref="A59:J59"/>
    <mergeCell ref="K59:L59"/>
    <mergeCell ref="K1:L1"/>
    <mergeCell ref="A77:J77"/>
    <mergeCell ref="A254:J254"/>
    <mergeCell ref="K254:L254"/>
    <mergeCell ref="A255:J255"/>
    <mergeCell ref="A256:J256"/>
    <mergeCell ref="A257:J257"/>
    <mergeCell ref="A60:J60"/>
    <mergeCell ref="A61:J61"/>
    <mergeCell ref="A62:J62"/>
    <mergeCell ref="A73:J73"/>
    <mergeCell ref="K73:L73"/>
    <mergeCell ref="A74:J74"/>
    <mergeCell ref="K74:L74"/>
    <mergeCell ref="A75:J75"/>
    <mergeCell ref="A76:J76"/>
    <mergeCell ref="A88:J88"/>
    <mergeCell ref="K88:L88"/>
    <mergeCell ref="A89:J89"/>
    <mergeCell ref="K89:L89"/>
    <mergeCell ref="A90:J90"/>
    <mergeCell ref="A91:J91"/>
    <mergeCell ref="A92:J92"/>
    <mergeCell ref="A103:J103"/>
    <mergeCell ref="K103:L103"/>
    <mergeCell ref="A241:J241"/>
    <mergeCell ref="A242:J242"/>
    <mergeCell ref="A253:J253"/>
    <mergeCell ref="K253:L253"/>
    <mergeCell ref="A210:J210"/>
    <mergeCell ref="A211:J211"/>
    <mergeCell ref="A212:J212"/>
    <mergeCell ref="A223:J223"/>
    <mergeCell ref="K223:L223"/>
    <mergeCell ref="A224:J224"/>
    <mergeCell ref="K224:L224"/>
    <mergeCell ref="A225:J225"/>
    <mergeCell ref="A226:J226"/>
    <mergeCell ref="A240:J240"/>
    <mergeCell ref="A181:J181"/>
    <mergeCell ref="A182:J182"/>
    <mergeCell ref="A193:J193"/>
    <mergeCell ref="K193:L193"/>
    <mergeCell ref="A150:J150"/>
    <mergeCell ref="A151:J151"/>
    <mergeCell ref="A152:J152"/>
    <mergeCell ref="A163:J163"/>
    <mergeCell ref="K163:L163"/>
    <mergeCell ref="A164:J164"/>
    <mergeCell ref="K164:L164"/>
    <mergeCell ref="A165:J165"/>
    <mergeCell ref="A166:J166"/>
    <mergeCell ref="A134:J134"/>
    <mergeCell ref="K134:L134"/>
    <mergeCell ref="A135:J135"/>
    <mergeCell ref="A136:J136"/>
    <mergeCell ref="A137:J137"/>
    <mergeCell ref="A148:J148"/>
    <mergeCell ref="K148:L148"/>
    <mergeCell ref="A149:J149"/>
    <mergeCell ref="K149:L149"/>
    <mergeCell ref="A107:J107"/>
    <mergeCell ref="A118:J118"/>
    <mergeCell ref="K118:L118"/>
    <mergeCell ref="A119:J119"/>
    <mergeCell ref="K119:L119"/>
    <mergeCell ref="A120:J120"/>
    <mergeCell ref="A121:J121"/>
    <mergeCell ref="A122:J122"/>
    <mergeCell ref="A133:J133"/>
    <mergeCell ref="K133:L133"/>
  </mergeCells>
  <phoneticPr fontId="61" type="noConversion"/>
  <pageMargins left="0.7" right="0.7" top="0.75" bottom="0.75" header="0" footer="0"/>
  <pageSetup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916"/>
  <sheetViews>
    <sheetView topLeftCell="A29" zoomScaleNormal="100" workbookViewId="0">
      <selection activeCell="O13" sqref="O13"/>
    </sheetView>
  </sheetViews>
  <sheetFormatPr defaultColWidth="14.44140625" defaultRowHeight="15" customHeight="1" x14ac:dyDescent="0.3"/>
  <cols>
    <col min="1" max="1" width="11.33203125" customWidth="1"/>
    <col min="2" max="2" width="8.109375" customWidth="1"/>
    <col min="3" max="10" width="8.6640625" customWidth="1"/>
    <col min="11" max="13" width="11.33203125" customWidth="1"/>
    <col min="14" max="14" width="4.44140625" customWidth="1"/>
    <col min="15" max="15" width="7.44140625" bestFit="1" customWidth="1"/>
    <col min="16" max="16" width="5.88671875" customWidth="1"/>
    <col min="17" max="17" width="10.44140625" style="243" customWidth="1"/>
    <col min="18" max="20" width="10.6640625" customWidth="1"/>
    <col min="21" max="21" width="10.88671875" customWidth="1"/>
    <col min="22" max="22" width="8" bestFit="1" customWidth="1"/>
    <col min="23" max="23" width="4.6640625" customWidth="1"/>
    <col min="24" max="24" width="8" customWidth="1"/>
    <col min="25" max="25" width="4.77734375" customWidth="1"/>
    <col min="26" max="27" width="8.44140625" customWidth="1"/>
    <col min="28" max="28" width="9.109375" customWidth="1"/>
    <col min="29" max="29" width="9.44140625" customWidth="1"/>
    <col min="30" max="30" width="10.44140625" customWidth="1"/>
    <col min="31" max="32" width="9.109375" customWidth="1"/>
  </cols>
  <sheetData>
    <row r="1" spans="1:32" ht="12.75" customHeight="1" thickBot="1" x14ac:dyDescent="0.35">
      <c r="A1" s="838" t="s">
        <v>1</v>
      </c>
      <c r="B1" s="837"/>
      <c r="C1" s="838" t="s">
        <v>558</v>
      </c>
      <c r="D1" s="837"/>
      <c r="E1" s="53" t="s">
        <v>559</v>
      </c>
      <c r="F1" s="838" t="s">
        <v>560</v>
      </c>
      <c r="G1" s="837"/>
      <c r="H1" s="52" t="s">
        <v>561</v>
      </c>
      <c r="I1" s="53" t="s">
        <v>535</v>
      </c>
      <c r="J1" s="54" t="s">
        <v>46</v>
      </c>
      <c r="K1" s="838" t="s">
        <v>47</v>
      </c>
      <c r="L1" s="839"/>
      <c r="M1" s="1"/>
      <c r="N1" s="1"/>
      <c r="O1" s="1"/>
      <c r="P1" s="1"/>
      <c r="R1" s="1"/>
      <c r="S1" s="1"/>
      <c r="T1" s="1"/>
      <c r="U1" s="1"/>
      <c r="V1" s="1"/>
      <c r="W1" s="1"/>
      <c r="X1" s="1"/>
      <c r="Y1" s="141"/>
      <c r="Z1" s="3"/>
      <c r="AA1" s="3"/>
      <c r="AB1" s="3"/>
      <c r="AC1" s="1"/>
      <c r="AD1" s="1"/>
      <c r="AE1" s="1"/>
      <c r="AF1" s="1"/>
    </row>
    <row r="2" spans="1:32" ht="12.75" customHeight="1" thickBot="1" x14ac:dyDescent="0.35">
      <c r="A2" s="278">
        <f>Data!A102</f>
        <v>60</v>
      </c>
      <c r="B2" s="278" t="str">
        <f>Data!B102</f>
        <v>mA</v>
      </c>
      <c r="C2" s="114">
        <f>Data!C103</f>
        <v>6</v>
      </c>
      <c r="D2" s="114" t="str">
        <f>Data!D103</f>
        <v>mA2</v>
      </c>
      <c r="E2" s="317">
        <f>Q22</f>
        <v>-7.9940577249575556E-5</v>
      </c>
      <c r="F2" s="276">
        <f>AVERAGE(Data!E103:N103)</f>
        <v>6</v>
      </c>
      <c r="G2" s="316" t="str">
        <f>$B$2</f>
        <v>mA</v>
      </c>
      <c r="H2" s="179">
        <f>(C2+E2)-F2</f>
        <v>-7.994057724935999E-5</v>
      </c>
      <c r="I2" s="256">
        <f>L43</f>
        <v>5.7769907375310762E-3</v>
      </c>
      <c r="J2" s="320">
        <f>K42</f>
        <v>2.0084592735880396</v>
      </c>
      <c r="K2" s="278">
        <f>C2/10^3*0.28</f>
        <v>1.6800000000000003E-3</v>
      </c>
      <c r="L2" s="316" t="str">
        <f>G2</f>
        <v>mA</v>
      </c>
      <c r="M2" s="1"/>
      <c r="N2" s="1"/>
      <c r="O2" s="1"/>
      <c r="P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12.75" customHeight="1" thickBot="1" x14ac:dyDescent="0.35">
      <c r="A3" s="129"/>
      <c r="B3" s="124"/>
      <c r="C3" s="125">
        <f>Data!C104</f>
        <v>30</v>
      </c>
      <c r="D3" s="125" t="str">
        <f>Data!D104</f>
        <v>mA2</v>
      </c>
      <c r="E3" s="127">
        <f>Q23</f>
        <v>-1.5515370152083946E-4</v>
      </c>
      <c r="F3" s="276">
        <f>AVERAGE(Data!E104:N104)</f>
        <v>29.99</v>
      </c>
      <c r="G3" s="316" t="str">
        <f t="shared" ref="G3:G4" si="0">$B$2</f>
        <v>mA</v>
      </c>
      <c r="H3" s="142">
        <f t="shared" ref="H3:H6" si="1">(C3+E3)-F3</f>
        <v>9.8448462984812579E-3</v>
      </c>
      <c r="I3" s="261">
        <f>L57</f>
        <v>6.983831921344801E-3</v>
      </c>
      <c r="J3" s="321">
        <f>K56</f>
        <v>1.9856347960067433</v>
      </c>
      <c r="K3" s="129">
        <f t="shared" ref="K3" si="2">C3/10^3*0.28</f>
        <v>8.4000000000000012E-3</v>
      </c>
      <c r="L3" s="126" t="str">
        <f t="shared" ref="L3:L13" si="3">G3</f>
        <v>mA</v>
      </c>
      <c r="M3" s="1"/>
      <c r="N3" s="1"/>
      <c r="O3" s="1"/>
      <c r="P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ht="12.75" customHeight="1" thickBot="1" x14ac:dyDescent="0.35">
      <c r="A4" s="119"/>
      <c r="B4" s="120"/>
      <c r="C4" s="125">
        <f>Data!C105</f>
        <v>54</v>
      </c>
      <c r="D4" s="125" t="str">
        <f>Data!D105</f>
        <v>mA3</v>
      </c>
      <c r="E4" s="318">
        <f>Q24</f>
        <v>-9.0149253731343294E-4</v>
      </c>
      <c r="F4" s="276">
        <f>AVERAGE(Data!E105:N105)</f>
        <v>53.989999999999995</v>
      </c>
      <c r="G4" s="316" t="str">
        <f t="shared" si="0"/>
        <v>mA</v>
      </c>
      <c r="H4" s="180">
        <f t="shared" si="1"/>
        <v>9.0985074626885876E-3</v>
      </c>
      <c r="I4" s="600">
        <f>L71</f>
        <v>1.1793122922607275E-2</v>
      </c>
      <c r="J4" s="322">
        <f>K70</f>
        <v>1.9755186450016158</v>
      </c>
      <c r="K4" s="119">
        <f>C4/10^3*0.44</f>
        <v>2.376E-2</v>
      </c>
      <c r="L4" s="122" t="str">
        <f t="shared" si="3"/>
        <v>mA</v>
      </c>
      <c r="M4" s="1"/>
      <c r="N4" s="1"/>
      <c r="O4" s="1"/>
      <c r="P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ht="12.75" customHeight="1" thickBot="1" x14ac:dyDescent="0.35">
      <c r="A5" s="278">
        <f>Data!A106</f>
        <v>600</v>
      </c>
      <c r="B5" s="278" t="str">
        <f>Data!B106</f>
        <v>mA</v>
      </c>
      <c r="C5" s="270">
        <f>Data!C107</f>
        <v>60</v>
      </c>
      <c r="D5" s="270" t="str">
        <f>Data!D107</f>
        <v>mA3</v>
      </c>
      <c r="E5" s="319">
        <f>Q25</f>
        <v>-1.0447761194029852E-3</v>
      </c>
      <c r="F5" s="445">
        <f>AVERAGE(Data!E107:N107)</f>
        <v>60</v>
      </c>
      <c r="G5" s="316" t="str">
        <f>$B$5</f>
        <v>mA</v>
      </c>
      <c r="H5" s="116">
        <f t="shared" si="1"/>
        <v>-1.0447761194001259E-3</v>
      </c>
      <c r="I5" s="256">
        <f>L85</f>
        <v>5.8637578585644633E-2</v>
      </c>
      <c r="J5" s="320">
        <f>K84</f>
        <v>2.0056097474446735</v>
      </c>
      <c r="K5" s="278">
        <f>C5/10^3*0.44</f>
        <v>2.64E-2</v>
      </c>
      <c r="L5" s="311" t="str">
        <f t="shared" si="3"/>
        <v>mA</v>
      </c>
      <c r="M5" s="1"/>
      <c r="N5" s="1"/>
      <c r="O5" s="1"/>
      <c r="P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ht="12.75" customHeight="1" thickBot="1" x14ac:dyDescent="0.35">
      <c r="A6" s="144"/>
      <c r="B6" s="124"/>
      <c r="C6" s="270">
        <f>Data!C108</f>
        <v>300</v>
      </c>
      <c r="D6" s="270" t="str">
        <f>Data!D108</f>
        <v>mA3</v>
      </c>
      <c r="E6" s="131">
        <f>Q26</f>
        <v>-4.5044935600798933E-2</v>
      </c>
      <c r="F6" s="445">
        <f>AVERAGE(Data!E108:N108)</f>
        <v>300.10000000000002</v>
      </c>
      <c r="G6" s="316" t="str">
        <f t="shared" ref="G6:G7" si="4">$B$5</f>
        <v>mA</v>
      </c>
      <c r="H6" s="143">
        <f t="shared" si="1"/>
        <v>-0.1450449356008221</v>
      </c>
      <c r="I6" s="261">
        <f>L99</f>
        <v>0.15222554771289926</v>
      </c>
      <c r="J6" s="321">
        <f>K98</f>
        <v>1.9896829716547806</v>
      </c>
      <c r="K6" s="129">
        <f>C6/10^3*0.44</f>
        <v>0.13200000000000001</v>
      </c>
      <c r="L6" s="184" t="str">
        <f t="shared" si="3"/>
        <v>mA</v>
      </c>
      <c r="M6" s="1"/>
      <c r="N6" s="1"/>
      <c r="O6" s="1"/>
      <c r="P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ht="12.75" customHeight="1" thickBot="1" x14ac:dyDescent="0.35">
      <c r="A7" s="129"/>
      <c r="B7" s="124"/>
      <c r="C7" s="270">
        <f>Data!C109</f>
        <v>0.54</v>
      </c>
      <c r="D7" s="270" t="str">
        <f>Data!D109</f>
        <v>A1</v>
      </c>
      <c r="E7" s="183">
        <f t="shared" ref="E7" si="5">Q27</f>
        <v>-8.8208955223880592E-5</v>
      </c>
      <c r="F7" s="445">
        <f>AVERAGE(Data!E109:N109)</f>
        <v>540.1</v>
      </c>
      <c r="G7" s="316" t="str">
        <f t="shared" si="4"/>
        <v>mA</v>
      </c>
      <c r="H7" s="143">
        <f>(C7+E7)*1000-F7</f>
        <v>-0.18820895522389947</v>
      </c>
      <c r="I7" s="261">
        <f>L113</f>
        <v>0.48478628213998315</v>
      </c>
      <c r="J7" s="321">
        <f>K112</f>
        <v>1.9987252587301463</v>
      </c>
      <c r="K7" s="129">
        <f>C7/10^0*2.9</f>
        <v>1.5660000000000001</v>
      </c>
      <c r="L7" s="184" t="str">
        <f t="shared" si="3"/>
        <v>mA</v>
      </c>
      <c r="M7" s="1"/>
      <c r="N7" s="1"/>
      <c r="O7" s="1"/>
      <c r="P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ht="12.75" customHeight="1" thickBot="1" x14ac:dyDescent="0.35">
      <c r="A8" s="533">
        <f>Data!A110</f>
        <v>6</v>
      </c>
      <c r="B8" s="533" t="str">
        <f>Data!B110</f>
        <v>A</v>
      </c>
      <c r="C8" s="558">
        <f>Data!C111</f>
        <v>0.60000000000000009</v>
      </c>
      <c r="D8" s="558" t="str">
        <f>Data!D111</f>
        <v>A1</v>
      </c>
      <c r="E8" s="541">
        <f>Q28</f>
        <v>-9.6268656716417907E-5</v>
      </c>
      <c r="F8" s="568">
        <f>AVERAGE(Data!E111:N111)</f>
        <v>0.6</v>
      </c>
      <c r="G8" s="550" t="s">
        <v>42</v>
      </c>
      <c r="H8" s="572">
        <f>(C8+E8)-F8</f>
        <v>-9.6268656716302914E-5</v>
      </c>
      <c r="I8" s="601">
        <f>L127</f>
        <v>7.5155267396470691E-4</v>
      </c>
      <c r="J8" s="544">
        <f>K126</f>
        <v>1.9833450984617931</v>
      </c>
      <c r="K8" s="533">
        <f>C8/10^3*2.9</f>
        <v>1.74E-3</v>
      </c>
      <c r="L8" s="559" t="str">
        <f t="shared" si="3"/>
        <v>A</v>
      </c>
      <c r="M8" s="1"/>
      <c r="N8" s="1"/>
      <c r="O8" s="1"/>
      <c r="P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ht="12.75" customHeight="1" thickBot="1" x14ac:dyDescent="0.35">
      <c r="A9" s="534"/>
      <c r="B9" s="535"/>
      <c r="C9" s="558">
        <f>Data!C112</f>
        <v>3</v>
      </c>
      <c r="D9" s="558" t="str">
        <f>Data!D112</f>
        <v>A2</v>
      </c>
      <c r="E9" s="542">
        <f t="shared" ref="E9:E10" si="6">Q29</f>
        <v>-1.0794871794871795E-3</v>
      </c>
      <c r="F9" s="568">
        <f>AVERAGE(Data!E112:N112)</f>
        <v>2.9990000000000001</v>
      </c>
      <c r="G9" s="551" t="s">
        <v>42</v>
      </c>
      <c r="H9" s="573">
        <f t="shared" ref="H9:H13" si="7">(C9+E9)-F9</f>
        <v>-7.9487179487358617E-5</v>
      </c>
      <c r="I9" s="602">
        <f>L141</f>
        <v>7.8326345836128575E-3</v>
      </c>
      <c r="J9" s="545">
        <f>K140</f>
        <v>1.9863963920557863</v>
      </c>
      <c r="K9" s="534">
        <f>C9/10^3*1.3</f>
        <v>3.9000000000000003E-3</v>
      </c>
      <c r="L9" s="560" t="str">
        <f t="shared" si="3"/>
        <v>A</v>
      </c>
      <c r="M9" s="1"/>
      <c r="N9" s="1"/>
      <c r="O9" s="1"/>
      <c r="P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ht="12.75" customHeight="1" thickBot="1" x14ac:dyDescent="0.35">
      <c r="A10" s="536"/>
      <c r="B10" s="537"/>
      <c r="C10" s="558">
        <f>Data!C113</f>
        <v>5.4</v>
      </c>
      <c r="D10" s="558" t="str">
        <f>Data!D113</f>
        <v>A2</v>
      </c>
      <c r="E10" s="543">
        <f t="shared" si="6"/>
        <v>-1.0179487179487179E-3</v>
      </c>
      <c r="F10" s="568">
        <f>AVERAGE(Data!E113:N113)</f>
        <v>5.399</v>
      </c>
      <c r="G10" s="552" t="s">
        <v>42</v>
      </c>
      <c r="H10" s="574">
        <f t="shared" si="7"/>
        <v>-1.7948717948357285E-5</v>
      </c>
      <c r="I10" s="603">
        <f>L155</f>
        <v>7.8230144628505024E-3</v>
      </c>
      <c r="J10" s="546">
        <f>K154</f>
        <v>1.9864761387950982</v>
      </c>
      <c r="K10" s="536">
        <f>C10/10^3*1.3</f>
        <v>7.0200000000000002E-3</v>
      </c>
      <c r="L10" s="561" t="str">
        <f t="shared" si="3"/>
        <v>A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2" ht="12.75" customHeight="1" thickBot="1" x14ac:dyDescent="0.35">
      <c r="A11" s="533">
        <f>Data!A114</f>
        <v>10</v>
      </c>
      <c r="B11" s="533" t="str">
        <f>Data!B114</f>
        <v>A</v>
      </c>
      <c r="C11" s="562">
        <f>Data!C115</f>
        <v>1</v>
      </c>
      <c r="D11" s="562" t="str">
        <f>Data!D115</f>
        <v>A1</v>
      </c>
      <c r="E11" s="541">
        <f>Q31</f>
        <v>-1.4999999999999999E-4</v>
      </c>
      <c r="F11" s="567">
        <f>AVERAGE(Data!E115:N115)</f>
        <v>1</v>
      </c>
      <c r="G11" s="550" t="s">
        <v>42</v>
      </c>
      <c r="H11" s="569">
        <f t="shared" si="7"/>
        <v>-1.4999999999998348E-4</v>
      </c>
      <c r="I11" s="601">
        <f>L169</f>
        <v>5.7935733711246317E-3</v>
      </c>
      <c r="J11" s="544">
        <f>K168</f>
        <v>2.0078951822687832</v>
      </c>
      <c r="K11" s="533">
        <f>C11/10^3*2.9</f>
        <v>2.8999999999999998E-3</v>
      </c>
      <c r="L11" s="559" t="str">
        <f t="shared" si="3"/>
        <v>A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2" ht="12.75" customHeight="1" thickBot="1" x14ac:dyDescent="0.35">
      <c r="A12" s="534"/>
      <c r="B12" s="535"/>
      <c r="C12" s="562">
        <f>Data!C116</f>
        <v>5</v>
      </c>
      <c r="D12" s="562" t="str">
        <f>Data!D116</f>
        <v>A2</v>
      </c>
      <c r="E12" s="542">
        <f t="shared" ref="E12:E13" si="8">Q32</f>
        <v>-1.0282051282051281E-3</v>
      </c>
      <c r="F12" s="567">
        <f>AVERAGE(Data!E116:N116)</f>
        <v>5</v>
      </c>
      <c r="G12" s="551" t="s">
        <v>42</v>
      </c>
      <c r="H12" s="570">
        <f t="shared" si="7"/>
        <v>-1.0282051282048954E-3</v>
      </c>
      <c r="I12" s="602">
        <f>L183</f>
        <v>9.7069355486622891E-3</v>
      </c>
      <c r="J12" s="545">
        <f>K182</f>
        <v>1.977089296877911</v>
      </c>
      <c r="K12" s="534">
        <f t="shared" ref="K12:K13" si="9">C12/10^3*1.3</f>
        <v>6.5000000000000006E-3</v>
      </c>
      <c r="L12" s="560" t="str">
        <f t="shared" si="3"/>
        <v>A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2" ht="12.75" customHeight="1" thickBot="1" x14ac:dyDescent="0.35">
      <c r="A13" s="536"/>
      <c r="B13" s="537"/>
      <c r="C13" s="562">
        <f>Data!C117</f>
        <v>9</v>
      </c>
      <c r="D13" s="562" t="str">
        <f>Data!D117</f>
        <v>A2</v>
      </c>
      <c r="E13" s="543">
        <f t="shared" si="8"/>
        <v>-9.2564102564102549E-4</v>
      </c>
      <c r="F13" s="567">
        <f>AVERAGE(Data!E117:N117)</f>
        <v>9</v>
      </c>
      <c r="G13" s="552" t="s">
        <v>42</v>
      </c>
      <c r="H13" s="571">
        <f t="shared" si="7"/>
        <v>-9.2564102564018924E-4</v>
      </c>
      <c r="I13" s="603">
        <f>L197</f>
        <v>9.7127535363219584E-3</v>
      </c>
      <c r="J13" s="546">
        <f>K196</f>
        <v>1.9770642942002981</v>
      </c>
      <c r="K13" s="536">
        <f t="shared" si="9"/>
        <v>1.17E-2</v>
      </c>
      <c r="L13" s="561" t="str">
        <f t="shared" si="3"/>
        <v>A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2" ht="12.75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2" ht="12.75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2" ht="12.75" customHeight="1" x14ac:dyDescent="0.3">
      <c r="A16" s="284" t="s">
        <v>550</v>
      </c>
      <c r="B16" s="12"/>
      <c r="C16" s="12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ht="12.75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ht="12.75" customHeight="1" x14ac:dyDescent="0.3">
      <c r="A18" s="48" t="s">
        <v>48</v>
      </c>
      <c r="B18" s="48"/>
      <c r="C18" s="56" t="s">
        <v>49</v>
      </c>
      <c r="D18" s="288" t="s">
        <v>552</v>
      </c>
      <c r="E18" s="48"/>
      <c r="F18" s="48"/>
      <c r="G18" s="48"/>
      <c r="H18" s="48"/>
      <c r="I18" s="48"/>
      <c r="J18" s="48"/>
      <c r="K18" s="48"/>
      <c r="L18" s="48"/>
      <c r="M18" s="1"/>
      <c r="N18" s="1"/>
      <c r="O18" s="1"/>
      <c r="P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ht="12.75" customHeight="1" x14ac:dyDescent="0.3">
      <c r="A19" s="48" t="s">
        <v>50</v>
      </c>
      <c r="B19" s="48"/>
      <c r="C19" s="56" t="s">
        <v>49</v>
      </c>
      <c r="D19" s="48" t="s">
        <v>51</v>
      </c>
      <c r="E19" s="48"/>
      <c r="F19" s="48"/>
      <c r="G19" s="48"/>
      <c r="H19" s="48"/>
      <c r="I19" s="48"/>
      <c r="J19" s="48"/>
      <c r="K19" s="48"/>
      <c r="L19" s="48"/>
      <c r="M19" s="1"/>
      <c r="N19" s="1"/>
      <c r="O19" s="1"/>
      <c r="P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ht="12.75" customHeight="1" x14ac:dyDescent="0.3">
      <c r="A20" s="48"/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1"/>
      <c r="N20" s="1"/>
      <c r="O20" s="1"/>
      <c r="P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ht="12.75" customHeight="1" x14ac:dyDescent="0.3">
      <c r="A21" s="840" t="s">
        <v>52</v>
      </c>
      <c r="B21" s="807"/>
      <c r="C21" s="807"/>
      <c r="D21" s="807"/>
      <c r="E21" s="8" t="s">
        <v>53</v>
      </c>
      <c r="F21" s="8"/>
      <c r="G21" s="8"/>
      <c r="H21" s="8"/>
      <c r="I21" s="8"/>
      <c r="J21" s="8"/>
      <c r="K21" s="8"/>
      <c r="L21" s="8"/>
      <c r="M21" s="285" t="s">
        <v>551</v>
      </c>
      <c r="N21" s="1"/>
      <c r="O21" s="841" t="s">
        <v>54</v>
      </c>
      <c r="P21" s="794"/>
      <c r="Q21" s="377">
        <v>45506</v>
      </c>
      <c r="R21" s="145">
        <v>44655</v>
      </c>
      <c r="S21" s="132">
        <v>43854</v>
      </c>
      <c r="T21" s="57">
        <v>43283</v>
      </c>
      <c r="U21" s="555" t="s">
        <v>55</v>
      </c>
      <c r="V21" s="553" t="s">
        <v>626</v>
      </c>
      <c r="W21" s="1"/>
      <c r="X21" s="848" t="s">
        <v>1</v>
      </c>
      <c r="Y21" s="780"/>
      <c r="Z21" s="96" t="s">
        <v>56</v>
      </c>
      <c r="AA21" s="376" t="s">
        <v>555</v>
      </c>
      <c r="AB21" s="96" t="s">
        <v>338</v>
      </c>
      <c r="AC21" s="96" t="s">
        <v>339</v>
      </c>
      <c r="AD21" s="96" t="s">
        <v>340</v>
      </c>
      <c r="AE21" s="376" t="s">
        <v>556</v>
      </c>
      <c r="AF21" s="1"/>
    </row>
    <row r="22" spans="1:32" ht="12.75" customHeight="1" x14ac:dyDescent="0.3">
      <c r="A22" s="842" t="s">
        <v>60</v>
      </c>
      <c r="B22" s="809"/>
      <c r="C22" s="809"/>
      <c r="D22" s="809"/>
      <c r="E22" s="48" t="s">
        <v>61</v>
      </c>
      <c r="F22" s="48"/>
      <c r="G22" s="48"/>
      <c r="H22" s="48"/>
      <c r="I22" s="48"/>
      <c r="J22" s="48"/>
      <c r="K22" s="48"/>
      <c r="L22" s="48"/>
      <c r="M22" s="61"/>
      <c r="N22" s="1"/>
      <c r="O22" s="62">
        <f t="shared" ref="O22:P27" si="10">C2</f>
        <v>6</v>
      </c>
      <c r="P22" s="146" t="str">
        <f t="shared" si="10"/>
        <v>mA2</v>
      </c>
      <c r="Q22" s="393" cm="1">
        <f t="array" ref="Q22">IFERROR(
_xlfn.FORECAST.LINEAR(
O22,
INDEX($AA$22:$AA$55,
MATCH(1,
($Z$22:$Z$55&lt;=O22)*($AA$22:$AA$55&lt;&gt;"x")*($Y$22:$Y$55=P22),
0)
):
INDEX($AA$22:$AA$55,
MATCH(1,
($Z$22:$Z$55&gt;=O22)*($AA$22:$AA$55&lt;&gt;"x")*($Y$22:$Y$55=P22),
0)
),
INDEX($Z$22:$Z$55,
MATCH(1,
($Z$22:$Z$55&lt;=O22)*($AA$22:$AA$55&lt;&gt;"x")*($Y$22:$Y$55=P22),
0)
):
INDEX($Z$22:$Z$55,
MATCH(1,
($Z$22:$Z$55&gt;=O22)*($AA$22:$AA$55&lt;&gt;"x")*($Y$22:$Y$55=P22),
0)
)
),INDEX($AA$22:$AA$55,
MATCH(
MIN(IF(($AA$22:$AA$55&lt;&gt;"x")*($Y$22:$Y$55=P22),ABS($Z$22:$Z$55-O22))),
IF(($AA$22:$AA$55&lt;&gt;"x")*($Y$22:$Y$55=P22),ABS($Z$22:$Z$55-O22)),
0
)))</f>
        <v>-7.9940577249575556E-5</v>
      </c>
      <c r="R22" s="393" cm="1">
        <f t="array" ref="R22">IFERROR(
_xlfn.FORECAST.LINEAR(
O22,
INDEX($AB$22:$AB$55,
MATCH(1,
($Z$22:$Z$55&lt;=O22)*($AB$22:$AB$55&lt;&gt;"x")*($Y$22:$Y$55=P22),
0)
):
INDEX($AB$22:$AB$55,
MATCH(1,
($Z$22:$Z$55&gt;=O22)*($AB$22:$AB$55&lt;&gt;"x")*($Y$22:$Y$55=P22),
0)
),
INDEX($Z$22:$Z$55,
MATCH(1,
($Z$22:$Z$55&lt;=O22)*($AB$22:$AB$55&lt;&gt;"x")*($Y$22:$Y$55=P22),
0)
):
INDEX($Z$22:$Z$55,
MATCH(1,
($Z$22:$Z$55&gt;=O22)*($AB$22:$AB$55&lt;&gt;"x")*($Y$22:$Y$55=P22),
0)
)
),INDEX($AB$22:$AB$55,
MATCH(
MIN(IF(($AB$22:$AB$55&lt;&gt;"x")*($Y$22:$Y$55=P22),ABS($Z$22:$Z$55-O22))),
IF(($AB$22:$AB$55&lt;&gt;"x")*($Y$22:$Y$55=P22),ABS($Z$22:$Z$55-O22)),
0
)))</f>
        <v>-4.000000000000001E-5</v>
      </c>
      <c r="S22" s="393" cm="1">
        <f t="array" ref="S22">IFERROR(
_xlfn.FORECAST.LINEAR(
O22,
INDEX($AC$22:$AC$55,
MATCH(1,
($Z$22:$Z$55&lt;=O22)*($AC$22:$AC$55&lt;&gt;"x")*($Y$22:$Y$55=P22),
0)
):
INDEX($AC$22:$AC$55,
MATCH(1,
($Z$22:$Z$55&gt;=O22)*($AC$22:$AC$55&lt;&gt;"x")*($Y$22:$Y$55=P22),
0)
),
INDEX($Z$22:$Z$55,
MATCH(1,
($Z$22:$Z$55&lt;=O22)*($AC$22:$AC$55&lt;&gt;"x")*($Y$22:$Y$55=P22),
0)
):
INDEX($Z$22:$Z$55,
MATCH(1,
($Z$22:$Z$55&gt;=O22)*($AC$22:$AC$55&lt;&gt;"x")*($Y$22:$Y$55=P22),
0)
)
),INDEX($AC$22:$AC$55,
MATCH(
MIN(IF(($AC$22:$AC$55&lt;&gt;"x")*($Y$22:$Y$55=P22),ABS($Z$22:$Z$55-O22))),
IF(($AC$22:$AC$55&lt;&gt;"x")*($Y$22:$Y$55=P22),ABS($Z$22:$Z$55-O22)),
0
)))</f>
        <v>-1.0000000000000002E-4</v>
      </c>
      <c r="T22" s="393" cm="1">
        <f t="array" ref="T22">IFERROR(
_xlfn.FORECAST.LINEAR(
O22,
INDEX($AD$22:$AD$55,
MATCH(1,
($Z$22:$Z$55&lt;=O22)*($AD$22:$AD$55&lt;&gt;"x")*($Y$22:$Y$55=P22),
0)
):
INDEX($AD$22:$AD$55,
MATCH(1,
($Z$22:$Z$55&gt;=O22)*($AD$22:$AD$55&lt;&gt;"x")*($Y$22:$Y$55=P22),
0)
),
INDEX($Z$22:$Z$55,
MATCH(1,
($Z$22:$Z$55&lt;=O22)*($AD$22:$AD$55&lt;&gt;"x")*($Y$22:$Y$55=P22),
0)
):
INDEX($Z$22:$Z$55,
MATCH(1,
($Z$22:$Z$55&gt;=O22)*($AD$22:$AD$55&lt;&gt;"x")*($Y$22:$Y$55=P22),
0)
)
),INDEX($AD$22:$AD$55,
MATCH(
MIN(IF(($AD$22:$AD$55&lt;&gt;"x")*($Y$22:$Y$55=P22),ABS($Z$22:$Z$55-O22))),
IF(($AD$22:$AD$55&lt;&gt;"x")*($Y$22:$Y$55=P22),ABS($Z$22:$Z$55-O22)),
0
)))</f>
        <v>-4.000000000000001E-5</v>
      </c>
      <c r="U22" s="556">
        <f>((((ABS(Q22-R22)/(Q$21-R$21))+(ABS(R22-S22)/(R$21-S$21))+(ABS(S22-T22)/(S$21-T$21)))/3)*(((Q$21-R$21)+(R$21-S$21)+(S$21-T$21))/3))</f>
        <v>5.6048961987582064E-5</v>
      </c>
      <c r="V22" s="553">
        <f>AE34</f>
        <v>1.9000000000000001E-4</v>
      </c>
      <c r="W22" s="1"/>
      <c r="X22" s="65">
        <v>3.2999900000000002</v>
      </c>
      <c r="Y22" s="66" t="s">
        <v>662</v>
      </c>
      <c r="Z22" s="67">
        <v>0</v>
      </c>
      <c r="AA22" s="66">
        <f>1000*0.0000033</f>
        <v>3.3E-3</v>
      </c>
      <c r="AB22" s="66">
        <v>-1E-4</v>
      </c>
      <c r="AC22" s="66" t="s">
        <v>637</v>
      </c>
      <c r="AD22" s="66" t="s">
        <v>637</v>
      </c>
      <c r="AE22" s="66">
        <f>1000*0.0000014</f>
        <v>1.4E-3</v>
      </c>
      <c r="AF22" s="1" t="s">
        <v>40</v>
      </c>
    </row>
    <row r="23" spans="1:32" ht="12.75" customHeight="1" x14ac:dyDescent="0.3">
      <c r="A23" s="842" t="s">
        <v>62</v>
      </c>
      <c r="B23" s="809"/>
      <c r="C23" s="809"/>
      <c r="D23" s="809"/>
      <c r="E23" s="48" t="s">
        <v>63</v>
      </c>
      <c r="F23" s="48"/>
      <c r="G23" s="48"/>
      <c r="H23" s="48"/>
      <c r="I23" s="48"/>
      <c r="J23" s="48"/>
      <c r="K23" s="48"/>
      <c r="L23" s="48"/>
      <c r="M23" s="61"/>
      <c r="N23" s="1"/>
      <c r="O23" s="62">
        <f t="shared" si="10"/>
        <v>30</v>
      </c>
      <c r="P23" s="146" t="str">
        <f t="shared" si="10"/>
        <v>mA2</v>
      </c>
      <c r="Q23" s="393" cm="1">
        <f t="array" ref="Q23">IFERROR(
_xlfn.FORECAST.LINEAR(
O23,
INDEX($AA$22:$AA$55,
MATCH(1,
($Z$22:$Z$55&lt;=O23)*($AA$22:$AA$55&lt;&gt;"x")*($Y$22:$Y$55=P23),
0)
):
INDEX($AA$22:$AA$55,
MATCH(1,
($Z$22:$Z$55&gt;=O23)*($AA$22:$AA$55&lt;&gt;"x")*($Y$22:$Y$55=P23),
0)
),
INDEX($Z$22:$Z$55,
MATCH(1,
($Z$22:$Z$55&lt;=O23)*($AA$22:$AA$55&lt;&gt;"x")*($Y$22:$Y$55=P23),
0)
):
INDEX($Z$22:$Z$55,
MATCH(1,
($Z$22:$Z$55&gt;=O23)*($AA$22:$AA$55&lt;&gt;"x")*($Y$22:$Y$55=P23),
0)
)
),INDEX($AA$22:$AA$55,
MATCH(
MIN(IF(($AA$22:$AA$55&lt;&gt;"x")*($Y$22:$Y$55=P23),ABS($Z$22:$Z$55-O23))),
IF(($AA$22:$AA$55&lt;&gt;"x")*($Y$22:$Y$55=P23),ABS($Z$22:$Z$55-O23)),
0
)))</f>
        <v>-1.5515370152083946E-4</v>
      </c>
      <c r="R23" s="393" cm="1">
        <f t="array" ref="R23">IFERROR(
_xlfn.FORECAST.LINEAR(
O23,
INDEX($AB$22:$AB$55,
MATCH(1,
($Z$22:$Z$55&lt;=O23)*($AB$22:$AB$55&lt;&gt;"x")*($Y$22:$Y$55=P23),
0)
):
INDEX($AB$22:$AB$55,
MATCH(1,
($Z$22:$Z$55&gt;=O23)*($AB$22:$AB$55&lt;&gt;"x")*($Y$22:$Y$55=P23),
0)
),
INDEX($Z$22:$Z$55,
MATCH(1,
($Z$22:$Z$55&lt;=O23)*($AB$22:$AB$55&lt;&gt;"x")*($Y$22:$Y$55=P23),
0)
):
INDEX($Z$22:$Z$55,
MATCH(1,
($Z$22:$Z$55&gt;=O23)*($AB$22:$AB$55&lt;&gt;"x")*($Y$22:$Y$55=P23),
0)
)
),INDEX($AB$22:$AB$55,
MATCH(
MIN(IF(($AB$22:$AB$55&lt;&gt;"x")*($Y$22:$Y$55=P23),ABS($Z$22:$Z$55-O23))),
IF(($AB$22:$AB$55&lt;&gt;"x")*($Y$22:$Y$55=P23),ABS($Z$22:$Z$55-O23)),
0
)))</f>
        <v>-1E-4</v>
      </c>
      <c r="S23" s="64">
        <f t="shared" ref="S23" si="11">AC39</f>
        <v>-1.8E-3</v>
      </c>
      <c r="T23" s="393" cm="1">
        <f t="array" ref="T23">IFERROR(
_xlfn.FORECAST.LINEAR(
O23,
INDEX($AD$22:$AD$55,
MATCH(1,
($Z$22:$Z$55&lt;=O23)*($AD$22:$AD$55&lt;&gt;"x")*($Y$22:$Y$55=P23),
0)
):
INDEX($AD$22:$AD$55,
MATCH(1,
($Z$22:$Z$55&gt;=O23)*($AD$22:$AD$55&lt;&gt;"x")*($Y$22:$Y$55=P23),
0)
),
INDEX($Z$22:$Z$55,
MATCH(1,
($Z$22:$Z$55&lt;=O23)*($AD$22:$AD$55&lt;&gt;"x")*($Y$22:$Y$55=P23),
0)
):
INDEX($Z$22:$Z$55,
MATCH(1,
($Z$22:$Z$55&gt;=O23)*($AD$22:$AD$55&lt;&gt;"x")*($Y$22:$Y$55=P23),
0)
)
),INDEX($AD$22:$AD$55,
MATCH(
MIN(IF(($AD$22:$AD$55&lt;&gt;"x")*($Y$22:$Y$55=P23),ABS($Z$22:$Z$55-O23))),
IF(($AD$22:$AD$55&lt;&gt;"x")*($Y$22:$Y$55=P23),ABS($Z$22:$Z$55-O23)),
0
)))</f>
        <v>-4.0000000000000002E-4</v>
      </c>
      <c r="U23" s="556">
        <f t="shared" ref="U23:U33" si="12">((((ABS(Q23-R23)/(Q$21-R$21))+(ABS(R23-S23)/(R$21-S$21))+(ABS(S23-T23)/(S$21-T$21)))/3)*(((Q$21-R$21)+(R$21-S$21)+(S$21-T$21))/3))</f>
        <v>1.1458321121333437E-3</v>
      </c>
      <c r="V23" s="553">
        <f>AE40</f>
        <v>3.7000000000000002E-3</v>
      </c>
      <c r="W23" s="1"/>
      <c r="X23" s="69"/>
      <c r="Y23" s="66" t="s">
        <v>662</v>
      </c>
      <c r="Z23" s="72">
        <v>20</v>
      </c>
      <c r="AA23" s="61">
        <f>1000*0.0000027</f>
        <v>2.7000000000000001E-3</v>
      </c>
      <c r="AB23" s="72">
        <v>5.0000000000000001E-3</v>
      </c>
      <c r="AC23" s="72">
        <v>4.7999999999999996E-3</v>
      </c>
      <c r="AD23" s="72">
        <v>4.4000000000000003E-3</v>
      </c>
      <c r="AE23" s="61">
        <f>1000*0.0000015</f>
        <v>1.5E-3</v>
      </c>
      <c r="AF23" s="1"/>
    </row>
    <row r="24" spans="1:32" ht="12.75" customHeight="1" x14ac:dyDescent="0.3">
      <c r="A24" s="71" t="s">
        <v>64</v>
      </c>
      <c r="B24" s="48"/>
      <c r="C24" s="48"/>
      <c r="D24" s="56" t="s">
        <v>49</v>
      </c>
      <c r="E24" s="48" t="s">
        <v>341</v>
      </c>
      <c r="F24" s="4" t="s">
        <v>66</v>
      </c>
      <c r="G24" s="1"/>
      <c r="H24" s="48"/>
      <c r="I24" s="48"/>
      <c r="J24" s="48"/>
      <c r="K24" s="48"/>
      <c r="L24" s="48"/>
      <c r="M24" s="61"/>
      <c r="N24" s="1"/>
      <c r="O24" s="100">
        <f t="shared" si="10"/>
        <v>54</v>
      </c>
      <c r="P24" s="146" t="str">
        <f t="shared" si="10"/>
        <v>mA3</v>
      </c>
      <c r="Q24" s="393" cm="1">
        <f t="array" ref="Q24">IFERROR(
_xlfn.FORECAST.LINEAR(
O24,
INDEX($AA$22:$AA$55,
MATCH(1,
($Z$22:$Z$55&lt;=O24)*($AA$22:$AA$55&lt;&gt;"x")*($Y$22:$Y$55=P24),
0)
):
INDEX($AA$22:$AA$55,
MATCH(1,
($Z$22:$Z$55&gt;=O24)*($AA$22:$AA$55&lt;&gt;"x")*($Y$22:$Y$55=P24),
0)
),
INDEX($Z$22:$Z$55,
MATCH(1,
($Z$22:$Z$55&lt;=O24)*($AA$22:$AA$55&lt;&gt;"x")*($Y$22:$Y$55=P24),
0)
):
INDEX($Z$22:$Z$55,
MATCH(1,
($Z$22:$Z$55&gt;=O24)*($AA$22:$AA$55&lt;&gt;"x")*($Y$22:$Y$55=P24),
0)
)
),INDEX($AA$22:$AA$55,
MATCH(
MIN(IF(($AA$22:$AA$55&lt;&gt;"x")*($Y$22:$Y$55=P24),ABS($Z$22:$Z$55-O24))),
IF(($AA$22:$AA$55&lt;&gt;"x")*($Y$22:$Y$55=P24),ABS($Z$22:$Z$55-O24)),
0
)))</f>
        <v>-9.0149253731343294E-4</v>
      </c>
      <c r="R24" s="393" cm="1">
        <f t="array" ref="R24">IFERROR(
_xlfn.FORECAST.LINEAR(
O24,
INDEX($AB$22:$AB$55,
MATCH(1,
($Z$22:$Z$55&lt;=O24)*($AB$22:$AB$55&lt;&gt;"x")*($Y$22:$Y$55=P24),
0)
):
INDEX($AB$22:$AB$55,
MATCH(1,
($Z$22:$Z$55&gt;=O24)*($AB$22:$AB$55&lt;&gt;"x")*($Y$22:$Y$55=P24),
0)
),
INDEX($Z$22:$Z$55,
MATCH(1,
($Z$22:$Z$55&lt;=O24)*($AB$22:$AB$55&lt;&gt;"x")*($Y$22:$Y$55=P24),
0)
):
INDEX($Z$22:$Z$55,
MATCH(1,
($Z$22:$Z$55&gt;=O24)*($AB$22:$AB$55&lt;&gt;"x")*($Y$22:$Y$55=P24),
0)
)
),INDEX($AB$22:$AB$55,
MATCH(
MIN(IF(($AB$22:$AB$55&lt;&gt;"x")*($Y$22:$Y$55=P24),ABS($Z$22:$Z$55-O24))),
IF(($AB$22:$AB$55&lt;&gt;"x")*($Y$22:$Y$55=P24),ABS($Z$22:$Z$55-O24)),
0
)))</f>
        <v>-1.1000000000000001E-3</v>
      </c>
      <c r="S24" s="64">
        <f>AC42</f>
        <v>-9.5999999999999992E-3</v>
      </c>
      <c r="T24" s="393" cm="1">
        <f t="array" ref="T24">IFERROR(
_xlfn.FORECAST.LINEAR(
O24,
INDEX($AD$22:$AD$55,
MATCH(1,
($Z$22:$Z$55&lt;=O24)*($AD$22:$AD$55&lt;&gt;"x")*($Y$22:$Y$55=P24),
0)
):
INDEX($AD$22:$AD$55,
MATCH(1,
($Z$22:$Z$55&gt;=O24)*($AD$22:$AD$55&lt;&gt;"x")*($Y$22:$Y$55=P24),
0)
),
INDEX($Z$22:$Z$55,
MATCH(1,
($Z$22:$Z$55&lt;=O24)*($AD$22:$AD$55&lt;&gt;"x")*($Y$22:$Y$55=P24),
0)
):
INDEX($Z$22:$Z$55,
MATCH(1,
($Z$22:$Z$55&gt;=O24)*($AD$22:$AD$55&lt;&gt;"x")*($Y$22:$Y$55=P24),
0)
)
),INDEX($AD$22:$AD$55,
MATCH(
MIN(IF(($AD$22:$AD$55&lt;&gt;"x")*($Y$22:$Y$55=P24),ABS($Z$22:$Z$55-O24))),
IF(($AD$22:$AD$55&lt;&gt;"x")*($Y$22:$Y$55=P24),ABS($Z$22:$Z$55-O24)),
0
)))</f>
        <v>-8.9999999999999998E-4</v>
      </c>
      <c r="U24" s="556">
        <f t="shared" si="12"/>
        <v>6.4421123244471504E-3</v>
      </c>
      <c r="V24" s="553">
        <f>AE42</f>
        <v>7.1000000000000004E-3</v>
      </c>
      <c r="W24" s="1"/>
      <c r="X24" s="69"/>
      <c r="Y24" s="66" t="s">
        <v>662</v>
      </c>
      <c r="Z24" s="135">
        <v>100</v>
      </c>
      <c r="AA24" s="61">
        <f>1000*0.0000013</f>
        <v>1.2999999999999999E-3</v>
      </c>
      <c r="AB24" s="61">
        <v>4.0000000000000001E-3</v>
      </c>
      <c r="AC24" s="61">
        <v>3.0000000000000001E-3</v>
      </c>
      <c r="AD24" s="61">
        <v>4.0000000000000001E-3</v>
      </c>
      <c r="AE24" s="61">
        <f>1000*0.0000025</f>
        <v>2.5000000000000001E-3</v>
      </c>
      <c r="AF24" s="1"/>
    </row>
    <row r="25" spans="1:32" ht="12.75" customHeight="1" x14ac:dyDescent="0.3">
      <c r="A25" s="71"/>
      <c r="B25" s="48"/>
      <c r="C25" s="48"/>
      <c r="D25" s="56" t="s">
        <v>49</v>
      </c>
      <c r="E25" s="48" t="s">
        <v>342</v>
      </c>
      <c r="F25" s="48"/>
      <c r="G25" s="48"/>
      <c r="H25" s="48"/>
      <c r="I25" s="48"/>
      <c r="J25" s="48"/>
      <c r="K25" s="48"/>
      <c r="L25" s="48"/>
      <c r="M25" s="61"/>
      <c r="N25" s="1"/>
      <c r="O25" s="100">
        <f t="shared" si="10"/>
        <v>60</v>
      </c>
      <c r="P25" s="63" t="str">
        <f t="shared" si="10"/>
        <v>mA3</v>
      </c>
      <c r="Q25" s="393" cm="1">
        <f t="array" ref="Q25">IFERROR(
_xlfn.FORECAST.LINEAR(
O25,
INDEX($AA$22:$AA$55,
MATCH(1,
($Z$22:$Z$55&lt;=O25)*($AA$22:$AA$55&lt;&gt;"x")*($Y$22:$Y$55=P25),
0)
):
INDEX($AA$22:$AA$55,
MATCH(1,
($Z$22:$Z$55&gt;=O25)*($AA$22:$AA$55&lt;&gt;"x")*($Y$22:$Y$55=P25),
0)
),
INDEX($Z$22:$Z$55,
MATCH(1,
($Z$22:$Z$55&lt;=O25)*($AA$22:$AA$55&lt;&gt;"x")*($Y$22:$Y$55=P25),
0)
):
INDEX($Z$22:$Z$55,
MATCH(1,
($Z$22:$Z$55&gt;=O25)*($AA$22:$AA$55&lt;&gt;"x")*($Y$22:$Y$55=P25),
0)
)
),INDEX($AA$22:$AA$55,
MATCH(
MIN(IF(($AA$22:$AA$55&lt;&gt;"x")*($Y$22:$Y$55=P25),ABS($Z$22:$Z$55-O25))),
IF(($AA$22:$AA$55&lt;&gt;"x")*($Y$22:$Y$55=P25),ABS($Z$22:$Z$55-O25)),
0
)))</f>
        <v>-1.0447761194029852E-3</v>
      </c>
      <c r="R25" s="393" cm="1">
        <f t="array" ref="R25">IFERROR(
_xlfn.FORECAST.LINEAR(
O25,
INDEX($AB$22:$AB$55,
MATCH(1,
($Z$22:$Z$55&lt;=O25)*($AB$22:$AB$55&lt;&gt;"x")*($Y$22:$Y$55=P25),
0)
):
INDEX($AB$22:$AB$55,
MATCH(1,
($Z$22:$Z$55&gt;=O25)*($AB$22:$AB$55&lt;&gt;"x")*($Y$22:$Y$55=P25),
0)
),
INDEX($Z$22:$Z$55,
MATCH(1,
($Z$22:$Z$55&lt;=O25)*($AB$22:$AB$55&lt;&gt;"x")*($Y$22:$Y$55=P25),
0)
):
INDEX($Z$22:$Z$55,
MATCH(1,
($Z$22:$Z$55&gt;=O25)*($AB$22:$AB$55&lt;&gt;"x")*($Y$22:$Y$55=P25),
0)
)
),INDEX($AB$22:$AB$55,
MATCH(
MIN(IF(($AB$22:$AB$55&lt;&gt;"x")*($Y$22:$Y$55=P25),ABS($Z$22:$Z$55-O25))),
IF(($AB$22:$AB$55&lt;&gt;"x")*($Y$22:$Y$55=P25),ABS($Z$22:$Z$55-O25)),
0
)))</f>
        <v>-1.1000000000000001E-3</v>
      </c>
      <c r="S25" s="64">
        <f>AC42</f>
        <v>-9.5999999999999992E-3</v>
      </c>
      <c r="T25" s="393" cm="1">
        <f t="array" ref="T25">IFERROR(
_xlfn.FORECAST.LINEAR(
O25,
INDEX($AD$22:$AD$55,
MATCH(1,
($Z$22:$Z$55&lt;=O25)*($AD$22:$AD$55&lt;&gt;"x")*($Y$22:$Y$55=P25),
0)
):
INDEX($AD$22:$AD$55,
MATCH(1,
($Z$22:$Z$55&gt;=O25)*($AD$22:$AD$55&lt;&gt;"x")*($Y$22:$Y$55=P25),
0)
),
INDEX($Z$22:$Z$55,
MATCH(1,
($Z$22:$Z$55&lt;=O25)*($AD$22:$AD$55&lt;&gt;"x")*($Y$22:$Y$55=P25),
0)
):
INDEX($Z$22:$Z$55,
MATCH(1,
($Z$22:$Z$55&gt;=O25)*($AD$22:$AD$55&lt;&gt;"x")*($Y$22:$Y$55=P25),
0)
)
),INDEX($AD$22:$AD$55,
MATCH(
MIN(IF(($AD$22:$AD$55&lt;&gt;"x")*($Y$22:$Y$55=P25),ABS($Z$22:$Z$55-O25))),
IF(($AD$22:$AD$55&lt;&gt;"x")*($Y$22:$Y$55=P25),ABS($Z$22:$Z$55-O25)),
0
)))</f>
        <v>-8.9999999999999998E-4</v>
      </c>
      <c r="U25" s="556">
        <f t="shared" si="12"/>
        <v>6.4005247277654593E-3</v>
      </c>
      <c r="V25" s="553">
        <f>AE42</f>
        <v>7.1000000000000004E-3</v>
      </c>
      <c r="W25" s="1"/>
      <c r="X25" s="69"/>
      <c r="Y25" s="66" t="s">
        <v>662</v>
      </c>
      <c r="Z25" s="135">
        <v>180</v>
      </c>
      <c r="AA25" s="61">
        <f>1000*-0.0000005</f>
        <v>-5.0000000000000001E-4</v>
      </c>
      <c r="AB25" s="61">
        <v>2E-3</v>
      </c>
      <c r="AC25" s="61">
        <v>2E-3</v>
      </c>
      <c r="AD25" s="61">
        <v>5.0000000000000001E-3</v>
      </c>
      <c r="AE25" s="61">
        <f>1000*0.0000034</f>
        <v>3.4000000000000002E-3</v>
      </c>
      <c r="AF25" s="1"/>
    </row>
    <row r="26" spans="1:32" ht="12.75" customHeight="1" x14ac:dyDescent="0.3">
      <c r="A26" s="71"/>
      <c r="B26" s="48"/>
      <c r="C26" s="48"/>
      <c r="D26" s="48"/>
      <c r="E26" s="251" t="s">
        <v>68</v>
      </c>
      <c r="F26" s="48" t="s">
        <v>343</v>
      </c>
      <c r="G26" s="48"/>
      <c r="H26" s="48"/>
      <c r="I26" s="48"/>
      <c r="J26" s="48"/>
      <c r="K26" s="48"/>
      <c r="L26" s="48"/>
      <c r="M26" s="61"/>
      <c r="N26" s="1"/>
      <c r="O26" s="100">
        <f t="shared" si="10"/>
        <v>300</v>
      </c>
      <c r="P26" s="63" t="str">
        <f t="shared" si="10"/>
        <v>mA3</v>
      </c>
      <c r="Q26" s="393" cm="1">
        <f t="array" ref="Q26">IFERROR(
_xlfn.FORECAST.LINEAR(
O26,
INDEX($AA$22:$AA$55,
MATCH(1,
($Z$22:$Z$55&lt;=O26)*($AA$22:$AA$55&lt;&gt;"x")*($Y$22:$Y$55=P26),
0)
):
INDEX($AA$22:$AA$55,
MATCH(1,
($Z$22:$Z$55&gt;=O26)*($AA$22:$AA$55&lt;&gt;"x")*($Y$22:$Y$55=P26),
0)
),
INDEX($Z$22:$Z$55,
MATCH(1,
($Z$22:$Z$55&lt;=O26)*($AA$22:$AA$55&lt;&gt;"x")*($Y$22:$Y$55=P26),
0)
):
INDEX($Z$22:$Z$55,
MATCH(1,
($Z$22:$Z$55&gt;=O26)*($AA$22:$AA$55&lt;&gt;"x")*($Y$22:$Y$55=P26),
0)
)
),INDEX($AA$22:$AA$55,
MATCH(
MIN(IF(($AA$22:$AA$55&lt;&gt;"x")*($Y$22:$Y$55=P26),ABS($Z$22:$Z$55-O26))),
IF(($AA$22:$AA$55&lt;&gt;"x")*($Y$22:$Y$55=P26),ABS($Z$22:$Z$55-O26)),
0
)))</f>
        <v>-4.5044935600798933E-2</v>
      </c>
      <c r="R26" s="393" cm="1">
        <f t="array" ref="R26">IFERROR(
_xlfn.FORECAST.LINEAR(
O26,
INDEX($AB$22:$AB$55,
MATCH(1,
($Z$22:$Z$55&lt;=O26)*($AB$22:$AB$55&lt;&gt;"x")*($Y$22:$Y$55=P26),
0)
):
INDEX($AB$22:$AB$55,
MATCH(1,
($Z$22:$Z$55&gt;=O26)*($AB$22:$AB$55&lt;&gt;"x")*($Y$22:$Y$55=P26),
0)
),
INDEX($Z$22:$Z$55,
MATCH(1,
($Z$22:$Z$55&lt;=O26)*($AB$22:$AB$55&lt;&gt;"x")*($Y$22:$Y$55=P26),
0)
):
INDEX($Z$22:$Z$55,
MATCH(1,
($Z$22:$Z$55&gt;=O26)*($AB$22:$AB$55&lt;&gt;"x")*($Y$22:$Y$55=P26),
0)
)
),INDEX($AB$22:$AB$55,
MATCH(
MIN(IF(($AB$22:$AB$55&lt;&gt;"x")*($Y$22:$Y$55=P26),ABS($Z$22:$Z$55-O26))),
IF(($AB$22:$AB$55&lt;&gt;"x")*($Y$22:$Y$55=P26),ABS($Z$22:$Z$55-O26)),
0
)))</f>
        <v>-1.4E-2</v>
      </c>
      <c r="S26" s="64">
        <f>AC44</f>
        <v>-1.7000000000000001E-2</v>
      </c>
      <c r="T26" s="393" cm="1">
        <f t="array" ref="T26">IFERROR(
_xlfn.FORECAST.LINEAR(
O26,
INDEX($AD$22:$AD$55,
MATCH(1,
($Z$22:$Z$55&lt;=O26)*($AD$22:$AD$55&lt;&gt;"x")*($Y$22:$Y$55=P26),
0)
):
INDEX($AD$22:$AD$55,
MATCH(1,
($Z$22:$Z$55&gt;=O26)*($AD$22:$AD$55&lt;&gt;"x")*($Y$22:$Y$55=P26),
0)
),
INDEX($Z$22:$Z$55,
MATCH(1,
($Z$22:$Z$55&lt;=O26)*($AD$22:$AD$55&lt;&gt;"x")*($Y$22:$Y$55=P26),
0)
):
INDEX($Z$22:$Z$55,
MATCH(1,
($Z$22:$Z$55&gt;=O26)*($AD$22:$AD$55&lt;&gt;"x")*($Y$22:$Y$55=P26),
0)
)
),INDEX($AD$22:$AD$55,
MATCH(
MIN(IF(($AD$22:$AD$55&lt;&gt;"x")*($Y$22:$Y$55=P26),ABS($Z$22:$Z$55-O26))),
IF(($AD$22:$AD$55&lt;&gt;"x")*($Y$22:$Y$55=P26),ABS($Z$22:$Z$55-O26)),
0
)))</f>
        <v>-8.9999999999999993E-3</v>
      </c>
      <c r="U26" s="556">
        <f t="shared" si="12"/>
        <v>1.3396381316203363E-2</v>
      </c>
      <c r="V26" s="553">
        <f>AE45</f>
        <v>0.14000000000000001</v>
      </c>
      <c r="W26" s="1"/>
      <c r="X26" s="69"/>
      <c r="Y26" s="66" t="s">
        <v>662</v>
      </c>
      <c r="Z26" s="135">
        <v>200</v>
      </c>
      <c r="AA26" s="61">
        <f>1000*-0.000001</f>
        <v>-1E-3</v>
      </c>
      <c r="AB26" s="61">
        <v>1E-3</v>
      </c>
      <c r="AC26" s="61">
        <v>2E-3</v>
      </c>
      <c r="AD26" s="61">
        <v>5.0000000000000001E-3</v>
      </c>
      <c r="AE26" s="61">
        <f>1000*0.000011</f>
        <v>1.0999999999999999E-2</v>
      </c>
      <c r="AF26" s="1"/>
    </row>
    <row r="27" spans="1:32" ht="12.75" customHeight="1" x14ac:dyDescent="0.3">
      <c r="A27" s="74"/>
      <c r="B27" s="73"/>
      <c r="C27" s="73"/>
      <c r="D27" s="73"/>
      <c r="E27" s="251" t="s">
        <v>344</v>
      </c>
      <c r="F27" s="4" t="s">
        <v>345</v>
      </c>
      <c r="G27" s="48"/>
      <c r="H27" s="48"/>
      <c r="I27" s="48"/>
      <c r="J27" s="48"/>
      <c r="K27" s="48"/>
      <c r="L27" s="48"/>
      <c r="M27" s="61"/>
      <c r="N27" s="1"/>
      <c r="O27" s="83">
        <f t="shared" si="10"/>
        <v>0.54</v>
      </c>
      <c r="P27" s="63" t="str">
        <f t="shared" si="10"/>
        <v>A1</v>
      </c>
      <c r="Q27" s="393" cm="1">
        <f t="array" ref="Q27">IFERROR(
_xlfn.FORECAST.LINEAR(
O27,
INDEX($AA$22:$AA$55,
MATCH(1,
($Z$22:$Z$55&lt;=O27)*($AA$22:$AA$55&lt;&gt;"x")*($Y$22:$Y$55=P27),
0)
):
INDEX($AA$22:$AA$55,
MATCH(1,
($Z$22:$Z$55&gt;=O27)*($AA$22:$AA$55&lt;&gt;"x")*($Y$22:$Y$55=P27),
0)
),
INDEX($Z$22:$Z$55,
MATCH(1,
($Z$22:$Z$55&lt;=O27)*($AA$22:$AA$55&lt;&gt;"x")*($Y$22:$Y$55=P27),
0)
):
INDEX($Z$22:$Z$55,
MATCH(1,
($Z$22:$Z$55&gt;=O27)*($AA$22:$AA$55&lt;&gt;"x")*($Y$22:$Y$55=P27),
0)
)
),INDEX($AA$22:$AA$55,
MATCH(
MIN(IF(($AA$22:$AA$55&lt;&gt;"x")*($Y$22:$Y$55=P27),ABS($Z$22:$Z$55-O27))),
IF(($AA$22:$AA$55&lt;&gt;"x")*($Y$22:$Y$55=P27),ABS($Z$22:$Z$55-O27)),
0
)))</f>
        <v>-8.8208955223880592E-5</v>
      </c>
      <c r="R27" s="393" cm="1">
        <f t="array" ref="R27">IFERROR(
_xlfn.FORECAST.LINEAR(
O27,
INDEX($AB$22:$AB$55,
MATCH(1,
($Z$22:$Z$55&lt;=O27)*($AB$22:$AB$55&lt;&gt;"x")*($Y$22:$Y$55=P27),
0)
):
INDEX($AB$22:$AB$55,
MATCH(1,
($Z$22:$Z$55&gt;=O27)*($AB$22:$AB$55&lt;&gt;"x")*($Y$22:$Y$55=P27),
0)
),
INDEX($Z$22:$Z$55,
MATCH(1,
($Z$22:$Z$55&lt;=O27)*($AB$22:$AB$55&lt;&gt;"x")*($Y$22:$Y$55=P27),
0)
):
INDEX($Z$22:$Z$55,
MATCH(1,
($Z$22:$Z$55&gt;=O27)*($AB$22:$AB$55&lt;&gt;"x")*($Y$22:$Y$55=P27),
0)
)
),INDEX($AB$22:$AB$55,
MATCH(
MIN(IF(($AB$22:$AB$55&lt;&gt;"x")*($Y$22:$Y$55=P27),ABS($Z$22:$Z$55-O27))),
IF(($AB$22:$AB$55&lt;&gt;"x")*($Y$22:$Y$55=P27),ABS($Z$22:$Z$55-O27)),
0
)))</f>
        <v>-1.1E-4</v>
      </c>
      <c r="S27" s="563">
        <f>AC47</f>
        <v>-1E-4</v>
      </c>
      <c r="T27" s="393" cm="1">
        <f t="array" ref="T27">IFERROR(
_xlfn.FORECAST.LINEAR(
O27,
INDEX($AD$22:$AD$55,
MATCH(1,
($Z$22:$Z$55&lt;=O27)*($AD$22:$AD$55&lt;&gt;"x")*($Y$22:$Y$55=P27),
0)
):
INDEX($AD$22:$AD$55,
MATCH(1,
($Z$22:$Z$55&gt;=O27)*($AD$22:$AD$55&lt;&gt;"x")*($Y$22:$Y$55=P27),
0)
),
INDEX($Z$22:$Z$55,
MATCH(1,
($Z$22:$Z$55&lt;=O27)*($AD$22:$AD$55&lt;&gt;"x")*($Y$22:$Y$55=P27),
0)
):
INDEX($Z$22:$Z$55,
MATCH(1,
($Z$22:$Z$55&gt;=O27)*($AD$22:$AD$55&lt;&gt;"x")*($Y$22:$Y$55=P27),
0)
)
),INDEX($AD$22:$AD$55,
MATCH(
MIN(IF(($AD$22:$AD$55&lt;&gt;"x")*($Y$22:$Y$55=P27),ABS($Z$22:$Z$55-O27))),
IF(($AD$22:$AD$55&lt;&gt;"x")*($Y$22:$Y$55=P27),ABS($Z$22:$Z$55-O27)),
0
)))</f>
        <v>-5.0000000000000002E-5</v>
      </c>
      <c r="U27" s="556">
        <f t="shared" si="12"/>
        <v>3.1037147313025779E-5</v>
      </c>
      <c r="V27" s="575">
        <f>AE47</f>
        <v>4.8000000000000001E-4</v>
      </c>
      <c r="W27" s="1"/>
      <c r="X27" s="69"/>
      <c r="Y27" s="66" t="s">
        <v>662</v>
      </c>
      <c r="Z27" s="135">
        <v>1000</v>
      </c>
      <c r="AA27" s="61">
        <f>1000*-0.000016</f>
        <v>-1.6E-2</v>
      </c>
      <c r="AB27" s="61">
        <f>-0.000011*1000</f>
        <v>-1.0999999999999999E-2</v>
      </c>
      <c r="AC27" s="61">
        <f>-0.000013*1000</f>
        <v>-1.2999999999999999E-2</v>
      </c>
      <c r="AD27" s="61">
        <f>0.000008*1000</f>
        <v>8.0000000000000002E-3</v>
      </c>
      <c r="AE27" s="61">
        <f>1000*0.000021</f>
        <v>2.0999999999999998E-2</v>
      </c>
      <c r="AF27" s="1"/>
    </row>
    <row r="28" spans="1:32" ht="12.75" customHeight="1" x14ac:dyDescent="0.3">
      <c r="A28" s="74"/>
      <c r="B28" s="73"/>
      <c r="C28" s="73"/>
      <c r="D28" s="73"/>
      <c r="E28" s="251" t="s">
        <v>346</v>
      </c>
      <c r="F28" s="4" t="s">
        <v>347</v>
      </c>
      <c r="G28" s="48"/>
      <c r="H28" s="48"/>
      <c r="I28" s="48"/>
      <c r="J28" s="48"/>
      <c r="K28" s="48"/>
      <c r="L28" s="48"/>
      <c r="M28" s="61"/>
      <c r="N28" s="1"/>
      <c r="O28" s="83">
        <f t="shared" ref="O28:P28" si="13">C8</f>
        <v>0.60000000000000009</v>
      </c>
      <c r="P28" s="63" t="str">
        <f t="shared" si="13"/>
        <v>A1</v>
      </c>
      <c r="Q28" s="393" cm="1">
        <f t="array" ref="Q28">IFERROR(
_xlfn.FORECAST.LINEAR(
O28,
INDEX($AA$22:$AA$55,
MATCH(1,
($Z$22:$Z$55&lt;=O28)*($AA$22:$AA$55&lt;&gt;"x")*($Y$22:$Y$55=P28),
0)
):
INDEX($AA$22:$AA$55,
MATCH(1,
($Z$22:$Z$55&gt;=O28)*($AA$22:$AA$55&lt;&gt;"x")*($Y$22:$Y$55=P28),
0)
),
INDEX($Z$22:$Z$55,
MATCH(1,
($Z$22:$Z$55&lt;=O28)*($AA$22:$AA$55&lt;&gt;"x")*($Y$22:$Y$55=P28),
0)
):
INDEX($Z$22:$Z$55,
MATCH(1,
($Z$22:$Z$55&gt;=O28)*($AA$22:$AA$55&lt;&gt;"x")*($Y$22:$Y$55=P28),
0)
)
),INDEX($AA$22:$AA$55,
MATCH(
MIN(IF(($AA$22:$AA$55&lt;&gt;"x")*($Y$22:$Y$55=P28),ABS($Z$22:$Z$55-O28))),
IF(($AA$22:$AA$55&lt;&gt;"x")*($Y$22:$Y$55=P28),ABS($Z$22:$Z$55-O28)),
0
)))</f>
        <v>-9.6268656716417907E-5</v>
      </c>
      <c r="R28" s="393" cm="1">
        <f t="array" ref="R28">IFERROR(
_xlfn.FORECAST.LINEAR(
O28,
INDEX($AB$22:$AB$55,
MATCH(1,
($Z$22:$Z$55&lt;=O28)*($AB$22:$AB$55&lt;&gt;"x")*($Y$22:$Y$55=P28),
0)
):
INDEX($AB$22:$AB$55,
MATCH(1,
($Z$22:$Z$55&gt;=O28)*($AB$22:$AB$55&lt;&gt;"x")*($Y$22:$Y$55=P28),
0)
),
INDEX($Z$22:$Z$55,
MATCH(1,
($Z$22:$Z$55&lt;=O28)*($AB$22:$AB$55&lt;&gt;"x")*($Y$22:$Y$55=P28),
0)
):
INDEX($Z$22:$Z$55,
MATCH(1,
($Z$22:$Z$55&gt;=O28)*($AB$22:$AB$55&lt;&gt;"x")*($Y$22:$Y$55=P28),
0)
)
),INDEX($AB$22:$AB$55,
MATCH(
MIN(IF(($AB$22:$AB$55&lt;&gt;"x")*($Y$22:$Y$55=P28),ABS($Z$22:$Z$55-O28))),
IF(($AB$22:$AB$55&lt;&gt;"x")*($Y$22:$Y$55=P28),ABS($Z$22:$Z$55-O28)),
0
)))</f>
        <v>-1.1E-4</v>
      </c>
      <c r="S28" s="565">
        <f t="shared" ref="S28" si="14">AC47</f>
        <v>-1E-4</v>
      </c>
      <c r="T28" s="393" cm="1">
        <f t="array" ref="T28">IFERROR(
_xlfn.FORECAST.LINEAR(
O28,
INDEX($AD$22:$AD$55,
MATCH(1,
($Z$22:$Z$55&lt;=O28)*($AD$22:$AD$55&lt;&gt;"x")*($Y$22:$Y$55=P28),
0)
):
INDEX($AD$22:$AD$55,
MATCH(1,
($Z$22:$Z$55&gt;=O28)*($AD$22:$AD$55&lt;&gt;"x")*($Y$22:$Y$55=P28),
0)
),
INDEX($Z$22:$Z$55,
MATCH(1,
($Z$22:$Z$55&lt;=O28)*($AD$22:$AD$55&lt;&gt;"x")*($Y$22:$Y$55=P28),
0)
):
INDEX($Z$22:$Z$55,
MATCH(1,
($Z$22:$Z$55&gt;=O28)*($AD$22:$AD$55&lt;&gt;"x")*($Y$22:$Y$55=P28),
0)
)
),INDEX($AD$22:$AD$55,
MATCH(
MIN(IF(($AD$22:$AD$55&lt;&gt;"x")*($Y$22:$Y$55=P28),ABS($Z$22:$Z$55-O28))),
IF(($AD$22:$AD$55&lt;&gt;"x")*($Y$22:$Y$55=P28),ABS($Z$22:$Z$55-O28)),
0
)))</f>
        <v>-5.0000000000000002E-5</v>
      </c>
      <c r="U28" s="63">
        <f t="shared" si="12"/>
        <v>2.8697844999680636E-5</v>
      </c>
      <c r="V28" s="575">
        <f>AE47</f>
        <v>4.8000000000000001E-4</v>
      </c>
      <c r="W28" s="1"/>
      <c r="X28" s="69"/>
      <c r="Y28" s="66" t="s">
        <v>662</v>
      </c>
      <c r="Z28" s="79">
        <v>1</v>
      </c>
      <c r="AA28" s="61">
        <v>-1.5999999999999999E-5</v>
      </c>
      <c r="AB28" s="61">
        <v>-1.1E-5</v>
      </c>
      <c r="AC28" s="61">
        <v>-1.2999999999999999E-5</v>
      </c>
      <c r="AD28" s="61">
        <v>7.9999999999999996E-6</v>
      </c>
      <c r="AE28" s="61">
        <v>2.0999999999999999E-5</v>
      </c>
      <c r="AF28" s="1" t="s">
        <v>41</v>
      </c>
    </row>
    <row r="29" spans="1:32" ht="12.75" customHeight="1" x14ac:dyDescent="0.3">
      <c r="A29" s="74"/>
      <c r="B29" s="73"/>
      <c r="C29" s="73"/>
      <c r="D29" s="73"/>
      <c r="E29" s="251" t="s">
        <v>348</v>
      </c>
      <c r="F29" s="4" t="s">
        <v>349</v>
      </c>
      <c r="G29" s="48"/>
      <c r="H29" s="48"/>
      <c r="I29" s="48"/>
      <c r="J29" s="48"/>
      <c r="K29" s="48"/>
      <c r="L29" s="48"/>
      <c r="M29" s="61"/>
      <c r="N29" s="1"/>
      <c r="O29" s="83">
        <f t="shared" ref="O29:P29" si="15">C9</f>
        <v>3</v>
      </c>
      <c r="P29" s="63" t="str">
        <f t="shared" si="15"/>
        <v>A2</v>
      </c>
      <c r="Q29" s="393" cm="1">
        <f t="array" ref="Q29">IFERROR(
_xlfn.FORECAST.LINEAR(
O29,
INDEX($AA$22:$AA$55,
MATCH(1,
($Z$22:$Z$55&lt;=O29)*($AA$22:$AA$55&lt;&gt;"x")*($Y$22:$Y$55=P29),
0)
):
INDEX($AA$22:$AA$55,
MATCH(1,
($Z$22:$Z$55&gt;=O29)*($AA$22:$AA$55&lt;&gt;"x")*($Y$22:$Y$55=P29),
0)
),
INDEX($Z$22:$Z$55,
MATCH(1,
($Z$22:$Z$55&lt;=O29)*($AA$22:$AA$55&lt;&gt;"x")*($Y$22:$Y$55=P29),
0)
):
INDEX($Z$22:$Z$55,
MATCH(1,
($Z$22:$Z$55&gt;=O29)*($AA$22:$AA$55&lt;&gt;"x")*($Y$22:$Y$55=P29),
0)
)
),INDEX($AA$22:$AA$55,
MATCH(
MIN(IF(($AA$22:$AA$55&lt;&gt;"x")*($Y$22:$Y$55=P29),ABS($Z$22:$Z$55-O29))),
IF(($AA$22:$AA$55&lt;&gt;"x")*($Y$22:$Y$55=P29),ABS($Z$22:$Z$55-O29)),
0
)))</f>
        <v>-1.0794871794871795E-3</v>
      </c>
      <c r="R29" s="393" cm="1">
        <f t="array" ref="R29">IFERROR(
_xlfn.FORECAST.LINEAR(
O29,
INDEX($AB$22:$AB$55,
MATCH(1,
($Z$22:$Z$55&lt;=O29)*($AB$22:$AB$55&lt;&gt;"x")*($Y$22:$Y$55=P29),
0)
):
INDEX($AB$22:$AB$55,
MATCH(1,
($Z$22:$Z$55&gt;=O29)*($AB$22:$AB$55&lt;&gt;"x")*($Y$22:$Y$55=P29),
0)
),
INDEX($Z$22:$Z$55,
MATCH(1,
($Z$22:$Z$55&lt;=O29)*($AB$22:$AB$55&lt;&gt;"x")*($Y$22:$Y$55=P29),
0)
):
INDEX($Z$22:$Z$55,
MATCH(1,
($Z$22:$Z$55&gt;=O29)*($AB$22:$AB$55&lt;&gt;"x")*($Y$22:$Y$55=P29),
0)
)
),INDEX($AB$22:$AB$55,
MATCH(
MIN(IF(($AB$22:$AB$55&lt;&gt;"x")*($Y$22:$Y$55=P29),ABS($Z$22:$Z$55-O29))),
IF(($AB$22:$AB$55&lt;&gt;"x")*($Y$22:$Y$55=P29),ABS($Z$22:$Z$55-O29)),
0
)))</f>
        <v>-1E-3</v>
      </c>
      <c r="S29" s="566">
        <f t="shared" ref="S29" si="16">AC52</f>
        <v>-7.0000000000000001E-3</v>
      </c>
      <c r="T29" s="393" cm="1">
        <f t="array" ref="T29">IFERROR(
_xlfn.FORECAST.LINEAR(
O29,
INDEX($AD$22:$AD$55,
MATCH(1,
($Z$22:$Z$55&lt;=O29)*($AD$22:$AD$55&lt;&gt;"x")*($Y$22:$Y$55=P29),
0)
):
INDEX($AD$22:$AD$55,
MATCH(1,
($Z$22:$Z$55&gt;=O29)*($AD$22:$AD$55&lt;&gt;"x")*($Y$22:$Y$55=P29),
0)
),
INDEX($Z$22:$Z$55,
MATCH(1,
($Z$22:$Z$55&lt;=O29)*($AD$22:$AD$55&lt;&gt;"x")*($Y$22:$Y$55=P29),
0)
):
INDEX($Z$22:$Z$55,
MATCH(1,
($Z$22:$Z$55&gt;=O29)*($AD$22:$AD$55&lt;&gt;"x")*($Y$22:$Y$55=P29),
0)
)
),INDEX($AD$22:$AD$55,
MATCH(
MIN(IF(($AD$22:$AD$55&lt;&gt;"x")*($Y$22:$Y$55=P29),ABS($Z$22:$Z$55-O29))),
IF(($AD$22:$AD$55&lt;&gt;"x")*($Y$22:$Y$55=P29),ABS($Z$22:$Z$55-O29)),
0
)))</f>
        <v>-4.0000000000000001E-3</v>
      </c>
      <c r="U29" s="63">
        <f t="shared" si="12"/>
        <v>3.1709814553708957E-3</v>
      </c>
      <c r="V29" s="553">
        <f>AE52</f>
        <v>6.8999999999999999E-3</v>
      </c>
      <c r="W29" s="1"/>
      <c r="X29" s="69"/>
      <c r="Y29" s="66" t="s">
        <v>662</v>
      </c>
      <c r="Z29" s="79">
        <v>1.8</v>
      </c>
      <c r="AA29" s="61">
        <v>-3.1000000000000001E-5</v>
      </c>
      <c r="AB29" s="61">
        <v>-1.5999999999999999E-5</v>
      </c>
      <c r="AC29" s="61">
        <v>-2.4000000000000001E-5</v>
      </c>
      <c r="AD29" s="79">
        <v>-2.0000000000000002E-5</v>
      </c>
      <c r="AE29" s="61">
        <v>3.1000000000000001E-5</v>
      </c>
      <c r="AF29" s="1"/>
    </row>
    <row r="30" spans="1:32" ht="12.75" customHeight="1" x14ac:dyDescent="0.3">
      <c r="A30" s="74"/>
      <c r="B30" s="73"/>
      <c r="C30" s="73"/>
      <c r="D30" s="73"/>
      <c r="E30" s="48"/>
      <c r="F30" s="4"/>
      <c r="G30" s="48"/>
      <c r="H30" s="48"/>
      <c r="I30" s="48"/>
      <c r="J30" s="48"/>
      <c r="K30" s="48"/>
      <c r="L30" s="48"/>
      <c r="M30" s="61"/>
      <c r="N30" s="1"/>
      <c r="O30" s="83">
        <f t="shared" ref="O30:P30" si="17">C10</f>
        <v>5.4</v>
      </c>
      <c r="P30" s="63" t="str">
        <f t="shared" si="17"/>
        <v>A2</v>
      </c>
      <c r="Q30" s="393" cm="1">
        <f t="array" ref="Q30">IFERROR(
_xlfn.FORECAST.LINEAR(
O30,
INDEX($AA$22:$AA$55,
MATCH(1,
($Z$22:$Z$55&lt;=O30)*($AA$22:$AA$55&lt;&gt;"x")*($Y$22:$Y$55=P30),
0)
):
INDEX($AA$22:$AA$55,
MATCH(1,
($Z$22:$Z$55&gt;=O30)*($AA$22:$AA$55&lt;&gt;"x")*($Y$22:$Y$55=P30),
0)
),
INDEX($Z$22:$Z$55,
MATCH(1,
($Z$22:$Z$55&lt;=O30)*($AA$22:$AA$55&lt;&gt;"x")*($Y$22:$Y$55=P30),
0)
):
INDEX($Z$22:$Z$55,
MATCH(1,
($Z$22:$Z$55&gt;=O30)*($AA$22:$AA$55&lt;&gt;"x")*($Y$22:$Y$55=P30),
0)
)
),INDEX($AA$22:$AA$55,
MATCH(
MIN(IF(($AA$22:$AA$55&lt;&gt;"x")*($Y$22:$Y$55=P30),ABS($Z$22:$Z$55-O30))),
IF(($AA$22:$AA$55&lt;&gt;"x")*($Y$22:$Y$55=P30),ABS($Z$22:$Z$55-O30)),
0
)))</f>
        <v>-1.0179487179487179E-3</v>
      </c>
      <c r="R30" s="393" cm="1">
        <f t="array" ref="R30">IFERROR(
_xlfn.FORECAST.LINEAR(
O30,
INDEX($AB$22:$AB$55,
MATCH(1,
($Z$22:$Z$55&lt;=O30)*($AB$22:$AB$55&lt;&gt;"x")*($Y$22:$Y$55=P30),
0)
):
INDEX($AB$22:$AB$55,
MATCH(1,
($Z$22:$Z$55&gt;=O30)*($AB$22:$AB$55&lt;&gt;"x")*($Y$22:$Y$55=P30),
0)
),
INDEX($Z$22:$Z$55,
MATCH(1,
($Z$22:$Z$55&lt;=O30)*($AB$22:$AB$55&lt;&gt;"x")*($Y$22:$Y$55=P30),
0)
):
INDEX($Z$22:$Z$55,
MATCH(1,
($Z$22:$Z$55&gt;=O30)*($AB$22:$AB$55&lt;&gt;"x")*($Y$22:$Y$55=P30),
0)
)
),INDEX($AB$22:$AB$55,
MATCH(
MIN(IF(($AB$22:$AB$55&lt;&gt;"x")*($Y$22:$Y$55=P30),ABS($Z$22:$Z$55-O30))),
IF(($AB$22:$AB$55&lt;&gt;"x")*($Y$22:$Y$55=P30),ABS($Z$22:$Z$55-O30)),
0
)))</f>
        <v>-1E-3</v>
      </c>
      <c r="S30" s="566">
        <f t="shared" ref="S30" si="18">AC52</f>
        <v>-7.0000000000000001E-3</v>
      </c>
      <c r="T30" s="393" cm="1">
        <f t="array" ref="T30">IFERROR(
_xlfn.FORECAST.LINEAR(
O30,
INDEX($AD$22:$AD$55,
MATCH(1,
($Z$22:$Z$55&lt;=O30)*($AD$22:$AD$55&lt;&gt;"x")*($Y$22:$Y$55=P30),
0)
):
INDEX($AD$22:$AD$55,
MATCH(1,
($Z$22:$Z$55&gt;=O30)*($AD$22:$AD$55&lt;&gt;"x")*($Y$22:$Y$55=P30),
0)
),
INDEX($Z$22:$Z$55,
MATCH(1,
($Z$22:$Z$55&lt;=O30)*($AD$22:$AD$55&lt;&gt;"x")*($Y$22:$Y$55=P30),
0)
):
INDEX($Z$22:$Z$55,
MATCH(1,
($Z$22:$Z$55&gt;=O30)*($AD$22:$AD$55&lt;&gt;"x")*($Y$22:$Y$55=P30),
0)
)
),INDEX($AD$22:$AD$55,
MATCH(
MIN(IF(($AD$22:$AD$55&lt;&gt;"x")*($Y$22:$Y$55=P30),ABS($Z$22:$Z$55-O30))),
IF(($AD$22:$AD$55&lt;&gt;"x")*($Y$22:$Y$55=P30),ABS($Z$22:$Z$55-O30)),
0
)))</f>
        <v>-4.0000000000000001E-3</v>
      </c>
      <c r="U30" s="63">
        <f t="shared" si="12"/>
        <v>3.1531201157704255E-3</v>
      </c>
      <c r="V30" s="553">
        <f>AE52</f>
        <v>6.8999999999999999E-3</v>
      </c>
      <c r="W30" s="1"/>
      <c r="X30" s="69"/>
      <c r="Y30" s="66" t="s">
        <v>662</v>
      </c>
      <c r="Z30" s="137">
        <v>2</v>
      </c>
      <c r="AA30" s="61">
        <v>-2.0000000000000002E-5</v>
      </c>
      <c r="AB30" s="61">
        <v>-2.0000000000000002E-5</v>
      </c>
      <c r="AC30" s="61">
        <v>-4.0000000000000003E-5</v>
      </c>
      <c r="AD30" s="61">
        <v>-1.0000000000000001E-5</v>
      </c>
      <c r="AE30" s="61">
        <v>1.2E-4</v>
      </c>
      <c r="AF30" s="1"/>
    </row>
    <row r="31" spans="1:32" ht="12.75" customHeight="1" x14ac:dyDescent="0.3">
      <c r="A31" s="71" t="s">
        <v>76</v>
      </c>
      <c r="B31" s="1"/>
      <c r="C31" s="1"/>
      <c r="D31" s="1">
        <f t="shared" ref="D31:E31" si="19">A$2</f>
        <v>60</v>
      </c>
      <c r="E31" s="103" t="str">
        <f t="shared" si="19"/>
        <v>mA</v>
      </c>
      <c r="F31" s="81"/>
      <c r="G31" s="82"/>
      <c r="H31" s="12"/>
      <c r="I31" s="12"/>
      <c r="J31" s="12"/>
      <c r="K31" s="12"/>
      <c r="L31" s="12"/>
      <c r="M31" s="286" t="s">
        <v>350</v>
      </c>
      <c r="N31" s="1"/>
      <c r="O31" s="83">
        <f t="shared" ref="O31:P31" si="20">C11</f>
        <v>1</v>
      </c>
      <c r="P31" s="63" t="str">
        <f t="shared" si="20"/>
        <v>A1</v>
      </c>
      <c r="Q31" s="393" cm="1">
        <f t="array" ref="Q31">IFERROR(
_xlfn.FORECAST.LINEAR(
O31,
INDEX($AA$22:$AA$55,
MATCH(1,
($Z$22:$Z$55&lt;=O31)*($AA$22:$AA$55&lt;&gt;"x")*($Y$22:$Y$55=P31),
0)
):
INDEX($AA$22:$AA$55,
MATCH(1,
($Z$22:$Z$55&gt;=O31)*($AA$22:$AA$55&lt;&gt;"x")*($Y$22:$Y$55=P31),
0)
),
INDEX($Z$22:$Z$55,
MATCH(1,
($Z$22:$Z$55&lt;=O31)*($AA$22:$AA$55&lt;&gt;"x")*($Y$22:$Y$55=P31),
0)
):
INDEX($Z$22:$Z$55,
MATCH(1,
($Z$22:$Z$55&gt;=O31)*($AA$22:$AA$55&lt;&gt;"x")*($Y$22:$Y$55=P31),
0)
)
),INDEX($AA$22:$AA$55,
MATCH(
MIN(IF(($AA$22:$AA$55&lt;&gt;"x")*($Y$22:$Y$55=P31),ABS($Z$22:$Z$55-O31))),
IF(($AA$22:$AA$55&lt;&gt;"x")*($Y$22:$Y$55=P31),ABS($Z$22:$Z$55-O31)),
0
)))</f>
        <v>-1.4999999999999999E-4</v>
      </c>
      <c r="R31" s="393" cm="1">
        <f t="array" ref="R31">IFERROR(
_xlfn.FORECAST.LINEAR(
O31,
INDEX($AB$22:$AB$55,
MATCH(1,
($Z$22:$Z$55&lt;=O31)*($AB$22:$AB$55&lt;&gt;"x")*($Y$22:$Y$55=P31),
0)
):
INDEX($AB$22:$AB$55,
MATCH(1,
($Z$22:$Z$55&gt;=O31)*($AB$22:$AB$55&lt;&gt;"x")*($Y$22:$Y$55=P31),
0)
),
INDEX($Z$22:$Z$55,
MATCH(1,
($Z$22:$Z$55&lt;=O31)*($AB$22:$AB$55&lt;&gt;"x")*($Y$22:$Y$55=P31),
0)
):
INDEX($Z$22:$Z$55,
MATCH(1,
($Z$22:$Z$55&gt;=O31)*($AB$22:$AB$55&lt;&gt;"x")*($Y$22:$Y$55=P31),
0)
)
),INDEX($AB$22:$AB$55,
MATCH(
MIN(IF(($AB$22:$AB$55&lt;&gt;"x")*($Y$22:$Y$55=P31),ABS($Z$22:$Z$55-O31))),
IF(($AB$22:$AB$55&lt;&gt;"x")*($Y$22:$Y$55=P31),ABS($Z$22:$Z$55-O31)),
0
)))</f>
        <v>-1.1E-4</v>
      </c>
      <c r="S31" s="564">
        <f t="shared" ref="S31" si="21">AC47</f>
        <v>-1E-4</v>
      </c>
      <c r="T31" s="393" cm="1">
        <f t="array" ref="T31">IFERROR(
_xlfn.FORECAST.LINEAR(
O31,
INDEX($AD$22:$AD$55,
MATCH(1,
($Z$22:$Z$55&lt;=O31)*($AD$22:$AD$55&lt;&gt;"x")*($Y$22:$Y$55=P31),
0)
):
INDEX($AD$22:$AD$55,
MATCH(1,
($Z$22:$Z$55&gt;=O31)*($AD$22:$AD$55&lt;&gt;"x")*($Y$22:$Y$55=P31),
0)
),
INDEX($Z$22:$Z$55,
MATCH(1,
($Z$22:$Z$55&lt;=O31)*($AD$22:$AD$55&lt;&gt;"x")*($Y$22:$Y$55=P31),
0)
):
INDEX($Z$22:$Z$55,
MATCH(1,
($Z$22:$Z$55&gt;=O31)*($AD$22:$AD$55&lt;&gt;"x")*($Y$22:$Y$55=P31),
0)
)
),INDEX($AD$22:$AD$55,
MATCH(
MIN(IF(($AD$22:$AD$55&lt;&gt;"x")*($Y$22:$Y$55=P31),ABS($Z$22:$Z$55-O31))),
IF(($AD$22:$AD$55&lt;&gt;"x")*($Y$22:$Y$55=P31),ABS($Z$22:$Z$55-O31)),
0
)))</f>
        <v>-5.0000000000000002E-5</v>
      </c>
      <c r="U31" s="63">
        <f t="shared" si="12"/>
        <v>3.6322237724657392E-5</v>
      </c>
      <c r="V31" s="575">
        <f>AE47</f>
        <v>4.8000000000000001E-4</v>
      </c>
      <c r="W31" s="1"/>
      <c r="X31" s="342"/>
      <c r="Y31" s="66" t="s">
        <v>662</v>
      </c>
      <c r="Z31" s="364">
        <v>3.2</v>
      </c>
      <c r="AA31" s="343">
        <v>-3.0000000000000001E-5</v>
      </c>
      <c r="AB31" s="77" t="s">
        <v>637</v>
      </c>
      <c r="AC31" s="77" t="s">
        <v>637</v>
      </c>
      <c r="AD31" s="77" t="s">
        <v>637</v>
      </c>
      <c r="AE31" s="250">
        <v>1.4999999999999999E-4</v>
      </c>
      <c r="AF31" s="1"/>
    </row>
    <row r="32" spans="1:32" ht="12.75" customHeight="1" x14ac:dyDescent="0.3">
      <c r="A32" s="84" t="s">
        <v>2</v>
      </c>
      <c r="B32" s="85"/>
      <c r="C32" s="85"/>
      <c r="D32" s="80">
        <f>C2</f>
        <v>6</v>
      </c>
      <c r="E32" s="6" t="str">
        <f>D2</f>
        <v>mA2</v>
      </c>
      <c r="F32" s="111"/>
      <c r="G32" s="90"/>
      <c r="H32" s="90">
        <v>0.01</v>
      </c>
      <c r="I32" s="90"/>
      <c r="J32" s="90"/>
      <c r="K32" s="90"/>
      <c r="L32" s="90"/>
      <c r="M32" s="76"/>
      <c r="N32" s="1"/>
      <c r="O32" s="83">
        <f t="shared" ref="O32:P32" si="22">C12</f>
        <v>5</v>
      </c>
      <c r="P32" s="63" t="str">
        <f t="shared" si="22"/>
        <v>A2</v>
      </c>
      <c r="Q32" s="393" cm="1">
        <f t="array" ref="Q32">IFERROR(
_xlfn.FORECAST.LINEAR(
O32,
INDEX($AA$22:$AA$55,
MATCH(1,
($Z$22:$Z$55&lt;=O32)*($AA$22:$AA$55&lt;&gt;"x")*($Y$22:$Y$55=P32),
0)
):
INDEX($AA$22:$AA$55,
MATCH(1,
($Z$22:$Z$55&gt;=O32)*($AA$22:$AA$55&lt;&gt;"x")*($Y$22:$Y$55=P32),
0)
),
INDEX($Z$22:$Z$55,
MATCH(1,
($Z$22:$Z$55&lt;=O32)*($AA$22:$AA$55&lt;&gt;"x")*($Y$22:$Y$55=P32),
0)
):
INDEX($Z$22:$Z$55,
MATCH(1,
($Z$22:$Z$55&gt;=O32)*($AA$22:$AA$55&lt;&gt;"x")*($Y$22:$Y$55=P32),
0)
)
),INDEX($AA$22:$AA$55,
MATCH(
MIN(IF(($AA$22:$AA$55&lt;&gt;"x")*($Y$22:$Y$55=P32),ABS($Z$22:$Z$55-O32))),
IF(($AA$22:$AA$55&lt;&gt;"x")*($Y$22:$Y$55=P32),ABS($Z$22:$Z$55-O32)),
0
)))</f>
        <v>-1.0282051282051281E-3</v>
      </c>
      <c r="R32" s="393" cm="1">
        <f t="array" ref="R32">IFERROR(
_xlfn.FORECAST.LINEAR(
O32,
INDEX($AB$22:$AB$55,
MATCH(1,
($Z$22:$Z$55&lt;=O32)*($AB$22:$AB$55&lt;&gt;"x")*($Y$22:$Y$55=P32),
0)
):
INDEX($AB$22:$AB$55,
MATCH(1,
($Z$22:$Z$55&gt;=O32)*($AB$22:$AB$55&lt;&gt;"x")*($Y$22:$Y$55=P32),
0)
),
INDEX($Z$22:$Z$55,
MATCH(1,
($Z$22:$Z$55&lt;=O32)*($AB$22:$AB$55&lt;&gt;"x")*($Y$22:$Y$55=P32),
0)
):
INDEX($Z$22:$Z$55,
MATCH(1,
($Z$22:$Z$55&gt;=O32)*($AB$22:$AB$55&lt;&gt;"x")*($Y$22:$Y$55=P32),
0)
)
),INDEX($AB$22:$AB$55,
MATCH(
MIN(IF(($AB$22:$AB$55&lt;&gt;"x")*($Y$22:$Y$55=P32),ABS($Z$22:$Z$55-O32))),
IF(($AB$22:$AB$55&lt;&gt;"x")*($Y$22:$Y$55=P32),ABS($Z$22:$Z$55-O32)),
0
)))</f>
        <v>-1E-3</v>
      </c>
      <c r="S32" s="553">
        <f t="shared" ref="S32" si="23">AC52</f>
        <v>-7.0000000000000001E-3</v>
      </c>
      <c r="T32" s="393" cm="1">
        <f t="array" ref="T32">IFERROR(
_xlfn.FORECAST.LINEAR(
O32,
INDEX($AD$22:$AD$55,
MATCH(1,
($Z$22:$Z$55&lt;=O32)*($AD$22:$AD$55&lt;&gt;"x")*($Y$22:$Y$55=P32),
0)
):
INDEX($AD$22:$AD$55,
MATCH(1,
($Z$22:$Z$55&gt;=O32)*($AD$22:$AD$55&lt;&gt;"x")*($Y$22:$Y$55=P32),
0)
),
INDEX($Z$22:$Z$55,
MATCH(1,
($Z$22:$Z$55&lt;=O32)*($AD$22:$AD$55&lt;&gt;"x")*($Y$22:$Y$55=P32),
0)
):
INDEX($Z$22:$Z$55,
MATCH(1,
($Z$22:$Z$55&gt;=O32)*($AD$22:$AD$55&lt;&gt;"x")*($Y$22:$Y$55=P32),
0)
)
),INDEX($AD$22:$AD$55,
MATCH(
MIN(IF(($AD$22:$AD$55&lt;&gt;"x")*($Y$22:$Y$55=P32),ABS($Z$22:$Z$55-O32))),
IF(($AD$22:$AD$55&lt;&gt;"x")*($Y$22:$Y$55=P32),ABS($Z$22:$Z$55-O32)),
0
)))</f>
        <v>-4.0000000000000001E-3</v>
      </c>
      <c r="U32" s="63">
        <f t="shared" si="12"/>
        <v>3.1560970057038372E-3</v>
      </c>
      <c r="V32" s="553">
        <f>AE52</f>
        <v>6.8999999999999999E-3</v>
      </c>
      <c r="W32" s="1"/>
      <c r="X32" s="346">
        <v>32.999899999999997</v>
      </c>
      <c r="Y32" s="172" t="s">
        <v>663</v>
      </c>
      <c r="Z32" s="362">
        <v>3.3</v>
      </c>
      <c r="AA32" s="350">
        <v>-4.0000000000000003E-5</v>
      </c>
      <c r="AB32" s="68" t="s">
        <v>637</v>
      </c>
      <c r="AC32" s="68" t="s">
        <v>637</v>
      </c>
      <c r="AD32" s="68" t="s">
        <v>637</v>
      </c>
      <c r="AE32" s="350">
        <v>1.4999999999999999E-4</v>
      </c>
      <c r="AF32" s="1"/>
    </row>
    <row r="33" spans="1:32" ht="12.75" customHeight="1" x14ac:dyDescent="0.3">
      <c r="A33" s="91" t="s">
        <v>78</v>
      </c>
      <c r="B33" s="91" t="s">
        <v>79</v>
      </c>
      <c r="C33" s="91" t="s">
        <v>10</v>
      </c>
      <c r="D33" s="91" t="s">
        <v>80</v>
      </c>
      <c r="E33" s="91" t="s">
        <v>81</v>
      </c>
      <c r="F33" s="92" t="s">
        <v>82</v>
      </c>
      <c r="G33" s="91" t="s">
        <v>83</v>
      </c>
      <c r="H33" s="91" t="s">
        <v>84</v>
      </c>
      <c r="I33" s="91" t="s">
        <v>85</v>
      </c>
      <c r="J33" s="91" t="s">
        <v>86</v>
      </c>
      <c r="K33" s="91" t="s">
        <v>87</v>
      </c>
      <c r="L33" s="91" t="s">
        <v>351</v>
      </c>
      <c r="M33" s="91" t="s">
        <v>352</v>
      </c>
      <c r="N33" s="1"/>
      <c r="O33" s="83">
        <f>C13</f>
        <v>9</v>
      </c>
      <c r="P33" s="63" t="str">
        <f>D13</f>
        <v>A2</v>
      </c>
      <c r="Q33" s="393" cm="1">
        <f t="array" ref="Q33">IFERROR(
_xlfn.FORECAST.LINEAR(
O33,
INDEX($AA$22:$AA$55,
MATCH(1,
($Z$22:$Z$55&lt;=O33)*($AA$22:$AA$55&lt;&gt;"x")*($Y$22:$Y$55=P33),
0)
):
INDEX($AA$22:$AA$55,
MATCH(1,
($Z$22:$Z$55&gt;=O33)*($AA$22:$AA$55&lt;&gt;"x")*($Y$22:$Y$55=P33),
0)
),
INDEX($Z$22:$Z$55,
MATCH(1,
($Z$22:$Z$55&lt;=O33)*($AA$22:$AA$55&lt;&gt;"x")*($Y$22:$Y$55=P33),
0)
):
INDEX($Z$22:$Z$55,
MATCH(1,
($Z$22:$Z$55&gt;=O33)*($AA$22:$AA$55&lt;&gt;"x")*($Y$22:$Y$55=P33),
0)
)
),INDEX($AA$22:$AA$55,
MATCH(
MIN(IF(($AA$22:$AA$55&lt;&gt;"x")*($Y$22:$Y$55=P33),ABS($Z$22:$Z$55-O33))),
IF(($AA$22:$AA$55&lt;&gt;"x")*($Y$22:$Y$55=P33),ABS($Z$22:$Z$55-O33)),
0
)))</f>
        <v>-9.2564102564102549E-4</v>
      </c>
      <c r="R33" s="393" cm="1">
        <f t="array" ref="R33">IFERROR(
_xlfn.FORECAST.LINEAR(
O33,
INDEX($AB$22:$AB$55,
MATCH(1,
($Z$22:$Z$55&lt;=O33)*($AB$22:$AB$55&lt;&gt;"x")*($Y$22:$Y$55=P33),
0)
):
INDEX($AB$22:$AB$55,
MATCH(1,
($Z$22:$Z$55&gt;=O33)*($AB$22:$AB$55&lt;&gt;"x")*($Y$22:$Y$55=P33),
0)
),
INDEX($Z$22:$Z$55,
MATCH(1,
($Z$22:$Z$55&lt;=O33)*($AB$22:$AB$55&lt;&gt;"x")*($Y$22:$Y$55=P33),
0)
):
INDEX($Z$22:$Z$55,
MATCH(1,
($Z$22:$Z$55&gt;=O33)*($AB$22:$AB$55&lt;&gt;"x")*($Y$22:$Y$55=P33),
0)
)
),INDEX($AB$22:$AB$55,
MATCH(
MIN(IF(($AB$22:$AB$55&lt;&gt;"x")*($Y$22:$Y$55=P33),ABS($Z$22:$Z$55-O33))),
IF(($AB$22:$AB$55&lt;&gt;"x")*($Y$22:$Y$55=P33),ABS($Z$22:$Z$55-O33)),
0
)))</f>
        <v>-1E-3</v>
      </c>
      <c r="S33" s="553">
        <f t="shared" ref="S33" si="24">AC52</f>
        <v>-7.0000000000000001E-3</v>
      </c>
      <c r="T33" s="393" cm="1">
        <f t="array" ref="T33">IFERROR(
_xlfn.FORECAST.LINEAR(
O33,
INDEX($AD$22:$AD$55,
MATCH(1,
($Z$22:$Z$55&lt;=O33)*($AD$22:$AD$55&lt;&gt;"x")*($Y$22:$Y$55=P33),
0)
):
INDEX($AD$22:$AD$55,
MATCH(1,
($Z$22:$Z$55&gt;=O33)*($AD$22:$AD$55&lt;&gt;"x")*($Y$22:$Y$55=P33),
0)
),
INDEX($Z$22:$Z$55,
MATCH(1,
($Z$22:$Z$55&lt;=O33)*($AD$22:$AD$55&lt;&gt;"x")*($Y$22:$Y$55=P33),
0)
):
INDEX($Z$22:$Z$55,
MATCH(1,
($Z$22:$Z$55&gt;=O33)*($AD$22:$AD$55&lt;&gt;"x")*($Y$22:$Y$55=P33),
0)
)
),INDEX($AD$22:$AD$55,
MATCH(
MIN(IF(($AD$22:$AD$55&lt;&gt;"x")*($Y$22:$Y$55=P33),ABS($Z$22:$Z$55-O33))),
IF(($AD$22:$AD$55&lt;&gt;"x")*($Y$22:$Y$55=P33),ABS($Z$22:$Z$55-O33)),
0
)))</f>
        <v>-4.0000000000000001E-3</v>
      </c>
      <c r="U33" s="63">
        <f t="shared" si="12"/>
        <v>3.1694930104041899E-3</v>
      </c>
      <c r="V33" s="553">
        <f>AE52</f>
        <v>6.8999999999999999E-3</v>
      </c>
      <c r="W33" s="1"/>
      <c r="X33" s="338"/>
      <c r="Y33" s="172" t="s">
        <v>663</v>
      </c>
      <c r="Z33" s="348">
        <v>4</v>
      </c>
      <c r="AA33" s="340">
        <v>-5.0000000000000002E-5</v>
      </c>
      <c r="AB33" s="348">
        <v>-2.0000000000000002E-5</v>
      </c>
      <c r="AC33" s="348">
        <v>-6.0000000000000002E-5</v>
      </c>
      <c r="AD33" s="348">
        <v>-1.0000000000000001E-5</v>
      </c>
      <c r="AE33" s="340">
        <v>1.4999999999999999E-4</v>
      </c>
      <c r="AF33" s="1"/>
    </row>
    <row r="34" spans="1:32" ht="12.75" customHeight="1" x14ac:dyDescent="0.3">
      <c r="A34" s="93" t="s">
        <v>90</v>
      </c>
      <c r="B34" s="94" t="s">
        <v>353</v>
      </c>
      <c r="C34" s="94" t="s">
        <v>42</v>
      </c>
      <c r="D34" s="95" t="str">
        <f>E32</f>
        <v>mA2</v>
      </c>
      <c r="E34" s="94" t="s">
        <v>631</v>
      </c>
      <c r="F34" s="94">
        <f>STDEV(Data!E103:N103)/SQRT(5)</f>
        <v>0</v>
      </c>
      <c r="G34" s="94">
        <v>1</v>
      </c>
      <c r="H34" s="94">
        <f>5-1</f>
        <v>4</v>
      </c>
      <c r="I34" s="94">
        <f t="shared" ref="I34:I37" si="25">(F34)/G34</f>
        <v>0</v>
      </c>
      <c r="J34" s="94">
        <v>1</v>
      </c>
      <c r="K34" s="94">
        <f t="shared" ref="K34:K37" si="26">I34*J34</f>
        <v>0</v>
      </c>
      <c r="L34" s="94">
        <f t="shared" ref="L34:L37" si="27">K34^2</f>
        <v>0</v>
      </c>
      <c r="M34" s="94">
        <f t="shared" ref="M34:M37" si="28">(K34^4)/H34</f>
        <v>0</v>
      </c>
      <c r="N34" s="1"/>
      <c r="O34" s="1"/>
      <c r="P34" s="1"/>
      <c r="R34" s="1"/>
      <c r="S34" s="1"/>
      <c r="T34" s="1"/>
      <c r="U34" s="1"/>
      <c r="V34" s="1"/>
      <c r="W34" s="1"/>
      <c r="X34" s="69"/>
      <c r="Y34" s="172" t="s">
        <v>663</v>
      </c>
      <c r="Z34" s="137">
        <v>6</v>
      </c>
      <c r="AA34" s="61">
        <v>-8.0000000000000007E-5</v>
      </c>
      <c r="AB34" s="137">
        <v>-4.0000000000000003E-5</v>
      </c>
      <c r="AC34" s="137">
        <v>-1E-4</v>
      </c>
      <c r="AD34" s="137">
        <v>-4.0000000000000003E-5</v>
      </c>
      <c r="AE34" s="61">
        <v>1.9000000000000001E-4</v>
      </c>
      <c r="AF34" s="1"/>
    </row>
    <row r="35" spans="1:32" ht="12.75" customHeight="1" x14ac:dyDescent="0.3">
      <c r="A35" s="93" t="s">
        <v>93</v>
      </c>
      <c r="B35" s="94" t="s">
        <v>354</v>
      </c>
      <c r="C35" s="94" t="s">
        <v>95</v>
      </c>
      <c r="D35" s="95" t="str">
        <f>D34</f>
        <v>mA2</v>
      </c>
      <c r="E35" s="94" t="s">
        <v>96</v>
      </c>
      <c r="F35" s="94">
        <f>H32/2</f>
        <v>5.0000000000000001E-3</v>
      </c>
      <c r="G35" s="94">
        <f>SQRT(3)</f>
        <v>1.7320508075688772</v>
      </c>
      <c r="H35" s="94">
        <v>50</v>
      </c>
      <c r="I35" s="94">
        <f t="shared" si="25"/>
        <v>2.886751345948129E-3</v>
      </c>
      <c r="J35" s="94">
        <v>1</v>
      </c>
      <c r="K35" s="94">
        <f t="shared" si="26"/>
        <v>2.886751345948129E-3</v>
      </c>
      <c r="L35" s="94">
        <f t="shared" si="27"/>
        <v>8.3333333333333337E-6</v>
      </c>
      <c r="M35" s="94">
        <f t="shared" si="28"/>
        <v>1.3888888888888891E-12</v>
      </c>
      <c r="N35" s="1"/>
      <c r="O35" s="1"/>
      <c r="P35" s="1"/>
      <c r="R35" s="1"/>
      <c r="S35" s="1"/>
      <c r="T35" s="1"/>
      <c r="U35" s="1"/>
      <c r="V35" s="1"/>
      <c r="W35" s="1"/>
      <c r="X35" s="69"/>
      <c r="Y35" s="172" t="s">
        <v>663</v>
      </c>
      <c r="Z35" s="137">
        <v>8</v>
      </c>
      <c r="AA35" s="61">
        <v>-1.1E-4</v>
      </c>
      <c r="AB35" s="61">
        <v>-6.0000000000000002E-5</v>
      </c>
      <c r="AC35" s="61">
        <v>-1.3999999999999999E-4</v>
      </c>
      <c r="AD35" s="61">
        <v>-6.0000000000000002E-5</v>
      </c>
      <c r="AE35" s="137">
        <v>2.0000000000000001E-4</v>
      </c>
      <c r="AF35" s="1"/>
    </row>
    <row r="36" spans="1:32" ht="12.75" customHeight="1" x14ac:dyDescent="0.3">
      <c r="A36" s="93" t="s">
        <v>97</v>
      </c>
      <c r="B36" s="94" t="s">
        <v>355</v>
      </c>
      <c r="C36" s="94" t="s">
        <v>95</v>
      </c>
      <c r="D36" s="95" t="str">
        <f>D34</f>
        <v>mA2</v>
      </c>
      <c r="E36" s="94" t="s">
        <v>92</v>
      </c>
      <c r="F36" s="96">
        <f>V22</f>
        <v>1.9000000000000001E-4</v>
      </c>
      <c r="G36" s="94">
        <v>2</v>
      </c>
      <c r="H36" s="94">
        <v>60</v>
      </c>
      <c r="I36" s="94">
        <f t="shared" si="25"/>
        <v>9.5000000000000005E-5</v>
      </c>
      <c r="J36" s="94">
        <v>1</v>
      </c>
      <c r="K36" s="94">
        <f t="shared" si="26"/>
        <v>9.5000000000000005E-5</v>
      </c>
      <c r="L36" s="94">
        <f t="shared" si="27"/>
        <v>9.0250000000000014E-9</v>
      </c>
      <c r="M36" s="94">
        <f t="shared" si="28"/>
        <v>1.357510416666667E-18</v>
      </c>
      <c r="N36" s="1"/>
      <c r="O36" s="1"/>
      <c r="P36" s="1"/>
      <c r="R36" s="1"/>
      <c r="S36" s="1"/>
      <c r="T36" s="1"/>
      <c r="U36" s="1"/>
      <c r="V36" s="1"/>
      <c r="W36" s="1"/>
      <c r="X36" s="69"/>
      <c r="Y36" s="172" t="s">
        <v>663</v>
      </c>
      <c r="Z36" s="137">
        <v>10</v>
      </c>
      <c r="AA36" s="61">
        <v>-1.2999999999999999E-4</v>
      </c>
      <c r="AB36" s="61">
        <v>-6.9999999999999994E-5</v>
      </c>
      <c r="AC36" s="61">
        <v>-1.8000000000000001E-4</v>
      </c>
      <c r="AD36" s="61">
        <v>-1.1E-4</v>
      </c>
      <c r="AE36" s="61">
        <v>2.3000000000000001E-4</v>
      </c>
      <c r="AF36" s="1"/>
    </row>
    <row r="37" spans="1:32" ht="12.75" customHeight="1" x14ac:dyDescent="0.3">
      <c r="A37" s="93" t="s">
        <v>99</v>
      </c>
      <c r="B37" s="94" t="s">
        <v>356</v>
      </c>
      <c r="C37" s="94" t="s">
        <v>95</v>
      </c>
      <c r="D37" s="95" t="str">
        <f>D34</f>
        <v>mA2</v>
      </c>
      <c r="E37" s="94" t="s">
        <v>96</v>
      </c>
      <c r="F37" s="94">
        <f>U22</f>
        <v>5.6048961987582064E-5</v>
      </c>
      <c r="G37" s="94">
        <f>SQRT(3)</f>
        <v>1.7320508075688772</v>
      </c>
      <c r="H37" s="94">
        <v>50</v>
      </c>
      <c r="I37" s="94">
        <f t="shared" si="25"/>
        <v>3.2359883291329611E-5</v>
      </c>
      <c r="J37" s="94">
        <v>1</v>
      </c>
      <c r="K37" s="94">
        <f t="shared" si="26"/>
        <v>3.2359883291329611E-5</v>
      </c>
      <c r="L37" s="94">
        <f t="shared" si="27"/>
        <v>1.0471620466284734E-9</v>
      </c>
      <c r="M37" s="94">
        <f t="shared" si="28"/>
        <v>2.1930967037982663E-20</v>
      </c>
      <c r="N37" s="1"/>
      <c r="O37" s="1"/>
      <c r="P37" s="1"/>
      <c r="R37" s="1"/>
      <c r="S37" s="1"/>
      <c r="T37" s="1"/>
      <c r="U37" s="1"/>
      <c r="V37" s="1"/>
      <c r="W37" s="1"/>
      <c r="X37" s="69"/>
      <c r="Y37" s="172" t="s">
        <v>663</v>
      </c>
      <c r="Z37" s="137">
        <v>14</v>
      </c>
      <c r="AA37" s="61">
        <v>-1.8000000000000001E-4</v>
      </c>
      <c r="AB37" s="61">
        <v>-1.1E-4</v>
      </c>
      <c r="AC37" s="61">
        <v>-2.5999999999999998E-4</v>
      </c>
      <c r="AD37" s="61">
        <v>-1.4999999999999999E-4</v>
      </c>
      <c r="AE37" s="61">
        <v>3.3E-4</v>
      </c>
      <c r="AF37" s="1"/>
    </row>
    <row r="38" spans="1:32" ht="12.75" customHeight="1" x14ac:dyDescent="0.3">
      <c r="A38" s="64"/>
      <c r="B38" s="64"/>
      <c r="C38" s="64"/>
      <c r="D38" s="64"/>
      <c r="E38" s="64"/>
      <c r="F38" s="64"/>
      <c r="G38" s="64"/>
      <c r="H38" s="64"/>
      <c r="I38" s="64"/>
      <c r="J38" s="64"/>
      <c r="K38" s="64"/>
      <c r="L38" s="64"/>
      <c r="M38" s="64"/>
      <c r="N38" s="1"/>
      <c r="O38" s="1"/>
      <c r="P38" s="1"/>
      <c r="R38" s="1"/>
      <c r="S38" s="1"/>
      <c r="T38" s="1"/>
      <c r="U38" s="1"/>
      <c r="V38" s="1"/>
      <c r="W38" s="1"/>
      <c r="X38" s="69"/>
      <c r="Y38" s="172" t="s">
        <v>663</v>
      </c>
      <c r="Z38" s="137">
        <v>18</v>
      </c>
      <c r="AA38" s="61">
        <v>-2.2000000000000001E-4</v>
      </c>
      <c r="AB38" s="61">
        <v>-1.6000000000000001E-4</v>
      </c>
      <c r="AC38" s="61">
        <v>-3.8000000000000002E-4</v>
      </c>
      <c r="AD38" s="137">
        <v>-2.0000000000000001E-4</v>
      </c>
      <c r="AE38" s="61">
        <v>3.5E-4</v>
      </c>
      <c r="AF38" s="1"/>
    </row>
    <row r="39" spans="1:32" ht="12.75" customHeight="1" x14ac:dyDescent="0.3">
      <c r="A39" s="845" t="s">
        <v>103</v>
      </c>
      <c r="B39" s="846"/>
      <c r="C39" s="846"/>
      <c r="D39" s="846"/>
      <c r="E39" s="846"/>
      <c r="F39" s="846"/>
      <c r="G39" s="846"/>
      <c r="H39" s="846"/>
      <c r="I39" s="846"/>
      <c r="J39" s="792"/>
      <c r="K39" s="847">
        <f>SUM(L34:L37)</f>
        <v>8.3434054953799609E-6</v>
      </c>
      <c r="L39" s="792"/>
      <c r="M39" s="148">
        <f>SUM(M34:M37)</f>
        <v>1.3888902683302728E-12</v>
      </c>
      <c r="N39" s="1"/>
      <c r="O39" s="1"/>
      <c r="P39" s="1"/>
      <c r="R39" s="1"/>
      <c r="S39" s="1"/>
      <c r="T39" s="1"/>
      <c r="U39" s="1"/>
      <c r="V39" s="1"/>
      <c r="W39" s="1"/>
      <c r="X39" s="69"/>
      <c r="Y39" s="172" t="s">
        <v>663</v>
      </c>
      <c r="Z39" s="72">
        <v>20</v>
      </c>
      <c r="AA39" s="61">
        <v>-1E-4</v>
      </c>
      <c r="AB39" s="61">
        <v>-1E-4</v>
      </c>
      <c r="AC39" s="61">
        <v>-1.8E-3</v>
      </c>
      <c r="AD39" s="61">
        <v>-4.0000000000000002E-4</v>
      </c>
      <c r="AE39" s="61">
        <v>2.5000000000000001E-3</v>
      </c>
      <c r="AF39" s="1"/>
    </row>
    <row r="40" spans="1:32" ht="12.75" customHeight="1" x14ac:dyDescent="0.3">
      <c r="A40" s="834" t="s">
        <v>104</v>
      </c>
      <c r="B40" s="794"/>
      <c r="C40" s="794"/>
      <c r="D40" s="794"/>
      <c r="E40" s="794"/>
      <c r="F40" s="794"/>
      <c r="G40" s="794"/>
      <c r="H40" s="794"/>
      <c r="I40" s="794"/>
      <c r="J40" s="780"/>
      <c r="K40" s="835">
        <f>SQRT(K39)</f>
        <v>2.8884953687655381E-3</v>
      </c>
      <c r="L40" s="780"/>
      <c r="M40" s="93"/>
      <c r="N40" s="1"/>
      <c r="O40" s="1"/>
      <c r="P40" s="1"/>
      <c r="R40" s="1"/>
      <c r="S40" s="1"/>
      <c r="T40" s="1"/>
      <c r="U40" s="1"/>
      <c r="V40" s="1"/>
      <c r="W40" s="1"/>
      <c r="X40" s="342"/>
      <c r="Y40" s="172" t="s">
        <v>663</v>
      </c>
      <c r="Z40" s="380">
        <v>32</v>
      </c>
      <c r="AA40" s="378">
        <v>-1E-4</v>
      </c>
      <c r="AB40" s="649" t="s">
        <v>637</v>
      </c>
      <c r="AC40" s="649" t="s">
        <v>637</v>
      </c>
      <c r="AD40" s="649" t="s">
        <v>637</v>
      </c>
      <c r="AE40" s="378">
        <v>3.7000000000000002E-3</v>
      </c>
      <c r="AF40" s="1"/>
    </row>
    <row r="41" spans="1:32" ht="12.75" customHeight="1" x14ac:dyDescent="0.3">
      <c r="A41" s="834" t="s">
        <v>357</v>
      </c>
      <c r="B41" s="794"/>
      <c r="C41" s="794"/>
      <c r="D41" s="794"/>
      <c r="E41" s="794"/>
      <c r="F41" s="794"/>
      <c r="G41" s="794"/>
      <c r="H41" s="794"/>
      <c r="I41" s="794"/>
      <c r="J41" s="780"/>
      <c r="K41" s="99">
        <f>(K40^4)/M39</f>
        <v>50.120889207485611</v>
      </c>
      <c r="L41" s="101"/>
      <c r="M41" s="93"/>
      <c r="N41" s="1"/>
      <c r="O41" s="1"/>
      <c r="P41" s="1"/>
      <c r="R41" s="1"/>
      <c r="S41" s="1"/>
      <c r="T41" s="1"/>
      <c r="U41" s="1"/>
      <c r="V41" s="1"/>
      <c r="W41" s="1"/>
      <c r="X41" s="338">
        <v>329.99900000000002</v>
      </c>
      <c r="Y41" s="1" t="s">
        <v>664</v>
      </c>
      <c r="Z41" s="355">
        <v>33</v>
      </c>
      <c r="AA41" s="356">
        <v>-4.0000000000000002E-4</v>
      </c>
      <c r="AB41" s="385" t="s">
        <v>637</v>
      </c>
      <c r="AC41" s="385" t="s">
        <v>637</v>
      </c>
      <c r="AD41" s="385" t="s">
        <v>637</v>
      </c>
      <c r="AE41" s="356">
        <v>3.8E-3</v>
      </c>
      <c r="AF41" s="1"/>
    </row>
    <row r="42" spans="1:32" ht="12.75" customHeight="1" x14ac:dyDescent="0.3">
      <c r="A42" s="834" t="s">
        <v>358</v>
      </c>
      <c r="B42" s="794"/>
      <c r="C42" s="794"/>
      <c r="D42" s="794"/>
      <c r="E42" s="794"/>
      <c r="F42" s="794"/>
      <c r="G42" s="794"/>
      <c r="H42" s="794"/>
      <c r="I42" s="794"/>
      <c r="J42" s="780"/>
      <c r="K42" s="99">
        <f>1.95996+2.37356/K41+2.818745/K41^2+2.546662/K41^3+1.761829/K41^4+0.245458/K41^5+1.000764/K41^6</f>
        <v>2.0084592735880396</v>
      </c>
      <c r="L42" s="101">
        <v>2</v>
      </c>
      <c r="M42" s="93"/>
      <c r="N42" s="1"/>
      <c r="O42" s="1"/>
      <c r="P42" s="1"/>
      <c r="R42" s="1"/>
      <c r="S42" s="1"/>
      <c r="T42" s="1"/>
      <c r="U42" s="1"/>
      <c r="V42" s="1"/>
      <c r="W42" s="1"/>
      <c r="X42" s="338"/>
      <c r="Y42" s="1" t="s">
        <v>664</v>
      </c>
      <c r="Z42" s="351">
        <v>100</v>
      </c>
      <c r="AA42" s="341">
        <v>-2E-3</v>
      </c>
      <c r="AB42" s="339">
        <v>-1.1000000000000001E-3</v>
      </c>
      <c r="AC42" s="339">
        <v>-9.5999999999999992E-3</v>
      </c>
      <c r="AD42" s="339">
        <v>-8.9999999999999998E-4</v>
      </c>
      <c r="AE42" s="339">
        <v>7.1000000000000004E-3</v>
      </c>
      <c r="AF42" s="1"/>
    </row>
    <row r="43" spans="1:32" ht="12.75" customHeight="1" x14ac:dyDescent="0.3">
      <c r="A43" s="834" t="s">
        <v>107</v>
      </c>
      <c r="B43" s="794"/>
      <c r="C43" s="794"/>
      <c r="D43" s="794"/>
      <c r="E43" s="794"/>
      <c r="F43" s="794"/>
      <c r="G43" s="794"/>
      <c r="H43" s="794"/>
      <c r="I43" s="794"/>
      <c r="J43" s="780"/>
      <c r="K43" s="99">
        <f>K42*K40</f>
        <v>5.8014253101132491E-3</v>
      </c>
      <c r="L43" s="101">
        <f>L42*K40</f>
        <v>5.7769907375310762E-3</v>
      </c>
      <c r="M43" s="93"/>
      <c r="N43" s="1"/>
      <c r="O43" s="1"/>
      <c r="P43" s="1"/>
      <c r="R43" s="1"/>
      <c r="S43" s="1"/>
      <c r="T43" s="1"/>
      <c r="U43" s="1"/>
      <c r="V43" s="1"/>
      <c r="W43" s="1"/>
      <c r="X43" s="69"/>
      <c r="Y43" s="1" t="s">
        <v>664</v>
      </c>
      <c r="Z43" s="135">
        <v>180</v>
      </c>
      <c r="AA43" s="61">
        <v>-3.0000000000000001E-3</v>
      </c>
      <c r="AB43" s="61">
        <v>-1E-3</v>
      </c>
      <c r="AC43" s="61">
        <v>-1.6E-2</v>
      </c>
      <c r="AD43" s="61">
        <v>2E-3</v>
      </c>
      <c r="AE43" s="61">
        <v>1.2E-2</v>
      </c>
      <c r="AF43" s="1"/>
    </row>
    <row r="44" spans="1:32" ht="12.7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R44" s="1"/>
      <c r="S44" s="1"/>
      <c r="T44" s="1"/>
      <c r="U44" s="1"/>
      <c r="V44" s="1"/>
      <c r="W44" s="1"/>
      <c r="X44" s="69"/>
      <c r="Y44" s="1" t="s">
        <v>664</v>
      </c>
      <c r="Z44" s="135">
        <v>200</v>
      </c>
      <c r="AA44" s="61">
        <v>-4.4999999999999998E-2</v>
      </c>
      <c r="AB44" s="61">
        <v>-1.4E-2</v>
      </c>
      <c r="AC44" s="61">
        <v>-1.7000000000000001E-2</v>
      </c>
      <c r="AD44" s="61">
        <v>-8.9999999999999993E-3</v>
      </c>
      <c r="AE44" s="135">
        <v>8.2000000000000003E-2</v>
      </c>
      <c r="AF44" s="1"/>
    </row>
    <row r="45" spans="1:32" ht="12.75" customHeight="1" x14ac:dyDescent="0.3">
      <c r="A45" s="71" t="s">
        <v>76</v>
      </c>
      <c r="B45" s="1"/>
      <c r="C45" s="1"/>
      <c r="D45" s="1">
        <f t="shared" ref="D45:E45" si="29">A$2</f>
        <v>60</v>
      </c>
      <c r="E45" s="103" t="str">
        <f t="shared" si="29"/>
        <v>mA</v>
      </c>
      <c r="F45" s="81"/>
      <c r="G45" s="82"/>
      <c r="H45" s="12"/>
      <c r="I45" s="12"/>
      <c r="J45" s="12"/>
      <c r="K45" s="12"/>
      <c r="L45" s="12"/>
      <c r="M45" s="287" t="str">
        <f>M$31</f>
        <v>DC Current-Measure</v>
      </c>
      <c r="N45" s="1"/>
      <c r="O45" s="1"/>
      <c r="P45" s="1"/>
      <c r="R45" s="1"/>
      <c r="S45" s="1"/>
      <c r="T45" s="1"/>
      <c r="U45" s="1"/>
      <c r="V45" s="1"/>
      <c r="W45" s="1"/>
      <c r="X45" s="386"/>
      <c r="Y45" s="1" t="s">
        <v>664</v>
      </c>
      <c r="Z45" s="379">
        <v>325</v>
      </c>
      <c r="AA45" s="378">
        <v>-0.05</v>
      </c>
      <c r="AB45" s="649" t="s">
        <v>637</v>
      </c>
      <c r="AC45" s="649" t="s">
        <v>637</v>
      </c>
      <c r="AD45" s="649" t="s">
        <v>637</v>
      </c>
      <c r="AE45" s="378">
        <v>0.14000000000000001</v>
      </c>
      <c r="AF45" s="1"/>
    </row>
    <row r="46" spans="1:32" ht="12.75" customHeight="1" x14ac:dyDescent="0.3">
      <c r="A46" s="84" t="s">
        <v>2</v>
      </c>
      <c r="B46" s="85"/>
      <c r="C46" s="85"/>
      <c r="D46" s="80">
        <f>C3</f>
        <v>30</v>
      </c>
      <c r="E46" s="6" t="str">
        <f>D3</f>
        <v>mA2</v>
      </c>
      <c r="F46" s="111"/>
      <c r="G46" s="90"/>
      <c r="H46" s="90">
        <v>0.01</v>
      </c>
      <c r="I46" s="90"/>
      <c r="J46" s="90"/>
      <c r="K46" s="90"/>
      <c r="L46" s="90"/>
      <c r="M46" s="76"/>
      <c r="N46" s="1"/>
      <c r="O46" s="1"/>
      <c r="P46" s="1"/>
      <c r="R46" s="1"/>
      <c r="S46" s="1"/>
      <c r="T46" s="1"/>
      <c r="U46" s="1"/>
      <c r="V46" s="1"/>
      <c r="W46" s="1"/>
      <c r="X46" s="353">
        <v>2.1999900000000001</v>
      </c>
      <c r="Y46" s="1" t="s">
        <v>665</v>
      </c>
      <c r="Z46" s="387">
        <v>0.33</v>
      </c>
      <c r="AA46" s="356">
        <v>-6.0000000000000002E-5</v>
      </c>
      <c r="AB46" s="385" t="s">
        <v>637</v>
      </c>
      <c r="AC46" s="385" t="s">
        <v>637</v>
      </c>
      <c r="AD46" s="385" t="s">
        <v>637</v>
      </c>
      <c r="AE46" s="356">
        <v>1.3999999999999999E-4</v>
      </c>
      <c r="AF46" s="243" t="s">
        <v>42</v>
      </c>
    </row>
    <row r="47" spans="1:32" ht="12.75" customHeight="1" x14ac:dyDescent="0.3">
      <c r="A47" s="91" t="s">
        <v>78</v>
      </c>
      <c r="B47" s="91" t="s">
        <v>79</v>
      </c>
      <c r="C47" s="91" t="s">
        <v>10</v>
      </c>
      <c r="D47" s="91" t="s">
        <v>80</v>
      </c>
      <c r="E47" s="91" t="s">
        <v>81</v>
      </c>
      <c r="F47" s="92" t="s">
        <v>82</v>
      </c>
      <c r="G47" s="91" t="s">
        <v>83</v>
      </c>
      <c r="H47" s="91" t="s">
        <v>84</v>
      </c>
      <c r="I47" s="91" t="s">
        <v>85</v>
      </c>
      <c r="J47" s="91" t="s">
        <v>86</v>
      </c>
      <c r="K47" s="91" t="s">
        <v>87</v>
      </c>
      <c r="L47" s="91" t="s">
        <v>359</v>
      </c>
      <c r="M47" s="91" t="s">
        <v>360</v>
      </c>
      <c r="N47" s="1"/>
      <c r="O47" s="1"/>
      <c r="P47" s="1"/>
      <c r="R47" s="1"/>
      <c r="S47" s="1"/>
      <c r="T47" s="1"/>
      <c r="U47" s="1"/>
      <c r="V47" s="1"/>
      <c r="W47" s="1"/>
      <c r="X47" s="336"/>
      <c r="Y47" s="1" t="s">
        <v>665</v>
      </c>
      <c r="Z47" s="384">
        <v>1</v>
      </c>
      <c r="AA47" s="385">
        <v>-1.4999999999999999E-4</v>
      </c>
      <c r="AB47" s="384">
        <v>-1.1E-4</v>
      </c>
      <c r="AC47" s="384">
        <v>-1E-4</v>
      </c>
      <c r="AD47" s="384">
        <v>-5.0000000000000002E-5</v>
      </c>
      <c r="AE47" s="384">
        <v>4.8000000000000001E-4</v>
      </c>
      <c r="AF47" s="1"/>
    </row>
    <row r="48" spans="1:32" ht="12.75" customHeight="1" x14ac:dyDescent="0.3">
      <c r="A48" s="93" t="s">
        <v>90</v>
      </c>
      <c r="B48" s="94" t="s">
        <v>361</v>
      </c>
      <c r="C48" s="94" t="s">
        <v>42</v>
      </c>
      <c r="D48" s="95" t="str">
        <f>E46</f>
        <v>mA2</v>
      </c>
      <c r="E48" s="94" t="s">
        <v>631</v>
      </c>
      <c r="F48" s="94">
        <f>STDEV(Data!E104:N104)/SQRT(5)</f>
        <v>0</v>
      </c>
      <c r="G48" s="94">
        <v>1</v>
      </c>
      <c r="H48" s="94">
        <f>5-1</f>
        <v>4</v>
      </c>
      <c r="I48" s="94">
        <f t="shared" ref="I48:I51" si="30">(F48)/G48</f>
        <v>0</v>
      </c>
      <c r="J48" s="94">
        <v>1</v>
      </c>
      <c r="K48" s="94">
        <f t="shared" ref="K48:K51" si="31">I48*J48</f>
        <v>0</v>
      </c>
      <c r="L48" s="94">
        <f t="shared" ref="L48:L51" si="32">K48^2</f>
        <v>0</v>
      </c>
      <c r="M48" s="94">
        <f t="shared" ref="M48:M51" si="33">(K48^4)/H48</f>
        <v>0</v>
      </c>
      <c r="N48" s="1"/>
      <c r="O48" s="1"/>
      <c r="P48" s="1"/>
      <c r="R48" s="1"/>
      <c r="S48" s="1"/>
      <c r="T48" s="1"/>
      <c r="U48" s="1"/>
      <c r="V48" s="1"/>
      <c r="W48" s="1"/>
      <c r="X48" s="69"/>
      <c r="Y48" s="1" t="s">
        <v>665</v>
      </c>
      <c r="Z48" s="137">
        <v>1.8</v>
      </c>
      <c r="AA48" s="137">
        <v>-2.9999999999999997E-4</v>
      </c>
      <c r="AB48" s="61">
        <v>-2.4000000000000001E-4</v>
      </c>
      <c r="AC48" s="61">
        <v>-2.1000000000000001E-4</v>
      </c>
      <c r="AD48" s="61">
        <v>-1.6000000000000001E-4</v>
      </c>
      <c r="AE48" s="61">
        <v>5.2999999999999998E-4</v>
      </c>
      <c r="AF48" s="1"/>
    </row>
    <row r="49" spans="1:32" ht="12.75" customHeight="1" x14ac:dyDescent="0.3">
      <c r="A49" s="93" t="s">
        <v>93</v>
      </c>
      <c r="B49" s="94" t="s">
        <v>362</v>
      </c>
      <c r="C49" s="94" t="s">
        <v>95</v>
      </c>
      <c r="D49" s="95" t="str">
        <f>D48</f>
        <v>mA2</v>
      </c>
      <c r="E49" s="94" t="s">
        <v>96</v>
      </c>
      <c r="F49" s="94">
        <f>H46/2</f>
        <v>5.0000000000000001E-3</v>
      </c>
      <c r="G49" s="94">
        <f>SQRT(3)</f>
        <v>1.7320508075688772</v>
      </c>
      <c r="H49" s="94">
        <v>50</v>
      </c>
      <c r="I49" s="94">
        <f t="shared" si="30"/>
        <v>2.886751345948129E-3</v>
      </c>
      <c r="J49" s="94">
        <v>1</v>
      </c>
      <c r="K49" s="94">
        <f t="shared" si="31"/>
        <v>2.886751345948129E-3</v>
      </c>
      <c r="L49" s="94">
        <f t="shared" si="32"/>
        <v>8.3333333333333337E-6</v>
      </c>
      <c r="M49" s="94">
        <f t="shared" si="33"/>
        <v>1.3888888888888891E-12</v>
      </c>
      <c r="N49" s="1"/>
      <c r="O49" s="1"/>
      <c r="P49" s="1"/>
      <c r="R49" s="1"/>
      <c r="S49" s="1"/>
      <c r="T49" s="1"/>
      <c r="U49" s="1"/>
      <c r="V49" s="1"/>
      <c r="W49" s="1"/>
      <c r="X49" s="69"/>
      <c r="Y49" s="1" t="s">
        <v>665</v>
      </c>
      <c r="Z49" s="72">
        <v>2</v>
      </c>
      <c r="AA49" s="61">
        <v>-8.9999999999999998E-4</v>
      </c>
      <c r="AB49" s="61">
        <v>-1E-4</v>
      </c>
      <c r="AC49" s="61">
        <v>-1.1000000000000001E-3</v>
      </c>
      <c r="AD49" s="72">
        <v>0</v>
      </c>
      <c r="AE49" s="72">
        <v>2E-3</v>
      </c>
      <c r="AF49" s="1"/>
    </row>
    <row r="50" spans="1:32" ht="12.75" customHeight="1" x14ac:dyDescent="0.3">
      <c r="A50" s="93" t="s">
        <v>97</v>
      </c>
      <c r="B50" s="94" t="s">
        <v>363</v>
      </c>
      <c r="C50" s="94" t="s">
        <v>95</v>
      </c>
      <c r="D50" s="95" t="str">
        <f>D48</f>
        <v>mA2</v>
      </c>
      <c r="E50" s="94" t="s">
        <v>92</v>
      </c>
      <c r="F50" s="94">
        <f>V23</f>
        <v>3.7000000000000002E-3</v>
      </c>
      <c r="G50" s="94">
        <v>2</v>
      </c>
      <c r="H50" s="94">
        <v>60</v>
      </c>
      <c r="I50" s="94">
        <f t="shared" si="30"/>
        <v>1.8500000000000001E-3</v>
      </c>
      <c r="J50" s="94">
        <v>1</v>
      </c>
      <c r="K50" s="94">
        <f t="shared" si="31"/>
        <v>1.8500000000000001E-3</v>
      </c>
      <c r="L50" s="94">
        <f t="shared" si="32"/>
        <v>3.4225000000000003E-6</v>
      </c>
      <c r="M50" s="94">
        <f t="shared" si="33"/>
        <v>1.9522510416666671E-13</v>
      </c>
      <c r="N50" s="1"/>
      <c r="O50" s="1"/>
      <c r="P50" s="1"/>
      <c r="R50" s="1"/>
      <c r="S50" s="1"/>
      <c r="T50" s="1"/>
      <c r="U50" s="1"/>
      <c r="V50" s="1"/>
      <c r="W50" s="1"/>
      <c r="X50" s="386"/>
      <c r="Y50" s="1" t="s">
        <v>665</v>
      </c>
      <c r="Z50" s="380">
        <v>2.1</v>
      </c>
      <c r="AA50" s="378">
        <v>-8.9999999999999998E-4</v>
      </c>
      <c r="AB50" s="649" t="s">
        <v>637</v>
      </c>
      <c r="AC50" s="649" t="s">
        <v>637</v>
      </c>
      <c r="AD50" s="649" t="s">
        <v>637</v>
      </c>
      <c r="AE50" s="378">
        <v>3.0999999999999999E-3</v>
      </c>
      <c r="AF50" s="1"/>
    </row>
    <row r="51" spans="1:32" ht="12.75" customHeight="1" x14ac:dyDescent="0.3">
      <c r="A51" s="93" t="s">
        <v>99</v>
      </c>
      <c r="B51" s="94" t="s">
        <v>364</v>
      </c>
      <c r="C51" s="94" t="s">
        <v>95</v>
      </c>
      <c r="D51" s="95" t="str">
        <f>D48</f>
        <v>mA2</v>
      </c>
      <c r="E51" s="94" t="s">
        <v>96</v>
      </c>
      <c r="F51" s="94">
        <f>U23</f>
        <v>1.1458321121333437E-3</v>
      </c>
      <c r="G51" s="94">
        <f>SQRT(3)</f>
        <v>1.7320508075688772</v>
      </c>
      <c r="H51" s="94">
        <v>50</v>
      </c>
      <c r="I51" s="94">
        <f t="shared" si="30"/>
        <v>6.615464783863035E-4</v>
      </c>
      <c r="J51" s="94">
        <v>1</v>
      </c>
      <c r="K51" s="94">
        <f t="shared" si="31"/>
        <v>6.615464783863035E-4</v>
      </c>
      <c r="L51" s="94">
        <f t="shared" si="32"/>
        <v>4.3764374306531992E-7</v>
      </c>
      <c r="M51" s="94">
        <f t="shared" si="33"/>
        <v>3.8306409168844752E-15</v>
      </c>
      <c r="N51" s="1"/>
      <c r="O51" s="1"/>
      <c r="P51" s="1"/>
      <c r="R51" s="1"/>
      <c r="S51" s="1"/>
      <c r="T51" s="1"/>
      <c r="U51" s="1"/>
      <c r="V51" s="1"/>
      <c r="W51" s="1"/>
      <c r="X51" s="388">
        <v>11</v>
      </c>
      <c r="Y51" s="172" t="s">
        <v>666</v>
      </c>
      <c r="Z51" s="392">
        <v>2.2000000000000002</v>
      </c>
      <c r="AA51" s="389">
        <v>-1.1000000000000001E-3</v>
      </c>
      <c r="AB51" s="652" t="s">
        <v>637</v>
      </c>
      <c r="AC51" s="652" t="s">
        <v>637</v>
      </c>
      <c r="AD51" s="652" t="s">
        <v>637</v>
      </c>
      <c r="AE51" s="389">
        <v>3.0999999999999999E-3</v>
      </c>
      <c r="AF51" s="1"/>
    </row>
    <row r="52" spans="1:32" ht="12.75" customHeight="1" x14ac:dyDescent="0.3">
      <c r="A52" s="64"/>
      <c r="B52" s="64"/>
      <c r="C52" s="64"/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1"/>
      <c r="O52" s="1"/>
      <c r="P52" s="1"/>
      <c r="R52" s="1"/>
      <c r="S52" s="1"/>
      <c r="T52" s="1"/>
      <c r="U52" s="1"/>
      <c r="V52" s="1"/>
      <c r="W52" s="1"/>
      <c r="X52" s="353"/>
      <c r="Y52" s="172" t="s">
        <v>666</v>
      </c>
      <c r="Z52" s="382">
        <v>10</v>
      </c>
      <c r="AA52" s="356">
        <v>-8.9999999999999998E-4</v>
      </c>
      <c r="AB52" s="356">
        <v>-1E-3</v>
      </c>
      <c r="AC52" s="356">
        <v>-7.0000000000000001E-3</v>
      </c>
      <c r="AD52" s="356">
        <v>-4.0000000000000001E-3</v>
      </c>
      <c r="AE52" s="356">
        <v>6.8999999999999999E-3</v>
      </c>
      <c r="AF52" s="1"/>
    </row>
    <row r="53" spans="1:32" ht="12.75" customHeight="1" x14ac:dyDescent="0.3">
      <c r="A53" s="845" t="s">
        <v>103</v>
      </c>
      <c r="B53" s="846"/>
      <c r="C53" s="846"/>
      <c r="D53" s="846"/>
      <c r="E53" s="846"/>
      <c r="F53" s="846"/>
      <c r="G53" s="846"/>
      <c r="H53" s="846"/>
      <c r="I53" s="846"/>
      <c r="J53" s="792"/>
      <c r="K53" s="847">
        <f>SUM(L48:L51)</f>
        <v>1.2193477076398653E-5</v>
      </c>
      <c r="L53" s="792"/>
      <c r="M53" s="148">
        <f>SUM(M48:M51)</f>
        <v>1.5879446339724403E-12</v>
      </c>
      <c r="N53" s="1"/>
      <c r="O53" s="1"/>
      <c r="P53" s="1"/>
      <c r="R53" s="1"/>
      <c r="S53" s="1"/>
      <c r="T53" s="1"/>
      <c r="U53" s="1"/>
      <c r="V53" s="1"/>
      <c r="W53" s="1"/>
      <c r="X53" s="390"/>
      <c r="Y53" s="172" t="s">
        <v>666</v>
      </c>
      <c r="Z53" s="372">
        <v>10.9</v>
      </c>
      <c r="AA53" s="368">
        <v>-1.6000000000000001E-3</v>
      </c>
      <c r="AB53" s="624" t="s">
        <v>637</v>
      </c>
      <c r="AC53" s="624" t="s">
        <v>637</v>
      </c>
      <c r="AD53" s="624" t="s">
        <v>637</v>
      </c>
      <c r="AE53" s="368">
        <v>9.9000000000000008E-3</v>
      </c>
      <c r="AF53" s="1"/>
    </row>
    <row r="54" spans="1:32" ht="12.75" customHeight="1" x14ac:dyDescent="0.3">
      <c r="A54" s="834" t="s">
        <v>104</v>
      </c>
      <c r="B54" s="794"/>
      <c r="C54" s="794"/>
      <c r="D54" s="794"/>
      <c r="E54" s="794"/>
      <c r="F54" s="794"/>
      <c r="G54" s="794"/>
      <c r="H54" s="794"/>
      <c r="I54" s="794"/>
      <c r="J54" s="780"/>
      <c r="K54" s="835">
        <f>SQRT(K53)</f>
        <v>3.4919159606724005E-3</v>
      </c>
      <c r="L54" s="780"/>
      <c r="M54" s="93"/>
      <c r="N54" s="1"/>
      <c r="O54" s="1"/>
      <c r="P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spans="1:32" ht="12.75" customHeight="1" x14ac:dyDescent="0.3">
      <c r="A55" s="834" t="s">
        <v>365</v>
      </c>
      <c r="B55" s="794"/>
      <c r="C55" s="794"/>
      <c r="D55" s="794"/>
      <c r="E55" s="794"/>
      <c r="F55" s="794"/>
      <c r="G55" s="794"/>
      <c r="H55" s="794"/>
      <c r="I55" s="794"/>
      <c r="J55" s="780"/>
      <c r="K55" s="99">
        <f>(K54^4)/M53</f>
        <v>93.631024679189096</v>
      </c>
      <c r="L55" s="101"/>
      <c r="M55" s="93"/>
      <c r="N55" s="1"/>
      <c r="O55" s="1"/>
      <c r="P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 spans="1:32" ht="12.75" customHeight="1" x14ac:dyDescent="0.3">
      <c r="A56" s="834" t="s">
        <v>366</v>
      </c>
      <c r="B56" s="794"/>
      <c r="C56" s="794"/>
      <c r="D56" s="794"/>
      <c r="E56" s="794"/>
      <c r="F56" s="794"/>
      <c r="G56" s="794"/>
      <c r="H56" s="794"/>
      <c r="I56" s="794"/>
      <c r="J56" s="780"/>
      <c r="K56" s="99">
        <f>1.95996+2.37356/K55+2.818745/K55^2+2.546662/K55^3+1.761829/K55^4+0.245458/K55^5+1.000764/K55^6</f>
        <v>1.9856347960067433</v>
      </c>
      <c r="L56" s="101">
        <v>2</v>
      </c>
      <c r="M56" s="93"/>
      <c r="N56" s="1"/>
      <c r="O56" s="1"/>
      <c r="P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spans="1:32" ht="12.75" customHeight="1" x14ac:dyDescent="0.3">
      <c r="A57" s="834" t="s">
        <v>107</v>
      </c>
      <c r="B57" s="794"/>
      <c r="C57" s="794"/>
      <c r="D57" s="794"/>
      <c r="E57" s="794"/>
      <c r="F57" s="794"/>
      <c r="G57" s="794"/>
      <c r="H57" s="794"/>
      <c r="I57" s="794"/>
      <c r="J57" s="780"/>
      <c r="K57" s="99">
        <f>K56*K54</f>
        <v>6.9336698362424329E-3</v>
      </c>
      <c r="L57" s="101">
        <f>L56*K54</f>
        <v>6.983831921344801E-3</v>
      </c>
      <c r="M57" s="93"/>
      <c r="N57" s="1"/>
      <c r="O57" s="1"/>
      <c r="P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 spans="1:32" ht="12.7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spans="1:32" ht="12.75" customHeight="1" x14ac:dyDescent="0.3">
      <c r="A59" s="71" t="s">
        <v>76</v>
      </c>
      <c r="B59" s="1"/>
      <c r="C59" s="1"/>
      <c r="D59" s="1">
        <f t="shared" ref="D59:E59" si="34">A$2</f>
        <v>60</v>
      </c>
      <c r="E59" s="103" t="str">
        <f t="shared" si="34"/>
        <v>mA</v>
      </c>
      <c r="F59" s="81"/>
      <c r="G59" s="82"/>
      <c r="H59" s="12"/>
      <c r="I59" s="12"/>
      <c r="J59" s="12"/>
      <c r="K59" s="12"/>
      <c r="L59" s="12"/>
      <c r="M59" s="287" t="str">
        <f>M$31</f>
        <v>DC Current-Measure</v>
      </c>
      <c r="N59" s="1"/>
      <c r="O59" s="1"/>
      <c r="P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spans="1:32" ht="12.75" customHeight="1" x14ac:dyDescent="0.3">
      <c r="A60" s="84" t="s">
        <v>2</v>
      </c>
      <c r="B60" s="85"/>
      <c r="C60" s="85"/>
      <c r="D60" s="6">
        <f>C4</f>
        <v>54</v>
      </c>
      <c r="E60" s="6" t="str">
        <f>D4</f>
        <v>mA3</v>
      </c>
      <c r="F60" s="111"/>
      <c r="G60" s="90"/>
      <c r="H60" s="90">
        <v>0.01</v>
      </c>
      <c r="I60" s="90"/>
      <c r="J60" s="90"/>
      <c r="K60" s="90"/>
      <c r="L60" s="90"/>
      <c r="M60" s="76"/>
      <c r="N60" s="1"/>
      <c r="O60" s="1"/>
      <c r="P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spans="1:32" ht="12.75" customHeight="1" x14ac:dyDescent="0.3">
      <c r="A61" s="91" t="s">
        <v>78</v>
      </c>
      <c r="B61" s="91" t="s">
        <v>79</v>
      </c>
      <c r="C61" s="91" t="s">
        <v>10</v>
      </c>
      <c r="D61" s="91" t="s">
        <v>80</v>
      </c>
      <c r="E61" s="91" t="s">
        <v>81</v>
      </c>
      <c r="F61" s="92" t="s">
        <v>82</v>
      </c>
      <c r="G61" s="91" t="s">
        <v>83</v>
      </c>
      <c r="H61" s="91" t="s">
        <v>84</v>
      </c>
      <c r="I61" s="91" t="s">
        <v>85</v>
      </c>
      <c r="J61" s="91" t="s">
        <v>86</v>
      </c>
      <c r="K61" s="91" t="s">
        <v>87</v>
      </c>
      <c r="L61" s="91" t="s">
        <v>367</v>
      </c>
      <c r="M61" s="91" t="s">
        <v>368</v>
      </c>
      <c r="N61" s="1"/>
      <c r="O61" s="1"/>
      <c r="P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 spans="1:32" ht="12.75" customHeight="1" x14ac:dyDescent="0.3">
      <c r="A62" s="93" t="s">
        <v>90</v>
      </c>
      <c r="B62" s="94" t="s">
        <v>369</v>
      </c>
      <c r="C62" s="94" t="s">
        <v>42</v>
      </c>
      <c r="D62" s="95" t="str">
        <f>E60</f>
        <v>mA3</v>
      </c>
      <c r="E62" s="94" t="s">
        <v>631</v>
      </c>
      <c r="F62" s="94">
        <f>STDEV(Data!E105:N105)/SQRT(5)</f>
        <v>3.5527136788005009E-15</v>
      </c>
      <c r="G62" s="94">
        <v>1</v>
      </c>
      <c r="H62" s="94">
        <f>5-1</f>
        <v>4</v>
      </c>
      <c r="I62" s="94">
        <f t="shared" ref="I62:I65" si="35">(F62)/G62</f>
        <v>3.5527136788005009E-15</v>
      </c>
      <c r="J62" s="94">
        <v>1</v>
      </c>
      <c r="K62" s="94">
        <f t="shared" ref="K62:K65" si="36">I62*J62</f>
        <v>3.5527136788005009E-15</v>
      </c>
      <c r="L62" s="94">
        <f t="shared" ref="L62:L65" si="37">K62^2</f>
        <v>1.2621774483536189E-29</v>
      </c>
      <c r="M62" s="94">
        <f t="shared" ref="M62:M65" si="38">(K62^4)/H62</f>
        <v>3.9827297778311307E-59</v>
      </c>
      <c r="N62" s="1"/>
      <c r="O62" s="1"/>
      <c r="P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 spans="1:32" ht="12.75" customHeight="1" x14ac:dyDescent="0.3">
      <c r="A63" s="93" t="s">
        <v>93</v>
      </c>
      <c r="B63" s="94" t="s">
        <v>370</v>
      </c>
      <c r="C63" s="94" t="s">
        <v>95</v>
      </c>
      <c r="D63" s="95" t="str">
        <f>D62</f>
        <v>mA3</v>
      </c>
      <c r="E63" s="94" t="s">
        <v>96</v>
      </c>
      <c r="F63" s="94">
        <f>H60/2</f>
        <v>5.0000000000000001E-3</v>
      </c>
      <c r="G63" s="94">
        <f>SQRT(3)</f>
        <v>1.7320508075688772</v>
      </c>
      <c r="H63" s="94">
        <v>50</v>
      </c>
      <c r="I63" s="94">
        <f t="shared" si="35"/>
        <v>2.886751345948129E-3</v>
      </c>
      <c r="J63" s="94">
        <v>1</v>
      </c>
      <c r="K63" s="94">
        <f t="shared" si="36"/>
        <v>2.886751345948129E-3</v>
      </c>
      <c r="L63" s="94">
        <f t="shared" si="37"/>
        <v>8.3333333333333337E-6</v>
      </c>
      <c r="M63" s="94">
        <f t="shared" si="38"/>
        <v>1.3888888888888891E-12</v>
      </c>
      <c r="N63" s="1"/>
      <c r="O63" s="1"/>
      <c r="P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ht="12.75" customHeight="1" x14ac:dyDescent="0.3">
      <c r="A64" s="93" t="s">
        <v>97</v>
      </c>
      <c r="B64" s="94" t="s">
        <v>371</v>
      </c>
      <c r="C64" s="94" t="s">
        <v>95</v>
      </c>
      <c r="D64" s="95" t="str">
        <f>D62</f>
        <v>mA3</v>
      </c>
      <c r="E64" s="94" t="s">
        <v>92</v>
      </c>
      <c r="F64" s="96">
        <f>V24</f>
        <v>7.1000000000000004E-3</v>
      </c>
      <c r="G64" s="94">
        <v>2</v>
      </c>
      <c r="H64" s="94">
        <v>60</v>
      </c>
      <c r="I64" s="94">
        <f t="shared" si="35"/>
        <v>3.5500000000000002E-3</v>
      </c>
      <c r="J64" s="94">
        <v>1</v>
      </c>
      <c r="K64" s="94">
        <f t="shared" si="36"/>
        <v>3.5500000000000002E-3</v>
      </c>
      <c r="L64" s="94">
        <f t="shared" si="37"/>
        <v>1.2602500000000002E-5</v>
      </c>
      <c r="M64" s="94">
        <f t="shared" si="38"/>
        <v>2.6470501041666677E-12</v>
      </c>
      <c r="N64" s="1"/>
      <c r="O64" s="1"/>
      <c r="P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ht="12.75" customHeight="1" x14ac:dyDescent="0.3">
      <c r="A65" s="93" t="s">
        <v>99</v>
      </c>
      <c r="B65" s="94" t="s">
        <v>372</v>
      </c>
      <c r="C65" s="94" t="s">
        <v>95</v>
      </c>
      <c r="D65" s="95" t="str">
        <f>D62</f>
        <v>mA3</v>
      </c>
      <c r="E65" s="94" t="s">
        <v>96</v>
      </c>
      <c r="F65" s="94">
        <f>U24</f>
        <v>6.4421123244471504E-3</v>
      </c>
      <c r="G65" s="94">
        <f>SQRT(3)</f>
        <v>1.7320508075688772</v>
      </c>
      <c r="H65" s="94">
        <v>50</v>
      </c>
      <c r="I65" s="94">
        <f t="shared" si="35"/>
        <v>3.7193552846693681E-3</v>
      </c>
      <c r="J65" s="94">
        <v>1</v>
      </c>
      <c r="K65" s="94">
        <f t="shared" si="36"/>
        <v>3.7193552846693681E-3</v>
      </c>
      <c r="L65" s="94">
        <f t="shared" si="37"/>
        <v>1.3833603733597957E-5</v>
      </c>
      <c r="M65" s="94">
        <f t="shared" si="38"/>
        <v>3.8273718451643065E-12</v>
      </c>
      <c r="N65" s="1"/>
      <c r="O65" s="1"/>
      <c r="P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 ht="12.75" customHeight="1" x14ac:dyDescent="0.3">
      <c r="A66" s="64"/>
      <c r="B66" s="64"/>
      <c r="C66" s="64"/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1"/>
      <c r="O66" s="1"/>
      <c r="P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spans="1:32" ht="12.75" customHeight="1" x14ac:dyDescent="0.3">
      <c r="A67" s="845" t="s">
        <v>103</v>
      </c>
      <c r="B67" s="846"/>
      <c r="C67" s="846"/>
      <c r="D67" s="846"/>
      <c r="E67" s="846"/>
      <c r="F67" s="846"/>
      <c r="G67" s="846"/>
      <c r="H67" s="846"/>
      <c r="I67" s="846"/>
      <c r="J67" s="792"/>
      <c r="K67" s="847">
        <f>SUM(L62:L65)</f>
        <v>3.4769437066931291E-5</v>
      </c>
      <c r="L67" s="792"/>
      <c r="M67" s="148">
        <f>SUM(M62:M65)</f>
        <v>7.8633108382198632E-12</v>
      </c>
      <c r="N67" s="1"/>
      <c r="O67" s="1"/>
      <c r="P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 spans="1:32" ht="12.75" customHeight="1" x14ac:dyDescent="0.3">
      <c r="A68" s="834" t="s">
        <v>104</v>
      </c>
      <c r="B68" s="794"/>
      <c r="C68" s="794"/>
      <c r="D68" s="794"/>
      <c r="E68" s="794"/>
      <c r="F68" s="794"/>
      <c r="G68" s="794"/>
      <c r="H68" s="794"/>
      <c r="I68" s="794"/>
      <c r="J68" s="780"/>
      <c r="K68" s="835">
        <f>SQRT(K67)</f>
        <v>5.8965614613036375E-3</v>
      </c>
      <c r="L68" s="780"/>
      <c r="M68" s="93"/>
      <c r="N68" s="1"/>
      <c r="O68" s="1"/>
      <c r="P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 spans="1:32" ht="12.75" customHeight="1" x14ac:dyDescent="0.3">
      <c r="A69" s="834" t="s">
        <v>373</v>
      </c>
      <c r="B69" s="794"/>
      <c r="C69" s="794"/>
      <c r="D69" s="794"/>
      <c r="E69" s="794"/>
      <c r="F69" s="794"/>
      <c r="G69" s="794"/>
      <c r="H69" s="794"/>
      <c r="I69" s="794"/>
      <c r="J69" s="780"/>
      <c r="K69" s="99">
        <f>(K68^4)/M67</f>
        <v>153.7410613447116</v>
      </c>
      <c r="L69" s="101"/>
      <c r="M69" s="93"/>
      <c r="N69" s="1"/>
      <c r="O69" s="1"/>
      <c r="P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 spans="1:32" ht="12.75" customHeight="1" x14ac:dyDescent="0.3">
      <c r="A70" s="834" t="s">
        <v>374</v>
      </c>
      <c r="B70" s="794"/>
      <c r="C70" s="794"/>
      <c r="D70" s="794"/>
      <c r="E70" s="794"/>
      <c r="F70" s="794"/>
      <c r="G70" s="794"/>
      <c r="H70" s="794"/>
      <c r="I70" s="794"/>
      <c r="J70" s="780"/>
      <c r="K70" s="99">
        <f>1.95996+2.37356/K69+2.818745/K69^2+2.546662/K69^3+1.761829/K69^4+0.245458/K69^5+1.000764/K69^6</f>
        <v>1.9755186450016158</v>
      </c>
      <c r="L70" s="101">
        <v>2</v>
      </c>
      <c r="M70" s="93"/>
      <c r="N70" s="1"/>
      <c r="O70" s="1"/>
      <c r="P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 spans="1:32" ht="12.75" customHeight="1" x14ac:dyDescent="0.3">
      <c r="A71" s="834" t="s">
        <v>107</v>
      </c>
      <c r="B71" s="794"/>
      <c r="C71" s="794"/>
      <c r="D71" s="794"/>
      <c r="E71" s="794"/>
      <c r="F71" s="794"/>
      <c r="G71" s="794"/>
      <c r="H71" s="794"/>
      <c r="I71" s="794"/>
      <c r="J71" s="780"/>
      <c r="K71" s="99">
        <f>K70*K68</f>
        <v>1.164876710820331E-2</v>
      </c>
      <c r="L71" s="101">
        <f>L70*K68</f>
        <v>1.1793122922607275E-2</v>
      </c>
      <c r="M71" s="93"/>
      <c r="N71" s="1"/>
      <c r="O71" s="1"/>
      <c r="P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 spans="1:32" ht="12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 spans="1:32" ht="12.75" customHeight="1" x14ac:dyDescent="0.3">
      <c r="A73" s="71" t="s">
        <v>76</v>
      </c>
      <c r="B73" s="1"/>
      <c r="C73" s="1"/>
      <c r="D73" s="1">
        <f t="shared" ref="D73:E73" si="39">A$5</f>
        <v>600</v>
      </c>
      <c r="E73" s="103" t="str">
        <f t="shared" si="39"/>
        <v>mA</v>
      </c>
      <c r="F73" s="81"/>
      <c r="G73" s="82"/>
      <c r="H73" s="12"/>
      <c r="I73" s="12"/>
      <c r="J73" s="12"/>
      <c r="K73" s="12"/>
      <c r="L73" s="12"/>
      <c r="M73" s="287" t="str">
        <f>M$31</f>
        <v>DC Current-Measure</v>
      </c>
      <c r="N73" s="1"/>
      <c r="O73" s="1"/>
      <c r="P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spans="1:32" ht="12.75" customHeight="1" x14ac:dyDescent="0.3">
      <c r="A74" s="84" t="s">
        <v>2</v>
      </c>
      <c r="B74" s="85"/>
      <c r="C74" s="85"/>
      <c r="D74" s="6">
        <f>C5</f>
        <v>60</v>
      </c>
      <c r="E74" s="6" t="str">
        <f>D5</f>
        <v>mA3</v>
      </c>
      <c r="F74" s="111"/>
      <c r="G74" s="147"/>
      <c r="H74" s="90">
        <v>0.1</v>
      </c>
      <c r="I74" s="90"/>
      <c r="J74" s="90"/>
      <c r="K74" s="90"/>
      <c r="L74" s="90"/>
      <c r="M74" s="76"/>
      <c r="N74" s="1"/>
      <c r="O74" s="1"/>
      <c r="P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spans="1:32" ht="12.75" customHeight="1" x14ac:dyDescent="0.3">
      <c r="A75" s="91" t="s">
        <v>78</v>
      </c>
      <c r="B75" s="91" t="s">
        <v>79</v>
      </c>
      <c r="C75" s="91" t="s">
        <v>10</v>
      </c>
      <c r="D75" s="91" t="s">
        <v>80</v>
      </c>
      <c r="E75" s="91" t="s">
        <v>81</v>
      </c>
      <c r="F75" s="92" t="s">
        <v>82</v>
      </c>
      <c r="G75" s="91" t="s">
        <v>83</v>
      </c>
      <c r="H75" s="91" t="s">
        <v>84</v>
      </c>
      <c r="I75" s="91" t="s">
        <v>85</v>
      </c>
      <c r="J75" s="91" t="s">
        <v>86</v>
      </c>
      <c r="K75" s="91" t="s">
        <v>87</v>
      </c>
      <c r="L75" s="91" t="s">
        <v>375</v>
      </c>
      <c r="M75" s="91" t="s">
        <v>376</v>
      </c>
      <c r="N75" s="1"/>
      <c r="O75" s="1"/>
      <c r="P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 spans="1:32" ht="12.75" customHeight="1" x14ac:dyDescent="0.3">
      <c r="A76" s="93" t="s">
        <v>90</v>
      </c>
      <c r="B76" s="94" t="s">
        <v>377</v>
      </c>
      <c r="C76" s="94" t="s">
        <v>42</v>
      </c>
      <c r="D76" s="95" t="str">
        <f>E74</f>
        <v>mA3</v>
      </c>
      <c r="E76" s="94" t="s">
        <v>631</v>
      </c>
      <c r="F76" s="94">
        <f>STDEV(Data!E107:N107)/SQRT(5)</f>
        <v>0</v>
      </c>
      <c r="G76" s="94">
        <v>1</v>
      </c>
      <c r="H76" s="94">
        <f>5-1</f>
        <v>4</v>
      </c>
      <c r="I76" s="94">
        <f t="shared" ref="I76:I79" si="40">(F76)/G76</f>
        <v>0</v>
      </c>
      <c r="J76" s="94">
        <v>1</v>
      </c>
      <c r="K76" s="94">
        <f t="shared" ref="K76:K79" si="41">I76*J76</f>
        <v>0</v>
      </c>
      <c r="L76" s="94">
        <f t="shared" ref="L76:L79" si="42">K76^2</f>
        <v>0</v>
      </c>
      <c r="M76" s="94">
        <f t="shared" ref="M76:M79" si="43">(K76^4)/H76</f>
        <v>0</v>
      </c>
      <c r="N76" s="1"/>
      <c r="O76" s="1"/>
      <c r="P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 spans="1:32" ht="12.75" customHeight="1" x14ac:dyDescent="0.3">
      <c r="A77" s="93" t="s">
        <v>93</v>
      </c>
      <c r="B77" s="94" t="s">
        <v>378</v>
      </c>
      <c r="C77" s="94" t="s">
        <v>95</v>
      </c>
      <c r="D77" s="95" t="str">
        <f>D76</f>
        <v>mA3</v>
      </c>
      <c r="E77" s="94" t="s">
        <v>96</v>
      </c>
      <c r="F77" s="94">
        <f>H74/2</f>
        <v>0.05</v>
      </c>
      <c r="G77" s="94">
        <f>SQRT(3)</f>
        <v>1.7320508075688772</v>
      </c>
      <c r="H77" s="94">
        <v>50</v>
      </c>
      <c r="I77" s="94">
        <f t="shared" si="40"/>
        <v>2.8867513459481291E-2</v>
      </c>
      <c r="J77" s="94">
        <v>1</v>
      </c>
      <c r="K77" s="94">
        <f t="shared" si="41"/>
        <v>2.8867513459481291E-2</v>
      </c>
      <c r="L77" s="94">
        <f t="shared" si="42"/>
        <v>8.333333333333335E-4</v>
      </c>
      <c r="M77" s="94">
        <f t="shared" si="43"/>
        <v>1.3888888888888894E-8</v>
      </c>
      <c r="N77" s="1"/>
      <c r="O77" s="1"/>
      <c r="P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spans="1:32" ht="12.75" customHeight="1" x14ac:dyDescent="0.3">
      <c r="A78" s="93" t="s">
        <v>97</v>
      </c>
      <c r="B78" s="94" t="s">
        <v>379</v>
      </c>
      <c r="C78" s="94" t="s">
        <v>95</v>
      </c>
      <c r="D78" s="95" t="str">
        <f>D76</f>
        <v>mA3</v>
      </c>
      <c r="E78" s="94" t="s">
        <v>92</v>
      </c>
      <c r="F78" s="96">
        <f>V25</f>
        <v>7.1000000000000004E-3</v>
      </c>
      <c r="G78" s="94">
        <v>2</v>
      </c>
      <c r="H78" s="94">
        <v>60</v>
      </c>
      <c r="I78" s="94">
        <f t="shared" si="40"/>
        <v>3.5500000000000002E-3</v>
      </c>
      <c r="J78" s="94">
        <v>1</v>
      </c>
      <c r="K78" s="94">
        <f t="shared" si="41"/>
        <v>3.5500000000000002E-3</v>
      </c>
      <c r="L78" s="94">
        <f t="shared" si="42"/>
        <v>1.2602500000000002E-5</v>
      </c>
      <c r="M78" s="94">
        <f t="shared" si="43"/>
        <v>2.6470501041666677E-12</v>
      </c>
      <c r="N78" s="1"/>
      <c r="O78" s="1"/>
      <c r="P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 spans="1:32" ht="12.75" customHeight="1" x14ac:dyDescent="0.3">
      <c r="A79" s="93" t="s">
        <v>99</v>
      </c>
      <c r="B79" s="94" t="s">
        <v>380</v>
      </c>
      <c r="C79" s="94" t="s">
        <v>95</v>
      </c>
      <c r="D79" s="95" t="str">
        <f>D76</f>
        <v>mA3</v>
      </c>
      <c r="E79" s="94" t="s">
        <v>96</v>
      </c>
      <c r="F79" s="94">
        <f>U25</f>
        <v>6.4005247277654593E-3</v>
      </c>
      <c r="G79" s="94">
        <f>SQRT(3)</f>
        <v>1.7320508075688772</v>
      </c>
      <c r="H79" s="94">
        <v>50</v>
      </c>
      <c r="I79" s="94">
        <f t="shared" si="40"/>
        <v>3.6953446745302443E-3</v>
      </c>
      <c r="J79" s="94">
        <v>1</v>
      </c>
      <c r="K79" s="94">
        <f t="shared" si="41"/>
        <v>3.6953446745302443E-3</v>
      </c>
      <c r="L79" s="94">
        <f t="shared" si="42"/>
        <v>1.3655572263579037E-5</v>
      </c>
      <c r="M79" s="94">
        <f t="shared" si="43"/>
        <v>3.7294930769165826E-12</v>
      </c>
      <c r="N79" s="1"/>
      <c r="O79" s="1"/>
      <c r="P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 spans="1:32" ht="12.75" customHeight="1" x14ac:dyDescent="0.3">
      <c r="A80" s="64"/>
      <c r="B80" s="64"/>
      <c r="C80" s="64"/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1"/>
      <c r="O80" s="1"/>
      <c r="P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 spans="1:32" ht="12.75" customHeight="1" x14ac:dyDescent="0.3">
      <c r="A81" s="845" t="s">
        <v>103</v>
      </c>
      <c r="B81" s="846"/>
      <c r="C81" s="846"/>
      <c r="D81" s="846"/>
      <c r="E81" s="846"/>
      <c r="F81" s="846"/>
      <c r="G81" s="846"/>
      <c r="H81" s="846"/>
      <c r="I81" s="846"/>
      <c r="J81" s="792"/>
      <c r="K81" s="847">
        <f>SUM(L76:L79)</f>
        <v>8.5959140559691255E-4</v>
      </c>
      <c r="L81" s="792"/>
      <c r="M81" s="148">
        <f>SUM(M76:M79)</f>
        <v>1.3895265432069976E-8</v>
      </c>
      <c r="N81" s="1"/>
      <c r="O81" s="1"/>
      <c r="P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 spans="1:32" ht="12.75" customHeight="1" x14ac:dyDescent="0.3">
      <c r="A82" s="834" t="s">
        <v>104</v>
      </c>
      <c r="B82" s="794"/>
      <c r="C82" s="794"/>
      <c r="D82" s="794"/>
      <c r="E82" s="794"/>
      <c r="F82" s="794"/>
      <c r="G82" s="794"/>
      <c r="H82" s="794"/>
      <c r="I82" s="794"/>
      <c r="J82" s="780"/>
      <c r="K82" s="835">
        <f>SQRT(K81)</f>
        <v>2.9318789292822316E-2</v>
      </c>
      <c r="L82" s="780"/>
      <c r="M82" s="93"/>
      <c r="N82" s="1"/>
      <c r="O82" s="1"/>
      <c r="P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 spans="1:32" ht="12.75" customHeight="1" x14ac:dyDescent="0.3">
      <c r="A83" s="834" t="s">
        <v>381</v>
      </c>
      <c r="B83" s="794"/>
      <c r="C83" s="794"/>
      <c r="D83" s="794"/>
      <c r="E83" s="794"/>
      <c r="F83" s="794"/>
      <c r="G83" s="794"/>
      <c r="H83" s="794"/>
      <c r="I83" s="794"/>
      <c r="J83" s="780"/>
      <c r="K83" s="99">
        <f>(K82^4)/M81</f>
        <v>53.176197906282269</v>
      </c>
      <c r="L83" s="101"/>
      <c r="M83" s="93"/>
      <c r="N83" s="1"/>
      <c r="O83" s="1"/>
      <c r="P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 spans="1:32" ht="12.75" customHeight="1" x14ac:dyDescent="0.3">
      <c r="A84" s="834" t="s">
        <v>382</v>
      </c>
      <c r="B84" s="794"/>
      <c r="C84" s="794"/>
      <c r="D84" s="794"/>
      <c r="E84" s="794"/>
      <c r="F84" s="794"/>
      <c r="G84" s="794"/>
      <c r="H84" s="794"/>
      <c r="I84" s="794"/>
      <c r="J84" s="780"/>
      <c r="K84" s="99">
        <f>1.95996+2.37356/K83+2.818745/K83^2+2.546662/K83^3+1.761829/K83^4+0.245458/K83^5+1.000764/K83^6</f>
        <v>2.0056097474446735</v>
      </c>
      <c r="L84" s="101">
        <v>2</v>
      </c>
      <c r="M84" s="93"/>
      <c r="N84" s="1"/>
      <c r="O84" s="1"/>
      <c r="P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 spans="1:32" ht="12.75" customHeight="1" x14ac:dyDescent="0.3">
      <c r="A85" s="834" t="s">
        <v>107</v>
      </c>
      <c r="B85" s="794"/>
      <c r="C85" s="794"/>
      <c r="D85" s="794"/>
      <c r="E85" s="794"/>
      <c r="F85" s="794"/>
      <c r="G85" s="794"/>
      <c r="H85" s="794"/>
      <c r="I85" s="794"/>
      <c r="J85" s="780"/>
      <c r="K85" s="99">
        <f>K84*K82</f>
        <v>5.8802049588960965E-2</v>
      </c>
      <c r="L85" s="101">
        <f>L84*K82</f>
        <v>5.8637578585644633E-2</v>
      </c>
      <c r="M85" s="93"/>
      <c r="N85" s="1"/>
      <c r="O85" s="1"/>
      <c r="P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 spans="1:32" ht="12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 spans="1:32" ht="12.75" customHeight="1" x14ac:dyDescent="0.3">
      <c r="A87" s="71" t="s">
        <v>76</v>
      </c>
      <c r="B87" s="1"/>
      <c r="C87" s="1"/>
      <c r="D87" s="1">
        <f t="shared" ref="D87:E87" si="44">A$5</f>
        <v>600</v>
      </c>
      <c r="E87" s="103" t="str">
        <f t="shared" si="44"/>
        <v>mA</v>
      </c>
      <c r="F87" s="81"/>
      <c r="G87" s="82"/>
      <c r="H87" s="12"/>
      <c r="I87" s="12"/>
      <c r="J87" s="12"/>
      <c r="K87" s="12"/>
      <c r="L87" s="12"/>
      <c r="M87" s="287" t="str">
        <f>M$31</f>
        <v>DC Current-Measure</v>
      </c>
      <c r="N87" s="1"/>
      <c r="O87" s="1"/>
      <c r="P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spans="1:32" ht="12.75" customHeight="1" x14ac:dyDescent="0.3">
      <c r="A88" s="84" t="s">
        <v>2</v>
      </c>
      <c r="B88" s="85"/>
      <c r="C88" s="85"/>
      <c r="D88" s="6">
        <f>C6</f>
        <v>300</v>
      </c>
      <c r="E88" s="6" t="str">
        <f>D6</f>
        <v>mA3</v>
      </c>
      <c r="F88" s="111"/>
      <c r="G88" s="147"/>
      <c r="H88" s="90">
        <v>0.1</v>
      </c>
      <c r="I88" s="90"/>
      <c r="J88" s="90"/>
      <c r="K88" s="90"/>
      <c r="L88" s="90"/>
      <c r="M88" s="76"/>
      <c r="N88" s="1"/>
      <c r="O88" s="1"/>
      <c r="P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spans="1:32" ht="12.75" customHeight="1" x14ac:dyDescent="0.3">
      <c r="A89" s="91" t="s">
        <v>78</v>
      </c>
      <c r="B89" s="91" t="s">
        <v>79</v>
      </c>
      <c r="C89" s="91" t="s">
        <v>10</v>
      </c>
      <c r="D89" s="91" t="s">
        <v>80</v>
      </c>
      <c r="E89" s="91" t="s">
        <v>81</v>
      </c>
      <c r="F89" s="92" t="s">
        <v>82</v>
      </c>
      <c r="G89" s="91" t="s">
        <v>83</v>
      </c>
      <c r="H89" s="91" t="s">
        <v>84</v>
      </c>
      <c r="I89" s="91" t="s">
        <v>85</v>
      </c>
      <c r="J89" s="91" t="s">
        <v>86</v>
      </c>
      <c r="K89" s="91" t="s">
        <v>87</v>
      </c>
      <c r="L89" s="91" t="s">
        <v>383</v>
      </c>
      <c r="M89" s="91" t="s">
        <v>384</v>
      </c>
      <c r="N89" s="1"/>
      <c r="O89" s="1"/>
      <c r="P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 spans="1:32" ht="12.75" customHeight="1" x14ac:dyDescent="0.3">
      <c r="A90" s="93" t="s">
        <v>90</v>
      </c>
      <c r="B90" s="94" t="s">
        <v>385</v>
      </c>
      <c r="C90" s="94" t="s">
        <v>42</v>
      </c>
      <c r="D90" s="95" t="str">
        <f>E88</f>
        <v>mA3</v>
      </c>
      <c r="E90" s="94" t="s">
        <v>631</v>
      </c>
      <c r="F90" s="94">
        <f>STDEV(Data!E108:N108)/SQRT(5)</f>
        <v>0</v>
      </c>
      <c r="G90" s="94">
        <v>1</v>
      </c>
      <c r="H90" s="94">
        <f>5-1</f>
        <v>4</v>
      </c>
      <c r="I90" s="94">
        <f t="shared" ref="I90:I93" si="45">(F90)/G90</f>
        <v>0</v>
      </c>
      <c r="J90" s="94">
        <v>1</v>
      </c>
      <c r="K90" s="94">
        <f t="shared" ref="K90:K93" si="46">I90*J90</f>
        <v>0</v>
      </c>
      <c r="L90" s="94">
        <f t="shared" ref="L90:L93" si="47">K90^2</f>
        <v>0</v>
      </c>
      <c r="M90" s="94">
        <f t="shared" ref="M90:M93" si="48">(K90^4)/H90</f>
        <v>0</v>
      </c>
      <c r="N90" s="1"/>
      <c r="O90" s="1"/>
      <c r="P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 spans="1:32" ht="12.75" customHeight="1" x14ac:dyDescent="0.3">
      <c r="A91" s="93" t="s">
        <v>93</v>
      </c>
      <c r="B91" s="94" t="s">
        <v>386</v>
      </c>
      <c r="C91" s="94" t="s">
        <v>95</v>
      </c>
      <c r="D91" s="95" t="str">
        <f>D90</f>
        <v>mA3</v>
      </c>
      <c r="E91" s="94" t="s">
        <v>96</v>
      </c>
      <c r="F91" s="94">
        <f>H88/2</f>
        <v>0.05</v>
      </c>
      <c r="G91" s="94">
        <f>SQRT(3)</f>
        <v>1.7320508075688772</v>
      </c>
      <c r="H91" s="94">
        <v>50</v>
      </c>
      <c r="I91" s="94">
        <f t="shared" si="45"/>
        <v>2.8867513459481291E-2</v>
      </c>
      <c r="J91" s="94">
        <v>1</v>
      </c>
      <c r="K91" s="94">
        <f t="shared" si="46"/>
        <v>2.8867513459481291E-2</v>
      </c>
      <c r="L91" s="94">
        <f t="shared" si="47"/>
        <v>8.333333333333335E-4</v>
      </c>
      <c r="M91" s="94">
        <f t="shared" si="48"/>
        <v>1.3888888888888894E-8</v>
      </c>
      <c r="N91" s="1"/>
      <c r="O91" s="1"/>
      <c r="P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 spans="1:32" ht="12.75" customHeight="1" x14ac:dyDescent="0.3">
      <c r="A92" s="93" t="s">
        <v>97</v>
      </c>
      <c r="B92" s="94" t="s">
        <v>387</v>
      </c>
      <c r="C92" s="94" t="s">
        <v>95</v>
      </c>
      <c r="D92" s="95" t="str">
        <f>D90</f>
        <v>mA3</v>
      </c>
      <c r="E92" s="94" t="s">
        <v>92</v>
      </c>
      <c r="F92" s="96">
        <f>V26</f>
        <v>0.14000000000000001</v>
      </c>
      <c r="G92" s="94">
        <v>2</v>
      </c>
      <c r="H92" s="94">
        <v>60</v>
      </c>
      <c r="I92" s="94">
        <f t="shared" si="45"/>
        <v>7.0000000000000007E-2</v>
      </c>
      <c r="J92" s="94">
        <v>1</v>
      </c>
      <c r="K92" s="94">
        <f t="shared" si="46"/>
        <v>7.0000000000000007E-2</v>
      </c>
      <c r="L92" s="94">
        <f t="shared" si="47"/>
        <v>4.9000000000000007E-3</v>
      </c>
      <c r="M92" s="94">
        <f t="shared" si="48"/>
        <v>4.0016666666666675E-7</v>
      </c>
      <c r="N92" s="1"/>
      <c r="O92" s="1"/>
      <c r="P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 spans="1:32" ht="12.75" customHeight="1" x14ac:dyDescent="0.3">
      <c r="A93" s="93" t="s">
        <v>99</v>
      </c>
      <c r="B93" s="94" t="s">
        <v>388</v>
      </c>
      <c r="C93" s="94" t="s">
        <v>95</v>
      </c>
      <c r="D93" s="95" t="str">
        <f>D90</f>
        <v>mA3</v>
      </c>
      <c r="E93" s="94" t="s">
        <v>96</v>
      </c>
      <c r="F93" s="94">
        <f>U26</f>
        <v>1.3396381316203363E-2</v>
      </c>
      <c r="G93" s="94">
        <f>SQRT(3)</f>
        <v>1.7320508075688772</v>
      </c>
      <c r="H93" s="94">
        <v>50</v>
      </c>
      <c r="I93" s="94">
        <f t="shared" si="45"/>
        <v>7.7344043590768848E-3</v>
      </c>
      <c r="J93" s="94">
        <v>1</v>
      </c>
      <c r="K93" s="94">
        <f t="shared" si="46"/>
        <v>7.7344043590768848E-3</v>
      </c>
      <c r="L93" s="94">
        <f t="shared" si="47"/>
        <v>5.9821010789707515E-5</v>
      </c>
      <c r="M93" s="94">
        <f t="shared" si="48"/>
        <v>7.1571066638046049E-11</v>
      </c>
      <c r="N93" s="1"/>
      <c r="O93" s="1"/>
      <c r="P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 spans="1:32" ht="12.75" customHeight="1" x14ac:dyDescent="0.3">
      <c r="A94" s="64"/>
      <c r="B94" s="64"/>
      <c r="C94" s="64"/>
      <c r="D94" s="64"/>
      <c r="E94" s="64"/>
      <c r="F94" s="64"/>
      <c r="G94" s="64"/>
      <c r="H94" s="64"/>
      <c r="I94" s="64"/>
      <c r="J94" s="64"/>
      <c r="K94" s="64"/>
      <c r="L94" s="64"/>
      <c r="M94" s="64"/>
      <c r="N94" s="1"/>
      <c r="O94" s="1"/>
      <c r="P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 spans="1:32" ht="12.75" customHeight="1" x14ac:dyDescent="0.3">
      <c r="A95" s="845" t="s">
        <v>103</v>
      </c>
      <c r="B95" s="846"/>
      <c r="C95" s="846"/>
      <c r="D95" s="846"/>
      <c r="E95" s="846"/>
      <c r="F95" s="846"/>
      <c r="G95" s="846"/>
      <c r="H95" s="846"/>
      <c r="I95" s="846"/>
      <c r="J95" s="792"/>
      <c r="K95" s="847">
        <f>SUM(L90:L93)</f>
        <v>5.7931543441230417E-3</v>
      </c>
      <c r="L95" s="792"/>
      <c r="M95" s="148">
        <f>SUM(M90:M93)</f>
        <v>4.1412712662219368E-7</v>
      </c>
      <c r="N95" s="1"/>
      <c r="O95" s="1"/>
      <c r="P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spans="1:32" ht="12.75" customHeight="1" x14ac:dyDescent="0.3">
      <c r="A96" s="834" t="s">
        <v>104</v>
      </c>
      <c r="B96" s="794"/>
      <c r="C96" s="794"/>
      <c r="D96" s="794"/>
      <c r="E96" s="794"/>
      <c r="F96" s="794"/>
      <c r="G96" s="794"/>
      <c r="H96" s="794"/>
      <c r="I96" s="794"/>
      <c r="J96" s="780"/>
      <c r="K96" s="835">
        <f>SQRT(K95)</f>
        <v>7.6112773856449628E-2</v>
      </c>
      <c r="L96" s="780"/>
      <c r="M96" s="93"/>
      <c r="N96" s="1"/>
      <c r="O96" s="1"/>
      <c r="P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spans="1:32" ht="12.75" customHeight="1" x14ac:dyDescent="0.3">
      <c r="A97" s="834" t="s">
        <v>389</v>
      </c>
      <c r="B97" s="794"/>
      <c r="C97" s="794"/>
      <c r="D97" s="794"/>
      <c r="E97" s="794"/>
      <c r="F97" s="794"/>
      <c r="G97" s="794"/>
      <c r="H97" s="794"/>
      <c r="I97" s="794"/>
      <c r="J97" s="780"/>
      <c r="K97" s="99">
        <f>(K96^4)/M95</f>
        <v>81.039456479384143</v>
      </c>
      <c r="L97" s="101"/>
      <c r="M97" s="93"/>
      <c r="N97" s="1"/>
      <c r="O97" s="1"/>
      <c r="P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spans="1:32" ht="12.75" customHeight="1" x14ac:dyDescent="0.3">
      <c r="A98" s="834" t="s">
        <v>390</v>
      </c>
      <c r="B98" s="794"/>
      <c r="C98" s="794"/>
      <c r="D98" s="794"/>
      <c r="E98" s="794"/>
      <c r="F98" s="794"/>
      <c r="G98" s="794"/>
      <c r="H98" s="794"/>
      <c r="I98" s="794"/>
      <c r="J98" s="780"/>
      <c r="K98" s="99">
        <f>1.95996+2.37356/K97+2.818745/K97^2+2.546662/K97^3+1.761829/K97^4+0.245458/K97^5+1.000764/K97^6</f>
        <v>1.9896829716547806</v>
      </c>
      <c r="L98" s="101">
        <v>2</v>
      </c>
      <c r="M98" s="93"/>
      <c r="N98" s="1"/>
      <c r="O98" s="1"/>
      <c r="P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spans="1:32" ht="12.75" customHeight="1" x14ac:dyDescent="0.3">
      <c r="A99" s="834" t="s">
        <v>107</v>
      </c>
      <c r="B99" s="794"/>
      <c r="C99" s="794"/>
      <c r="D99" s="794"/>
      <c r="E99" s="794"/>
      <c r="F99" s="794"/>
      <c r="G99" s="794"/>
      <c r="H99" s="794"/>
      <c r="I99" s="794"/>
      <c r="J99" s="780"/>
      <c r="K99" s="99">
        <f>K98*K96</f>
        <v>0.151440290067589</v>
      </c>
      <c r="L99" s="101">
        <f>L98*K96</f>
        <v>0.15222554771289926</v>
      </c>
      <c r="M99" s="93"/>
      <c r="N99" s="1"/>
      <c r="O99" s="1"/>
      <c r="P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spans="1:32" ht="12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 spans="1:32" ht="12.75" customHeight="1" x14ac:dyDescent="0.3">
      <c r="A101" s="71" t="s">
        <v>76</v>
      </c>
      <c r="B101" s="1"/>
      <c r="C101" s="1"/>
      <c r="D101" s="1">
        <f t="shared" ref="D101:E101" si="49">A$5</f>
        <v>600</v>
      </c>
      <c r="E101" s="103" t="str">
        <f t="shared" si="49"/>
        <v>mA</v>
      </c>
      <c r="F101" s="81"/>
      <c r="G101" s="82"/>
      <c r="H101" s="12"/>
      <c r="I101" s="12"/>
      <c r="J101" s="12"/>
      <c r="K101" s="12"/>
      <c r="L101" s="12"/>
      <c r="M101" s="287" t="str">
        <f>M$31</f>
        <v>DC Current-Measure</v>
      </c>
      <c r="N101" s="1"/>
      <c r="O101" s="1"/>
      <c r="P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 spans="1:32" ht="12.75" customHeight="1" x14ac:dyDescent="0.3">
      <c r="A102" s="84" t="s">
        <v>2</v>
      </c>
      <c r="B102" s="85"/>
      <c r="C102" s="85"/>
      <c r="D102" s="86">
        <f>C7</f>
        <v>0.54</v>
      </c>
      <c r="E102" s="6" t="str">
        <f>D7</f>
        <v>A1</v>
      </c>
      <c r="F102" s="111">
        <f>F7</f>
        <v>540.1</v>
      </c>
      <c r="G102" s="147" t="str">
        <f>G7</f>
        <v>mA</v>
      </c>
      <c r="H102" s="90">
        <v>0.1</v>
      </c>
      <c r="I102" s="90"/>
      <c r="J102" s="90"/>
      <c r="K102" s="90"/>
      <c r="L102" s="90"/>
      <c r="M102" s="76"/>
      <c r="N102" s="1"/>
      <c r="O102" s="1"/>
      <c r="P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 spans="1:32" ht="12.75" customHeight="1" x14ac:dyDescent="0.3">
      <c r="A103" s="91" t="s">
        <v>78</v>
      </c>
      <c r="B103" s="91" t="s">
        <v>79</v>
      </c>
      <c r="C103" s="91" t="s">
        <v>10</v>
      </c>
      <c r="D103" s="91" t="s">
        <v>80</v>
      </c>
      <c r="E103" s="91" t="s">
        <v>81</v>
      </c>
      <c r="F103" s="92" t="s">
        <v>82</v>
      </c>
      <c r="G103" s="91" t="s">
        <v>83</v>
      </c>
      <c r="H103" s="91" t="s">
        <v>84</v>
      </c>
      <c r="I103" s="91" t="s">
        <v>85</v>
      </c>
      <c r="J103" s="91" t="s">
        <v>86</v>
      </c>
      <c r="K103" s="91" t="s">
        <v>87</v>
      </c>
      <c r="L103" s="91" t="s">
        <v>391</v>
      </c>
      <c r="M103" s="91" t="s">
        <v>392</v>
      </c>
      <c r="N103" s="1"/>
      <c r="O103" s="1"/>
      <c r="P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 spans="1:32" ht="12.75" customHeight="1" x14ac:dyDescent="0.3">
      <c r="A104" s="93" t="s">
        <v>90</v>
      </c>
      <c r="B104" s="94" t="s">
        <v>393</v>
      </c>
      <c r="C104" s="94" t="s">
        <v>42</v>
      </c>
      <c r="D104" s="95" t="str">
        <f>G102</f>
        <v>mA</v>
      </c>
      <c r="E104" s="94" t="s">
        <v>631</v>
      </c>
      <c r="F104" s="94">
        <f>STDEV(Data!E109:N109)/SQRT(5)</f>
        <v>0</v>
      </c>
      <c r="G104" s="94">
        <v>1</v>
      </c>
      <c r="H104" s="94">
        <f>5-1</f>
        <v>4</v>
      </c>
      <c r="I104" s="94">
        <f t="shared" ref="I104:I107" si="50">(F104)/G104</f>
        <v>0</v>
      </c>
      <c r="J104" s="94">
        <v>1</v>
      </c>
      <c r="K104" s="94">
        <f t="shared" ref="K104:K107" si="51">I104*J104</f>
        <v>0</v>
      </c>
      <c r="L104" s="94">
        <f t="shared" ref="L104:L107" si="52">K104^2</f>
        <v>0</v>
      </c>
      <c r="M104" s="94">
        <f t="shared" ref="M104:M107" si="53">(K104^4)/H104</f>
        <v>0</v>
      </c>
      <c r="N104" s="1"/>
      <c r="O104" s="1"/>
      <c r="P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 spans="1:32" ht="12.75" customHeight="1" x14ac:dyDescent="0.3">
      <c r="A105" s="93" t="s">
        <v>93</v>
      </c>
      <c r="B105" s="94" t="s">
        <v>394</v>
      </c>
      <c r="C105" s="94" t="s">
        <v>95</v>
      </c>
      <c r="D105" s="95" t="str">
        <f>D104</f>
        <v>mA</v>
      </c>
      <c r="E105" s="94" t="s">
        <v>96</v>
      </c>
      <c r="F105" s="94">
        <f>H102/2</f>
        <v>0.05</v>
      </c>
      <c r="G105" s="94">
        <f>SQRT(3)</f>
        <v>1.7320508075688772</v>
      </c>
      <c r="H105" s="94">
        <v>50</v>
      </c>
      <c r="I105" s="94">
        <f t="shared" si="50"/>
        <v>2.8867513459481291E-2</v>
      </c>
      <c r="J105" s="94">
        <v>1</v>
      </c>
      <c r="K105" s="94">
        <f t="shared" si="51"/>
        <v>2.8867513459481291E-2</v>
      </c>
      <c r="L105" s="94">
        <f t="shared" si="52"/>
        <v>8.333333333333335E-4</v>
      </c>
      <c r="M105" s="94">
        <f t="shared" si="53"/>
        <v>1.3888888888888894E-8</v>
      </c>
      <c r="N105" s="1"/>
      <c r="O105" s="1"/>
      <c r="P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 spans="1:32" ht="12.75" customHeight="1" x14ac:dyDescent="0.3">
      <c r="A106" s="93" t="s">
        <v>97</v>
      </c>
      <c r="B106" s="94" t="s">
        <v>395</v>
      </c>
      <c r="C106" s="94" t="s">
        <v>95</v>
      </c>
      <c r="D106" s="95" t="str">
        <f>D104</f>
        <v>mA</v>
      </c>
      <c r="E106" s="94" t="s">
        <v>92</v>
      </c>
      <c r="F106" s="96">
        <f>V27*10^3</f>
        <v>0.48000000000000004</v>
      </c>
      <c r="G106" s="94">
        <v>2</v>
      </c>
      <c r="H106" s="94">
        <v>60</v>
      </c>
      <c r="I106" s="94">
        <f t="shared" si="50"/>
        <v>0.24000000000000002</v>
      </c>
      <c r="J106" s="94">
        <v>1</v>
      </c>
      <c r="K106" s="94">
        <f t="shared" si="51"/>
        <v>0.24000000000000002</v>
      </c>
      <c r="L106" s="94">
        <f t="shared" si="52"/>
        <v>5.7600000000000012E-2</v>
      </c>
      <c r="M106" s="94">
        <f t="shared" si="53"/>
        <v>5.5296000000000028E-5</v>
      </c>
      <c r="N106" s="1"/>
      <c r="O106" s="1"/>
      <c r="P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 spans="1:32" ht="12.75" customHeight="1" x14ac:dyDescent="0.3">
      <c r="A107" s="93" t="s">
        <v>99</v>
      </c>
      <c r="B107" s="94" t="s">
        <v>396</v>
      </c>
      <c r="C107" s="94" t="s">
        <v>95</v>
      </c>
      <c r="D107" s="95" t="str">
        <f>D104</f>
        <v>mA</v>
      </c>
      <c r="E107" s="94" t="s">
        <v>96</v>
      </c>
      <c r="F107" s="94">
        <f>U27*10^3</f>
        <v>3.103714731302578E-2</v>
      </c>
      <c r="G107" s="94">
        <f>SQRT(3)</f>
        <v>1.7320508075688772</v>
      </c>
      <c r="H107" s="94">
        <v>50</v>
      </c>
      <c r="I107" s="94">
        <f t="shared" si="50"/>
        <v>1.7919305356053506E-2</v>
      </c>
      <c r="J107" s="94">
        <v>1</v>
      </c>
      <c r="K107" s="94">
        <f t="shared" si="51"/>
        <v>1.7919305356053506E-2</v>
      </c>
      <c r="L107" s="94">
        <f t="shared" si="52"/>
        <v>3.2110150444348786E-4</v>
      </c>
      <c r="M107" s="94">
        <f t="shared" si="53"/>
        <v>2.0621235231174252E-9</v>
      </c>
      <c r="N107" s="1"/>
      <c r="O107" s="1"/>
      <c r="P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 spans="1:32" ht="12.75" customHeight="1" x14ac:dyDescent="0.3">
      <c r="A108" s="64"/>
      <c r="B108" s="64"/>
      <c r="C108" s="64"/>
      <c r="D108" s="64"/>
      <c r="E108" s="64"/>
      <c r="F108" s="64"/>
      <c r="G108" s="64"/>
      <c r="H108" s="64"/>
      <c r="I108" s="64"/>
      <c r="J108" s="64"/>
      <c r="K108" s="64"/>
      <c r="L108" s="64"/>
      <c r="M108" s="64"/>
      <c r="N108" s="1"/>
      <c r="O108" s="1"/>
      <c r="P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 spans="1:32" ht="12.75" customHeight="1" x14ac:dyDescent="0.3">
      <c r="A109" s="845" t="s">
        <v>103</v>
      </c>
      <c r="B109" s="846"/>
      <c r="C109" s="846"/>
      <c r="D109" s="846"/>
      <c r="E109" s="846"/>
      <c r="F109" s="846"/>
      <c r="G109" s="846"/>
      <c r="H109" s="846"/>
      <c r="I109" s="846"/>
      <c r="J109" s="792"/>
      <c r="K109" s="847">
        <f>SUM(L104:L107)</f>
        <v>5.8754434837776835E-2</v>
      </c>
      <c r="L109" s="792"/>
      <c r="M109" s="148">
        <f>SUM(M104:M107)</f>
        <v>5.5311951012412036E-5</v>
      </c>
      <c r="N109" s="1"/>
      <c r="O109" s="1"/>
      <c r="P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 spans="1:32" ht="12.75" customHeight="1" x14ac:dyDescent="0.3">
      <c r="A110" s="834" t="s">
        <v>104</v>
      </c>
      <c r="B110" s="794"/>
      <c r="C110" s="794"/>
      <c r="D110" s="794"/>
      <c r="E110" s="794"/>
      <c r="F110" s="794"/>
      <c r="G110" s="794"/>
      <c r="H110" s="794"/>
      <c r="I110" s="794"/>
      <c r="J110" s="780"/>
      <c r="K110" s="835">
        <f>SQRT(K109)</f>
        <v>0.24239314106999157</v>
      </c>
      <c r="L110" s="780"/>
      <c r="M110" s="93"/>
      <c r="N110" s="1"/>
      <c r="O110" s="1"/>
      <c r="P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  <row r="111" spans="1:32" ht="12.75" customHeight="1" x14ac:dyDescent="0.3">
      <c r="A111" s="834" t="s">
        <v>397</v>
      </c>
      <c r="B111" s="794"/>
      <c r="C111" s="794"/>
      <c r="D111" s="794"/>
      <c r="E111" s="794"/>
      <c r="F111" s="794"/>
      <c r="G111" s="794"/>
      <c r="H111" s="794"/>
      <c r="I111" s="794"/>
      <c r="J111" s="780"/>
      <c r="K111" s="99">
        <f>(K110^4)/M109</f>
        <v>62.411170640715866</v>
      </c>
      <c r="L111" s="101"/>
      <c r="M111" s="93"/>
      <c r="N111" s="1"/>
      <c r="O111" s="1"/>
      <c r="P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 spans="1:32" ht="12.75" customHeight="1" x14ac:dyDescent="0.3">
      <c r="A112" s="834" t="s">
        <v>398</v>
      </c>
      <c r="B112" s="794"/>
      <c r="C112" s="794"/>
      <c r="D112" s="794"/>
      <c r="E112" s="794"/>
      <c r="F112" s="794"/>
      <c r="G112" s="794"/>
      <c r="H112" s="794"/>
      <c r="I112" s="794"/>
      <c r="J112" s="780"/>
      <c r="K112" s="99">
        <f>1.95996+2.37356/K111+2.818745/K111^2+2.546662/K111^3+1.761829/K111^4+0.245458/K111^5+1.000764/K111^6</f>
        <v>1.9987252587301463</v>
      </c>
      <c r="L112" s="101">
        <v>2</v>
      </c>
      <c r="M112" s="93"/>
      <c r="N112" s="1"/>
      <c r="O112" s="1"/>
      <c r="P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  <row r="113" spans="1:32" ht="12.75" customHeight="1" x14ac:dyDescent="0.3">
      <c r="A113" s="834" t="s">
        <v>107</v>
      </c>
      <c r="B113" s="794"/>
      <c r="C113" s="794"/>
      <c r="D113" s="794"/>
      <c r="E113" s="794"/>
      <c r="F113" s="794"/>
      <c r="G113" s="794"/>
      <c r="H113" s="794"/>
      <c r="I113" s="794"/>
      <c r="J113" s="780"/>
      <c r="K113" s="99">
        <f>K112*K110</f>
        <v>0.48447729359953173</v>
      </c>
      <c r="L113" s="101">
        <f>L112*K110</f>
        <v>0.48478628213998315</v>
      </c>
      <c r="M113" s="93"/>
      <c r="N113" s="1"/>
      <c r="O113" s="1"/>
      <c r="P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</row>
    <row r="114" spans="1:32" ht="12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 spans="1:32" ht="12.75" customHeight="1" x14ac:dyDescent="0.3">
      <c r="A115" s="71" t="s">
        <v>76</v>
      </c>
      <c r="B115" s="1"/>
      <c r="C115" s="1"/>
      <c r="D115" s="1">
        <f>A8</f>
        <v>6</v>
      </c>
      <c r="E115" s="1" t="str">
        <f>B8</f>
        <v>A</v>
      </c>
      <c r="F115" s="81"/>
      <c r="G115" s="82"/>
      <c r="H115" s="12"/>
      <c r="I115" s="12"/>
      <c r="J115" s="12"/>
      <c r="K115" s="12"/>
      <c r="L115" s="12"/>
      <c r="M115" s="287" t="str">
        <f>M$31</f>
        <v>DC Current-Measure</v>
      </c>
      <c r="N115" s="1"/>
      <c r="O115" s="1"/>
      <c r="P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 spans="1:32" ht="12.75" customHeight="1" x14ac:dyDescent="0.3">
      <c r="A116" s="84" t="s">
        <v>2</v>
      </c>
      <c r="B116" s="85"/>
      <c r="C116" s="85"/>
      <c r="D116" s="86">
        <f>C8</f>
        <v>0.60000000000000009</v>
      </c>
      <c r="E116" s="86" t="str">
        <f>D8</f>
        <v>A1</v>
      </c>
      <c r="F116" s="111"/>
      <c r="G116" s="147"/>
      <c r="H116" s="90">
        <v>1E-3</v>
      </c>
      <c r="I116" s="90"/>
      <c r="J116" s="90"/>
      <c r="K116" s="90"/>
      <c r="L116" s="90"/>
      <c r="M116" s="76"/>
      <c r="N116" s="1"/>
      <c r="O116" s="1"/>
      <c r="P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  <row r="117" spans="1:32" ht="12.75" customHeight="1" x14ac:dyDescent="0.3">
      <c r="A117" s="91" t="s">
        <v>78</v>
      </c>
      <c r="B117" s="91" t="s">
        <v>79</v>
      </c>
      <c r="C117" s="91" t="s">
        <v>10</v>
      </c>
      <c r="D117" s="91" t="s">
        <v>80</v>
      </c>
      <c r="E117" s="91" t="s">
        <v>81</v>
      </c>
      <c r="F117" s="92" t="s">
        <v>82</v>
      </c>
      <c r="G117" s="91" t="s">
        <v>83</v>
      </c>
      <c r="H117" s="91" t="s">
        <v>84</v>
      </c>
      <c r="I117" s="91" t="s">
        <v>85</v>
      </c>
      <c r="J117" s="91" t="s">
        <v>86</v>
      </c>
      <c r="K117" s="91" t="s">
        <v>87</v>
      </c>
      <c r="L117" s="91" t="s">
        <v>88</v>
      </c>
      <c r="M117" s="91" t="s">
        <v>89</v>
      </c>
      <c r="N117" s="1"/>
      <c r="O117" s="1"/>
      <c r="P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</row>
    <row r="118" spans="1:32" ht="12.75" customHeight="1" x14ac:dyDescent="0.3">
      <c r="A118" s="93" t="s">
        <v>90</v>
      </c>
      <c r="B118" s="94" t="s">
        <v>353</v>
      </c>
      <c r="C118" s="94" t="s">
        <v>42</v>
      </c>
      <c r="D118" s="95" t="str">
        <f>E116</f>
        <v>A1</v>
      </c>
      <c r="E118" s="94" t="s">
        <v>631</v>
      </c>
      <c r="F118" s="94">
        <f>STDEV(Data!E111:N111)/SQRT(5)</f>
        <v>0</v>
      </c>
      <c r="G118" s="94">
        <v>1</v>
      </c>
      <c r="H118" s="94">
        <f>5-1</f>
        <v>4</v>
      </c>
      <c r="I118" s="94">
        <f t="shared" ref="I118:I121" si="54">(F118)/G118</f>
        <v>0</v>
      </c>
      <c r="J118" s="94">
        <v>1</v>
      </c>
      <c r="K118" s="94">
        <f t="shared" ref="K118:K121" si="55">I118*J118</f>
        <v>0</v>
      </c>
      <c r="L118" s="94">
        <f t="shared" ref="L118:L121" si="56">K118^2</f>
        <v>0</v>
      </c>
      <c r="M118" s="94">
        <f t="shared" ref="M118:M121" si="57">(K118^4)/H118</f>
        <v>0</v>
      </c>
      <c r="N118" s="1"/>
      <c r="O118" s="1"/>
      <c r="P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</row>
    <row r="119" spans="1:32" ht="12.75" customHeight="1" x14ac:dyDescent="0.3">
      <c r="A119" s="93" t="s">
        <v>93</v>
      </c>
      <c r="B119" s="94" t="s">
        <v>354</v>
      </c>
      <c r="C119" s="94" t="s">
        <v>95</v>
      </c>
      <c r="D119" s="95" t="str">
        <f>D118</f>
        <v>A1</v>
      </c>
      <c r="E119" s="94" t="s">
        <v>96</v>
      </c>
      <c r="F119" s="94">
        <f>H116/2</f>
        <v>5.0000000000000001E-4</v>
      </c>
      <c r="G119" s="94">
        <f>SQRT(3)</f>
        <v>1.7320508075688772</v>
      </c>
      <c r="H119" s="94">
        <v>50</v>
      </c>
      <c r="I119" s="94">
        <f t="shared" si="54"/>
        <v>2.886751345948129E-4</v>
      </c>
      <c r="J119" s="94">
        <v>1</v>
      </c>
      <c r="K119" s="94">
        <f t="shared" si="55"/>
        <v>2.886751345948129E-4</v>
      </c>
      <c r="L119" s="94">
        <f t="shared" si="56"/>
        <v>8.3333333333333338E-8</v>
      </c>
      <c r="M119" s="94">
        <f t="shared" si="57"/>
        <v>1.388888888888889E-16</v>
      </c>
      <c r="N119" s="1"/>
      <c r="O119" s="1"/>
      <c r="P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</row>
    <row r="120" spans="1:32" ht="12.75" customHeight="1" x14ac:dyDescent="0.3">
      <c r="A120" s="93" t="s">
        <v>97</v>
      </c>
      <c r="B120" s="94" t="s">
        <v>355</v>
      </c>
      <c r="C120" s="94" t="s">
        <v>95</v>
      </c>
      <c r="D120" s="95" t="str">
        <f>D118</f>
        <v>A1</v>
      </c>
      <c r="E120" s="94" t="s">
        <v>92</v>
      </c>
      <c r="F120" s="96">
        <f>V28</f>
        <v>4.8000000000000001E-4</v>
      </c>
      <c r="G120" s="94">
        <v>2</v>
      </c>
      <c r="H120" s="94">
        <v>60</v>
      </c>
      <c r="I120" s="94">
        <f t="shared" si="54"/>
        <v>2.4000000000000001E-4</v>
      </c>
      <c r="J120" s="94">
        <v>1</v>
      </c>
      <c r="K120" s="94">
        <f t="shared" si="55"/>
        <v>2.4000000000000001E-4</v>
      </c>
      <c r="L120" s="94">
        <f t="shared" si="56"/>
        <v>5.76E-8</v>
      </c>
      <c r="M120" s="94">
        <f t="shared" si="57"/>
        <v>5.5295999999999999E-17</v>
      </c>
      <c r="N120" s="1"/>
      <c r="O120" s="1"/>
      <c r="P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</row>
    <row r="121" spans="1:32" ht="12.75" customHeight="1" x14ac:dyDescent="0.3">
      <c r="A121" s="93" t="s">
        <v>99</v>
      </c>
      <c r="B121" s="94" t="s">
        <v>356</v>
      </c>
      <c r="C121" s="94" t="s">
        <v>95</v>
      </c>
      <c r="D121" s="95" t="str">
        <f>D118</f>
        <v>A1</v>
      </c>
      <c r="E121" s="94" t="s">
        <v>96</v>
      </c>
      <c r="F121" s="94">
        <f>U28</f>
        <v>2.8697844999680636E-5</v>
      </c>
      <c r="G121" s="94">
        <f>SQRT(3)</f>
        <v>1.7320508075688772</v>
      </c>
      <c r="H121" s="94">
        <v>50</v>
      </c>
      <c r="I121" s="94">
        <f t="shared" si="54"/>
        <v>1.6568708535727771E-5</v>
      </c>
      <c r="J121" s="94">
        <v>1</v>
      </c>
      <c r="K121" s="94">
        <f t="shared" si="55"/>
        <v>1.6568708535727771E-5</v>
      </c>
      <c r="L121" s="94">
        <f t="shared" si="56"/>
        <v>2.7452210254189831E-10</v>
      </c>
      <c r="M121" s="94">
        <f t="shared" si="57"/>
        <v>1.5072476956804905E-21</v>
      </c>
      <c r="N121" s="1"/>
      <c r="O121" s="1"/>
      <c r="P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</row>
    <row r="122" spans="1:32" ht="12.75" customHeight="1" x14ac:dyDescent="0.3">
      <c r="A122" s="64"/>
      <c r="B122" s="64"/>
      <c r="C122" s="64"/>
      <c r="D122" s="64"/>
      <c r="E122" s="64"/>
      <c r="F122" s="64"/>
      <c r="G122" s="64"/>
      <c r="H122" s="64"/>
      <c r="I122" s="64"/>
      <c r="J122" s="64"/>
      <c r="K122" s="64"/>
      <c r="L122" s="64"/>
      <c r="M122" s="64"/>
      <c r="N122" s="1"/>
      <c r="O122" s="1"/>
      <c r="P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</row>
    <row r="123" spans="1:32" ht="12.75" customHeight="1" x14ac:dyDescent="0.3">
      <c r="A123" s="845" t="s">
        <v>103</v>
      </c>
      <c r="B123" s="846"/>
      <c r="C123" s="846"/>
      <c r="D123" s="846"/>
      <c r="E123" s="846"/>
      <c r="F123" s="846"/>
      <c r="G123" s="846"/>
      <c r="H123" s="846"/>
      <c r="I123" s="846"/>
      <c r="J123" s="792"/>
      <c r="K123" s="847">
        <f>SUM(L118:L121)</f>
        <v>1.4120785543587525E-7</v>
      </c>
      <c r="L123" s="792"/>
      <c r="M123" s="148">
        <f>SUM(M118:M121)</f>
        <v>1.9418639613658459E-16</v>
      </c>
      <c r="N123" s="1"/>
      <c r="O123" s="1"/>
      <c r="P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</row>
    <row r="124" spans="1:32" ht="12.75" customHeight="1" x14ac:dyDescent="0.3">
      <c r="A124" s="834" t="s">
        <v>104</v>
      </c>
      <c r="B124" s="794"/>
      <c r="C124" s="794"/>
      <c r="D124" s="794"/>
      <c r="E124" s="794"/>
      <c r="F124" s="794"/>
      <c r="G124" s="794"/>
      <c r="H124" s="794"/>
      <c r="I124" s="794"/>
      <c r="J124" s="780"/>
      <c r="K124" s="835">
        <f>SQRT(K123)</f>
        <v>3.7577633698235345E-4</v>
      </c>
      <c r="L124" s="780"/>
      <c r="M124" s="93"/>
      <c r="N124" s="1"/>
      <c r="O124" s="1"/>
      <c r="P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</row>
    <row r="125" spans="1:32" ht="12.75" customHeight="1" x14ac:dyDescent="0.3">
      <c r="A125" s="834" t="s">
        <v>105</v>
      </c>
      <c r="B125" s="794"/>
      <c r="C125" s="794"/>
      <c r="D125" s="794"/>
      <c r="E125" s="794"/>
      <c r="F125" s="794"/>
      <c r="G125" s="794"/>
      <c r="H125" s="794"/>
      <c r="I125" s="794"/>
      <c r="J125" s="780"/>
      <c r="K125" s="99">
        <f>(K124^4)/M123</f>
        <v>102.68308611471485</v>
      </c>
      <c r="L125" s="101"/>
      <c r="M125" s="93"/>
      <c r="N125" s="1"/>
      <c r="O125" s="1"/>
      <c r="P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</row>
    <row r="126" spans="1:32" ht="12.75" customHeight="1" x14ac:dyDescent="0.3">
      <c r="A126" s="834" t="s">
        <v>106</v>
      </c>
      <c r="B126" s="794"/>
      <c r="C126" s="794"/>
      <c r="D126" s="794"/>
      <c r="E126" s="794"/>
      <c r="F126" s="794"/>
      <c r="G126" s="794"/>
      <c r="H126" s="794"/>
      <c r="I126" s="794"/>
      <c r="J126" s="780"/>
      <c r="K126" s="99">
        <f>1.95996+2.37356/K125+2.818745/K125^2+2.546662/K125^3+1.761829/K125^4+0.245458/K125^5+1.000764/K125^6</f>
        <v>1.9833450984617931</v>
      </c>
      <c r="L126" s="101">
        <v>2</v>
      </c>
      <c r="M126" s="93"/>
      <c r="N126" s="1"/>
      <c r="O126" s="1"/>
      <c r="P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</row>
    <row r="127" spans="1:32" ht="12.75" customHeight="1" x14ac:dyDescent="0.3">
      <c r="A127" s="834" t="s">
        <v>107</v>
      </c>
      <c r="B127" s="794"/>
      <c r="C127" s="794"/>
      <c r="D127" s="794"/>
      <c r="E127" s="794"/>
      <c r="F127" s="794"/>
      <c r="G127" s="794"/>
      <c r="H127" s="794"/>
      <c r="I127" s="794"/>
      <c r="J127" s="780"/>
      <c r="K127" s="99">
        <f>K126*K124</f>
        <v>7.4529415607187772E-4</v>
      </c>
      <c r="L127" s="101">
        <f>L126*K124</f>
        <v>7.5155267396470691E-4</v>
      </c>
      <c r="M127" s="93"/>
      <c r="N127" s="1"/>
      <c r="O127" s="1"/>
      <c r="P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</row>
    <row r="128" spans="1:32" ht="12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</row>
    <row r="129" spans="1:32" ht="12.75" customHeight="1" x14ac:dyDescent="0.3">
      <c r="A129" s="71" t="s">
        <v>76</v>
      </c>
      <c r="B129" s="1"/>
      <c r="C129" s="1"/>
      <c r="D129" s="1">
        <f>D115</f>
        <v>6</v>
      </c>
      <c r="E129" s="1" t="str">
        <f>E115</f>
        <v>A</v>
      </c>
      <c r="F129" s="81"/>
      <c r="G129" s="82"/>
      <c r="H129" s="12"/>
      <c r="I129" s="12"/>
      <c r="J129" s="12"/>
      <c r="K129" s="12"/>
      <c r="L129" s="12"/>
      <c r="M129" s="287" t="str">
        <f>M$31</f>
        <v>DC Current-Measure</v>
      </c>
      <c r="N129" s="1"/>
      <c r="O129" s="1"/>
      <c r="P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</row>
    <row r="130" spans="1:32" ht="12.75" customHeight="1" x14ac:dyDescent="0.3">
      <c r="A130" s="84" t="s">
        <v>2</v>
      </c>
      <c r="B130" s="85"/>
      <c r="C130" s="85"/>
      <c r="D130" s="80">
        <f>C9</f>
        <v>3</v>
      </c>
      <c r="E130" s="86" t="str">
        <f>D9</f>
        <v>A2</v>
      </c>
      <c r="F130" s="111"/>
      <c r="G130" s="147"/>
      <c r="H130" s="90">
        <v>1E-3</v>
      </c>
      <c r="I130" s="90"/>
      <c r="J130" s="90"/>
      <c r="K130" s="90"/>
      <c r="L130" s="90"/>
      <c r="M130" s="76"/>
      <c r="N130" s="1"/>
      <c r="O130" s="1"/>
      <c r="P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</row>
    <row r="131" spans="1:32" ht="12.75" customHeight="1" x14ac:dyDescent="0.3">
      <c r="A131" s="91" t="s">
        <v>78</v>
      </c>
      <c r="B131" s="91" t="s">
        <v>79</v>
      </c>
      <c r="C131" s="91" t="s">
        <v>10</v>
      </c>
      <c r="D131" s="91" t="s">
        <v>80</v>
      </c>
      <c r="E131" s="91" t="s">
        <v>81</v>
      </c>
      <c r="F131" s="92" t="s">
        <v>82</v>
      </c>
      <c r="G131" s="91" t="s">
        <v>83</v>
      </c>
      <c r="H131" s="91" t="s">
        <v>84</v>
      </c>
      <c r="I131" s="91" t="s">
        <v>85</v>
      </c>
      <c r="J131" s="91" t="s">
        <v>86</v>
      </c>
      <c r="K131" s="91" t="s">
        <v>87</v>
      </c>
      <c r="L131" s="91" t="s">
        <v>88</v>
      </c>
      <c r="M131" s="91" t="s">
        <v>89</v>
      </c>
      <c r="N131" s="1"/>
      <c r="O131" s="1"/>
      <c r="P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</row>
    <row r="132" spans="1:32" ht="12.75" customHeight="1" x14ac:dyDescent="0.3">
      <c r="A132" s="93" t="s">
        <v>90</v>
      </c>
      <c r="B132" s="94" t="s">
        <v>353</v>
      </c>
      <c r="C132" s="94" t="s">
        <v>42</v>
      </c>
      <c r="D132" s="95" t="str">
        <f>E130</f>
        <v>A2</v>
      </c>
      <c r="E132" s="94" t="s">
        <v>631</v>
      </c>
      <c r="F132" s="94">
        <f>STDEV(Data!E112:N112)/SQRT(5)</f>
        <v>0</v>
      </c>
      <c r="G132" s="94">
        <v>1</v>
      </c>
      <c r="H132" s="94">
        <f>5-1</f>
        <v>4</v>
      </c>
      <c r="I132" s="94">
        <f t="shared" ref="I132:I135" si="58">(F132)/G132</f>
        <v>0</v>
      </c>
      <c r="J132" s="94">
        <v>1</v>
      </c>
      <c r="K132" s="94">
        <f t="shared" ref="K132:K135" si="59">I132*J132</f>
        <v>0</v>
      </c>
      <c r="L132" s="94">
        <f t="shared" ref="L132:L135" si="60">K132^2</f>
        <v>0</v>
      </c>
      <c r="M132" s="94">
        <f t="shared" ref="M132:M135" si="61">(K132^4)/H132</f>
        <v>0</v>
      </c>
      <c r="N132" s="1"/>
      <c r="O132" s="1"/>
      <c r="P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</row>
    <row r="133" spans="1:32" ht="12.75" customHeight="1" x14ac:dyDescent="0.3">
      <c r="A133" s="93" t="s">
        <v>93</v>
      </c>
      <c r="B133" s="94" t="s">
        <v>354</v>
      </c>
      <c r="C133" s="94" t="s">
        <v>95</v>
      </c>
      <c r="D133" s="95" t="str">
        <f>D132</f>
        <v>A2</v>
      </c>
      <c r="E133" s="94" t="s">
        <v>96</v>
      </c>
      <c r="F133" s="94">
        <f>H130/2</f>
        <v>5.0000000000000001E-4</v>
      </c>
      <c r="G133" s="94">
        <f>SQRT(3)</f>
        <v>1.7320508075688772</v>
      </c>
      <c r="H133" s="94">
        <v>50</v>
      </c>
      <c r="I133" s="94">
        <f t="shared" si="58"/>
        <v>2.886751345948129E-4</v>
      </c>
      <c r="J133" s="94">
        <v>1</v>
      </c>
      <c r="K133" s="94">
        <f t="shared" si="59"/>
        <v>2.886751345948129E-4</v>
      </c>
      <c r="L133" s="94">
        <f t="shared" si="60"/>
        <v>8.3333333333333338E-8</v>
      </c>
      <c r="M133" s="94">
        <f t="shared" si="61"/>
        <v>1.388888888888889E-16</v>
      </c>
      <c r="N133" s="1"/>
      <c r="O133" s="1"/>
      <c r="P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</row>
    <row r="134" spans="1:32" ht="12.75" customHeight="1" x14ac:dyDescent="0.3">
      <c r="A134" s="93" t="s">
        <v>97</v>
      </c>
      <c r="B134" s="94" t="s">
        <v>355</v>
      </c>
      <c r="C134" s="94" t="s">
        <v>95</v>
      </c>
      <c r="D134" s="95" t="str">
        <f>D132</f>
        <v>A2</v>
      </c>
      <c r="E134" s="94" t="s">
        <v>92</v>
      </c>
      <c r="F134" s="96">
        <f>V29</f>
        <v>6.8999999999999999E-3</v>
      </c>
      <c r="G134" s="94">
        <v>2</v>
      </c>
      <c r="H134" s="94">
        <v>60</v>
      </c>
      <c r="I134" s="94">
        <f t="shared" si="58"/>
        <v>3.4499999999999999E-3</v>
      </c>
      <c r="J134" s="94">
        <v>1</v>
      </c>
      <c r="K134" s="94">
        <f t="shared" si="59"/>
        <v>3.4499999999999999E-3</v>
      </c>
      <c r="L134" s="94">
        <f t="shared" si="60"/>
        <v>1.19025E-5</v>
      </c>
      <c r="M134" s="94">
        <f t="shared" si="61"/>
        <v>2.3611584375000003E-12</v>
      </c>
      <c r="N134" s="1"/>
      <c r="O134" s="1"/>
      <c r="P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</row>
    <row r="135" spans="1:32" ht="12.75" customHeight="1" x14ac:dyDescent="0.3">
      <c r="A135" s="93" t="s">
        <v>99</v>
      </c>
      <c r="B135" s="94" t="s">
        <v>356</v>
      </c>
      <c r="C135" s="94" t="s">
        <v>95</v>
      </c>
      <c r="D135" s="95" t="str">
        <f>D132</f>
        <v>A2</v>
      </c>
      <c r="E135" s="94" t="s">
        <v>96</v>
      </c>
      <c r="F135" s="94">
        <f>U29</f>
        <v>3.1709814553708957E-3</v>
      </c>
      <c r="G135" s="94">
        <f>SQRT(3)</f>
        <v>1.7320508075688772</v>
      </c>
      <c r="H135" s="94">
        <v>50</v>
      </c>
      <c r="I135" s="94">
        <f t="shared" si="58"/>
        <v>1.8307669968536981E-3</v>
      </c>
      <c r="J135" s="94">
        <v>1</v>
      </c>
      <c r="K135" s="94">
        <f t="shared" si="59"/>
        <v>1.8307669968536981E-3</v>
      </c>
      <c r="L135" s="94">
        <f t="shared" si="60"/>
        <v>3.3517077967687086E-6</v>
      </c>
      <c r="M135" s="94">
        <f t="shared" si="61"/>
        <v>2.24678903098403E-13</v>
      </c>
      <c r="N135" s="1"/>
      <c r="O135" s="1"/>
      <c r="P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</row>
    <row r="136" spans="1:32" ht="12.75" customHeight="1" x14ac:dyDescent="0.3">
      <c r="A136" s="64"/>
      <c r="B136" s="64"/>
      <c r="C136" s="64"/>
      <c r="D136" s="64"/>
      <c r="E136" s="64"/>
      <c r="F136" s="64"/>
      <c r="G136" s="64"/>
      <c r="H136" s="64"/>
      <c r="I136" s="64"/>
      <c r="J136" s="64"/>
      <c r="K136" s="64"/>
      <c r="L136" s="64"/>
      <c r="M136" s="64"/>
      <c r="N136" s="1"/>
      <c r="O136" s="1"/>
      <c r="P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</row>
    <row r="137" spans="1:32" ht="12.75" customHeight="1" x14ac:dyDescent="0.3">
      <c r="A137" s="845" t="s">
        <v>103</v>
      </c>
      <c r="B137" s="846"/>
      <c r="C137" s="846"/>
      <c r="D137" s="846"/>
      <c r="E137" s="846"/>
      <c r="F137" s="846"/>
      <c r="G137" s="846"/>
      <c r="H137" s="846"/>
      <c r="I137" s="846"/>
      <c r="J137" s="792"/>
      <c r="K137" s="847">
        <f>SUM(L132:L135)</f>
        <v>1.533754113010204E-5</v>
      </c>
      <c r="L137" s="792"/>
      <c r="M137" s="148">
        <f>SUM(M132:M135)</f>
        <v>2.5859762294872921E-12</v>
      </c>
      <c r="N137" s="1"/>
      <c r="O137" s="1"/>
      <c r="P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</row>
    <row r="138" spans="1:32" ht="12.75" customHeight="1" x14ac:dyDescent="0.3">
      <c r="A138" s="834" t="s">
        <v>104</v>
      </c>
      <c r="B138" s="794"/>
      <c r="C138" s="794"/>
      <c r="D138" s="794"/>
      <c r="E138" s="794"/>
      <c r="F138" s="794"/>
      <c r="G138" s="794"/>
      <c r="H138" s="794"/>
      <c r="I138" s="794"/>
      <c r="J138" s="780"/>
      <c r="K138" s="835">
        <f>SQRT(K137)</f>
        <v>3.9163172918064287E-3</v>
      </c>
      <c r="L138" s="780"/>
      <c r="M138" s="93"/>
      <c r="N138" s="1"/>
      <c r="O138" s="1"/>
      <c r="P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</row>
    <row r="139" spans="1:32" ht="12.75" customHeight="1" x14ac:dyDescent="0.3">
      <c r="A139" s="834" t="s">
        <v>105</v>
      </c>
      <c r="B139" s="794"/>
      <c r="C139" s="794"/>
      <c r="D139" s="794"/>
      <c r="E139" s="794"/>
      <c r="F139" s="794"/>
      <c r="G139" s="794"/>
      <c r="H139" s="794"/>
      <c r="I139" s="794"/>
      <c r="J139" s="780"/>
      <c r="K139" s="99">
        <f>(K138^4)/M137</f>
        <v>90.967645114128359</v>
      </c>
      <c r="L139" s="101"/>
      <c r="M139" s="93"/>
      <c r="N139" s="1"/>
      <c r="O139" s="1"/>
      <c r="P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</row>
    <row r="140" spans="1:32" ht="12.75" customHeight="1" x14ac:dyDescent="0.3">
      <c r="A140" s="834" t="s">
        <v>106</v>
      </c>
      <c r="B140" s="794"/>
      <c r="C140" s="794"/>
      <c r="D140" s="794"/>
      <c r="E140" s="794"/>
      <c r="F140" s="794"/>
      <c r="G140" s="794"/>
      <c r="H140" s="794"/>
      <c r="I140" s="794"/>
      <c r="J140" s="780"/>
      <c r="K140" s="99">
        <f>1.95996+2.37356/K139+2.818745/K139^2+2.546662/K139^3+1.761829/K139^4+0.245458/K139^5+1.000764/K139^6</f>
        <v>1.9863963920557863</v>
      </c>
      <c r="L140" s="101">
        <v>2</v>
      </c>
      <c r="M140" s="93"/>
      <c r="N140" s="1"/>
      <c r="O140" s="1"/>
      <c r="P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</row>
    <row r="141" spans="1:32" ht="12.75" customHeight="1" x14ac:dyDescent="0.3">
      <c r="A141" s="834" t="s">
        <v>107</v>
      </c>
      <c r="B141" s="794"/>
      <c r="C141" s="794"/>
      <c r="D141" s="794"/>
      <c r="E141" s="794"/>
      <c r="F141" s="794"/>
      <c r="G141" s="794"/>
      <c r="H141" s="794"/>
      <c r="I141" s="794"/>
      <c r="J141" s="780"/>
      <c r="K141" s="99">
        <f>K140*K138</f>
        <v>7.7793585385899783E-3</v>
      </c>
      <c r="L141" s="101">
        <f>L140*K138</f>
        <v>7.8326345836128575E-3</v>
      </c>
      <c r="M141" s="93"/>
      <c r="N141" s="1"/>
      <c r="O141" s="1"/>
      <c r="P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</row>
    <row r="142" spans="1:32" ht="12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</row>
    <row r="143" spans="1:32" ht="12.75" customHeight="1" x14ac:dyDescent="0.3">
      <c r="A143" s="71" t="s">
        <v>76</v>
      </c>
      <c r="B143" s="1"/>
      <c r="C143" s="1"/>
      <c r="D143" s="1">
        <f>D129</f>
        <v>6</v>
      </c>
      <c r="E143" s="1" t="str">
        <f>E129</f>
        <v>A</v>
      </c>
      <c r="F143" s="81"/>
      <c r="G143" s="82"/>
      <c r="H143" s="12"/>
      <c r="I143" s="12"/>
      <c r="J143" s="12"/>
      <c r="K143" s="12"/>
      <c r="L143" s="12"/>
      <c r="M143" s="287" t="str">
        <f>M$31</f>
        <v>DC Current-Measure</v>
      </c>
      <c r="N143" s="1"/>
      <c r="O143" s="1"/>
      <c r="P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</row>
    <row r="144" spans="1:32" ht="12.75" customHeight="1" x14ac:dyDescent="0.3">
      <c r="A144" s="84" t="s">
        <v>2</v>
      </c>
      <c r="B144" s="85"/>
      <c r="C144" s="85"/>
      <c r="D144" s="80">
        <f>C10</f>
        <v>5.4</v>
      </c>
      <c r="E144" s="86" t="str">
        <f>D10</f>
        <v>A2</v>
      </c>
      <c r="F144" s="111"/>
      <c r="G144" s="147"/>
      <c r="H144" s="90">
        <v>1E-3</v>
      </c>
      <c r="I144" s="90"/>
      <c r="J144" s="90"/>
      <c r="K144" s="90"/>
      <c r="L144" s="90"/>
      <c r="M144" s="76"/>
      <c r="N144" s="1"/>
      <c r="O144" s="1"/>
      <c r="P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</row>
    <row r="145" spans="1:32" ht="12.75" customHeight="1" x14ac:dyDescent="0.3">
      <c r="A145" s="91" t="s">
        <v>78</v>
      </c>
      <c r="B145" s="91" t="s">
        <v>79</v>
      </c>
      <c r="C145" s="91" t="s">
        <v>10</v>
      </c>
      <c r="D145" s="91" t="s">
        <v>80</v>
      </c>
      <c r="E145" s="91" t="s">
        <v>81</v>
      </c>
      <c r="F145" s="92" t="s">
        <v>82</v>
      </c>
      <c r="G145" s="91" t="s">
        <v>83</v>
      </c>
      <c r="H145" s="91" t="s">
        <v>84</v>
      </c>
      <c r="I145" s="91" t="s">
        <v>85</v>
      </c>
      <c r="J145" s="91" t="s">
        <v>86</v>
      </c>
      <c r="K145" s="91" t="s">
        <v>87</v>
      </c>
      <c r="L145" s="91" t="s">
        <v>88</v>
      </c>
      <c r="M145" s="91" t="s">
        <v>89</v>
      </c>
      <c r="N145" s="1"/>
      <c r="O145" s="1"/>
      <c r="P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</row>
    <row r="146" spans="1:32" ht="12.75" customHeight="1" x14ac:dyDescent="0.3">
      <c r="A146" s="93" t="s">
        <v>90</v>
      </c>
      <c r="B146" s="94" t="s">
        <v>353</v>
      </c>
      <c r="C146" s="94" t="s">
        <v>42</v>
      </c>
      <c r="D146" s="95" t="str">
        <f>E144</f>
        <v>A2</v>
      </c>
      <c r="E146" s="94" t="s">
        <v>631</v>
      </c>
      <c r="F146" s="94">
        <f>STDEV(Data!E113:N113)/SQRT(5)</f>
        <v>0</v>
      </c>
      <c r="G146" s="94">
        <v>1</v>
      </c>
      <c r="H146" s="94">
        <f>5-1</f>
        <v>4</v>
      </c>
      <c r="I146" s="94">
        <f t="shared" ref="I146:I149" si="62">(F146)/G146</f>
        <v>0</v>
      </c>
      <c r="J146" s="94">
        <v>1</v>
      </c>
      <c r="K146" s="94">
        <f t="shared" ref="K146:K149" si="63">I146*J146</f>
        <v>0</v>
      </c>
      <c r="L146" s="94">
        <f t="shared" ref="L146:L149" si="64">K146^2</f>
        <v>0</v>
      </c>
      <c r="M146" s="94">
        <f t="shared" ref="M146:M149" si="65">(K146^4)/H146</f>
        <v>0</v>
      </c>
      <c r="N146" s="1"/>
      <c r="O146" s="1"/>
      <c r="P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</row>
    <row r="147" spans="1:32" ht="12.75" customHeight="1" x14ac:dyDescent="0.3">
      <c r="A147" s="93" t="s">
        <v>93</v>
      </c>
      <c r="B147" s="94" t="s">
        <v>354</v>
      </c>
      <c r="C147" s="94" t="s">
        <v>95</v>
      </c>
      <c r="D147" s="95" t="str">
        <f>D146</f>
        <v>A2</v>
      </c>
      <c r="E147" s="94" t="s">
        <v>96</v>
      </c>
      <c r="F147" s="94">
        <f>H144/2</f>
        <v>5.0000000000000001E-4</v>
      </c>
      <c r="G147" s="94">
        <f>SQRT(3)</f>
        <v>1.7320508075688772</v>
      </c>
      <c r="H147" s="94">
        <v>50</v>
      </c>
      <c r="I147" s="94">
        <f t="shared" si="62"/>
        <v>2.886751345948129E-4</v>
      </c>
      <c r="J147" s="94">
        <v>1</v>
      </c>
      <c r="K147" s="94">
        <f t="shared" si="63"/>
        <v>2.886751345948129E-4</v>
      </c>
      <c r="L147" s="94">
        <f t="shared" si="64"/>
        <v>8.3333333333333338E-8</v>
      </c>
      <c r="M147" s="94">
        <f t="shared" si="65"/>
        <v>1.388888888888889E-16</v>
      </c>
      <c r="N147" s="1"/>
      <c r="O147" s="1"/>
      <c r="P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</row>
    <row r="148" spans="1:32" ht="12.75" customHeight="1" x14ac:dyDescent="0.3">
      <c r="A148" s="93" t="s">
        <v>97</v>
      </c>
      <c r="B148" s="94" t="s">
        <v>355</v>
      </c>
      <c r="C148" s="94" t="s">
        <v>95</v>
      </c>
      <c r="D148" s="95" t="str">
        <f>D146</f>
        <v>A2</v>
      </c>
      <c r="E148" s="94" t="s">
        <v>92</v>
      </c>
      <c r="F148" s="96">
        <f>V30</f>
        <v>6.8999999999999999E-3</v>
      </c>
      <c r="G148" s="94">
        <v>2</v>
      </c>
      <c r="H148" s="94">
        <v>60</v>
      </c>
      <c r="I148" s="94">
        <f t="shared" si="62"/>
        <v>3.4499999999999999E-3</v>
      </c>
      <c r="J148" s="94">
        <v>1</v>
      </c>
      <c r="K148" s="94">
        <f t="shared" si="63"/>
        <v>3.4499999999999999E-3</v>
      </c>
      <c r="L148" s="94">
        <f t="shared" si="64"/>
        <v>1.19025E-5</v>
      </c>
      <c r="M148" s="94">
        <f t="shared" si="65"/>
        <v>2.3611584375000003E-12</v>
      </c>
      <c r="N148" s="1"/>
      <c r="O148" s="1"/>
      <c r="P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</row>
    <row r="149" spans="1:32" ht="12.75" customHeight="1" x14ac:dyDescent="0.3">
      <c r="A149" s="93" t="s">
        <v>99</v>
      </c>
      <c r="B149" s="94" t="s">
        <v>356</v>
      </c>
      <c r="C149" s="94" t="s">
        <v>95</v>
      </c>
      <c r="D149" s="95" t="str">
        <f>D146</f>
        <v>A2</v>
      </c>
      <c r="E149" s="94" t="s">
        <v>96</v>
      </c>
      <c r="F149" s="94">
        <f>U30</f>
        <v>3.1531201157704255E-3</v>
      </c>
      <c r="G149" s="94">
        <f>SQRT(3)</f>
        <v>1.7320508075688772</v>
      </c>
      <c r="H149" s="94">
        <v>50</v>
      </c>
      <c r="I149" s="94">
        <f t="shared" si="62"/>
        <v>1.8204547476272793E-3</v>
      </c>
      <c r="J149" s="94">
        <v>1</v>
      </c>
      <c r="K149" s="94">
        <f t="shared" si="63"/>
        <v>1.8204547476272793E-3</v>
      </c>
      <c r="L149" s="94">
        <f t="shared" si="64"/>
        <v>3.314055488158701E-6</v>
      </c>
      <c r="M149" s="94">
        <f t="shared" si="65"/>
        <v>2.1965927557189612E-13</v>
      </c>
      <c r="N149" s="1"/>
      <c r="O149" s="1"/>
      <c r="P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</row>
    <row r="150" spans="1:32" ht="12.75" customHeight="1" x14ac:dyDescent="0.3">
      <c r="A150" s="64"/>
      <c r="B150" s="64"/>
      <c r="C150" s="64"/>
      <c r="D150" s="64"/>
      <c r="E150" s="64"/>
      <c r="F150" s="64"/>
      <c r="G150" s="64"/>
      <c r="H150" s="64"/>
      <c r="I150" s="64"/>
      <c r="J150" s="64"/>
      <c r="K150" s="64"/>
      <c r="L150" s="64"/>
      <c r="M150" s="64"/>
      <c r="N150" s="1"/>
      <c r="O150" s="1"/>
      <c r="P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</row>
    <row r="151" spans="1:32" ht="12.75" customHeight="1" x14ac:dyDescent="0.3">
      <c r="A151" s="845" t="s">
        <v>103</v>
      </c>
      <c r="B151" s="846"/>
      <c r="C151" s="846"/>
      <c r="D151" s="846"/>
      <c r="E151" s="846"/>
      <c r="F151" s="846"/>
      <c r="G151" s="846"/>
      <c r="H151" s="846"/>
      <c r="I151" s="846"/>
      <c r="J151" s="792"/>
      <c r="K151" s="847">
        <f>SUM(L146:L149)</f>
        <v>1.5299888821492034E-5</v>
      </c>
      <c r="L151" s="792"/>
      <c r="M151" s="148">
        <f>SUM(M146:M149)</f>
        <v>2.5809566019607852E-12</v>
      </c>
      <c r="N151" s="1"/>
      <c r="O151" s="1"/>
      <c r="P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</row>
    <row r="152" spans="1:32" ht="12.75" customHeight="1" x14ac:dyDescent="0.3">
      <c r="A152" s="834" t="s">
        <v>104</v>
      </c>
      <c r="B152" s="794"/>
      <c r="C152" s="794"/>
      <c r="D152" s="794"/>
      <c r="E152" s="794"/>
      <c r="F152" s="794"/>
      <c r="G152" s="794"/>
      <c r="H152" s="794"/>
      <c r="I152" s="794"/>
      <c r="J152" s="780"/>
      <c r="K152" s="835">
        <f>SQRT(K151)</f>
        <v>3.9115072314252512E-3</v>
      </c>
      <c r="L152" s="780"/>
      <c r="M152" s="93"/>
      <c r="N152" s="1"/>
      <c r="O152" s="1"/>
      <c r="P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</row>
    <row r="153" spans="1:32" ht="12.75" customHeight="1" x14ac:dyDescent="0.3">
      <c r="A153" s="834" t="s">
        <v>105</v>
      </c>
      <c r="B153" s="794"/>
      <c r="C153" s="794"/>
      <c r="D153" s="794"/>
      <c r="E153" s="794"/>
      <c r="F153" s="794"/>
      <c r="G153" s="794"/>
      <c r="H153" s="794"/>
      <c r="I153" s="794"/>
      <c r="J153" s="780"/>
      <c r="K153" s="99">
        <f>(K152^4)/M151</f>
        <v>90.697611022276902</v>
      </c>
      <c r="L153" s="101"/>
      <c r="M153" s="93"/>
      <c r="N153" s="1"/>
      <c r="O153" s="1"/>
      <c r="P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</row>
    <row r="154" spans="1:32" ht="12.75" customHeight="1" x14ac:dyDescent="0.3">
      <c r="A154" s="834" t="s">
        <v>106</v>
      </c>
      <c r="B154" s="794"/>
      <c r="C154" s="794"/>
      <c r="D154" s="794"/>
      <c r="E154" s="794"/>
      <c r="F154" s="794"/>
      <c r="G154" s="794"/>
      <c r="H154" s="794"/>
      <c r="I154" s="794"/>
      <c r="J154" s="780"/>
      <c r="K154" s="99">
        <f>1.95996+2.37356/K153+2.818745/K153^2+2.546662/K153^3+1.761829/K153^4+0.245458/K153^5+1.000764/K153^6</f>
        <v>1.9864761387950982</v>
      </c>
      <c r="L154" s="101">
        <v>2</v>
      </c>
      <c r="M154" s="93"/>
      <c r="N154" s="1"/>
      <c r="O154" s="1"/>
      <c r="P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</row>
    <row r="155" spans="1:32" ht="12.75" customHeight="1" x14ac:dyDescent="0.3">
      <c r="A155" s="834" t="s">
        <v>107</v>
      </c>
      <c r="B155" s="794"/>
      <c r="C155" s="794"/>
      <c r="D155" s="794"/>
      <c r="E155" s="794"/>
      <c r="F155" s="794"/>
      <c r="G155" s="794"/>
      <c r="H155" s="794"/>
      <c r="I155" s="794"/>
      <c r="J155" s="780"/>
      <c r="K155" s="99">
        <f>K154*K152</f>
        <v>7.7701157819507378E-3</v>
      </c>
      <c r="L155" s="101">
        <f>L154*K152</f>
        <v>7.8230144628505024E-3</v>
      </c>
      <c r="M155" s="93"/>
      <c r="N155" s="1"/>
      <c r="O155" s="1"/>
      <c r="P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</row>
    <row r="156" spans="1:32" ht="12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</row>
    <row r="157" spans="1:32" ht="12.75" customHeight="1" x14ac:dyDescent="0.3">
      <c r="A157" s="71" t="s">
        <v>76</v>
      </c>
      <c r="B157" s="1"/>
      <c r="C157" s="1"/>
      <c r="D157" s="1">
        <f>A11</f>
        <v>10</v>
      </c>
      <c r="E157" s="1" t="str">
        <f>B11</f>
        <v>A</v>
      </c>
      <c r="F157" s="81"/>
      <c r="G157" s="82"/>
      <c r="H157" s="12"/>
      <c r="I157" s="12"/>
      <c r="J157" s="12"/>
      <c r="K157" s="12"/>
      <c r="L157" s="12"/>
      <c r="M157" s="287" t="str">
        <f>M$31</f>
        <v>DC Current-Measure</v>
      </c>
      <c r="N157" s="1"/>
      <c r="O157" s="1"/>
      <c r="P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</row>
    <row r="158" spans="1:32" ht="12.75" customHeight="1" x14ac:dyDescent="0.3">
      <c r="A158" s="84" t="s">
        <v>2</v>
      </c>
      <c r="B158" s="85"/>
      <c r="C158" s="85"/>
      <c r="D158" s="86">
        <f>C11</f>
        <v>1</v>
      </c>
      <c r="E158" s="86" t="str">
        <f>D11</f>
        <v>A1</v>
      </c>
      <c r="F158" s="111"/>
      <c r="G158" s="147"/>
      <c r="H158" s="90">
        <v>0.01</v>
      </c>
      <c r="I158" s="90"/>
      <c r="J158" s="90"/>
      <c r="K158" s="90"/>
      <c r="L158" s="90"/>
      <c r="M158" s="76"/>
      <c r="N158" s="1"/>
      <c r="O158" s="1"/>
      <c r="P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</row>
    <row r="159" spans="1:32" ht="12.75" customHeight="1" x14ac:dyDescent="0.3">
      <c r="A159" s="91" t="s">
        <v>78</v>
      </c>
      <c r="B159" s="91" t="s">
        <v>79</v>
      </c>
      <c r="C159" s="91" t="s">
        <v>10</v>
      </c>
      <c r="D159" s="91" t="s">
        <v>80</v>
      </c>
      <c r="E159" s="91" t="s">
        <v>81</v>
      </c>
      <c r="F159" s="92" t="s">
        <v>82</v>
      </c>
      <c r="G159" s="91" t="s">
        <v>83</v>
      </c>
      <c r="H159" s="91" t="s">
        <v>84</v>
      </c>
      <c r="I159" s="91" t="s">
        <v>85</v>
      </c>
      <c r="J159" s="91" t="s">
        <v>86</v>
      </c>
      <c r="K159" s="91" t="s">
        <v>87</v>
      </c>
      <c r="L159" s="91" t="s">
        <v>88</v>
      </c>
      <c r="M159" s="91" t="s">
        <v>89</v>
      </c>
      <c r="N159" s="1"/>
      <c r="O159" s="1"/>
      <c r="P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</row>
    <row r="160" spans="1:32" ht="12.75" customHeight="1" x14ac:dyDescent="0.3">
      <c r="A160" s="93" t="s">
        <v>90</v>
      </c>
      <c r="B160" s="94" t="s">
        <v>353</v>
      </c>
      <c r="C160" s="94" t="s">
        <v>42</v>
      </c>
      <c r="D160" s="95" t="str">
        <f>E158</f>
        <v>A1</v>
      </c>
      <c r="E160" s="94" t="s">
        <v>631</v>
      </c>
      <c r="F160" s="94">
        <f>STDEV(Data!E115:N115)/SQRT(5)</f>
        <v>0</v>
      </c>
      <c r="G160" s="94">
        <v>1</v>
      </c>
      <c r="H160" s="94">
        <f>5-1</f>
        <v>4</v>
      </c>
      <c r="I160" s="94">
        <f t="shared" ref="I160:I163" si="66">(F160)/G160</f>
        <v>0</v>
      </c>
      <c r="J160" s="94">
        <v>1</v>
      </c>
      <c r="K160" s="94">
        <f t="shared" ref="K160:K163" si="67">I160*J160</f>
        <v>0</v>
      </c>
      <c r="L160" s="94">
        <f t="shared" ref="L160:L163" si="68">K160^2</f>
        <v>0</v>
      </c>
      <c r="M160" s="94">
        <f t="shared" ref="M160:M163" si="69">(K160^4)/H160</f>
        <v>0</v>
      </c>
      <c r="N160" s="1"/>
      <c r="O160" s="1"/>
      <c r="P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</row>
    <row r="161" spans="1:32" ht="12.75" customHeight="1" x14ac:dyDescent="0.3">
      <c r="A161" s="93" t="s">
        <v>93</v>
      </c>
      <c r="B161" s="94" t="s">
        <v>354</v>
      </c>
      <c r="C161" s="94" t="s">
        <v>95</v>
      </c>
      <c r="D161" s="95" t="str">
        <f>D160</f>
        <v>A1</v>
      </c>
      <c r="E161" s="94" t="s">
        <v>96</v>
      </c>
      <c r="F161" s="94">
        <f>H158/2</f>
        <v>5.0000000000000001E-3</v>
      </c>
      <c r="G161" s="94">
        <f>SQRT(3)</f>
        <v>1.7320508075688772</v>
      </c>
      <c r="H161" s="94">
        <v>50</v>
      </c>
      <c r="I161" s="94">
        <f t="shared" si="66"/>
        <v>2.886751345948129E-3</v>
      </c>
      <c r="J161" s="94">
        <v>1</v>
      </c>
      <c r="K161" s="94">
        <f t="shared" si="67"/>
        <v>2.886751345948129E-3</v>
      </c>
      <c r="L161" s="94">
        <f t="shared" si="68"/>
        <v>8.3333333333333337E-6</v>
      </c>
      <c r="M161" s="94">
        <f t="shared" si="69"/>
        <v>1.3888888888888891E-12</v>
      </c>
      <c r="N161" s="1"/>
      <c r="O161" s="1"/>
      <c r="P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</row>
    <row r="162" spans="1:32" ht="12.75" customHeight="1" x14ac:dyDescent="0.3">
      <c r="A162" s="93" t="s">
        <v>97</v>
      </c>
      <c r="B162" s="94" t="s">
        <v>355</v>
      </c>
      <c r="C162" s="94" t="s">
        <v>95</v>
      </c>
      <c r="D162" s="95" t="str">
        <f>D160</f>
        <v>A1</v>
      </c>
      <c r="E162" s="94" t="s">
        <v>92</v>
      </c>
      <c r="F162" s="245">
        <f>V31</f>
        <v>4.8000000000000001E-4</v>
      </c>
      <c r="G162" s="94">
        <v>2</v>
      </c>
      <c r="H162" s="94">
        <v>60</v>
      </c>
      <c r="I162" s="94">
        <f t="shared" si="66"/>
        <v>2.4000000000000001E-4</v>
      </c>
      <c r="J162" s="94">
        <v>1</v>
      </c>
      <c r="K162" s="94">
        <f t="shared" si="67"/>
        <v>2.4000000000000001E-4</v>
      </c>
      <c r="L162" s="94">
        <f t="shared" si="68"/>
        <v>5.76E-8</v>
      </c>
      <c r="M162" s="94">
        <f t="shared" si="69"/>
        <v>5.5295999999999999E-17</v>
      </c>
      <c r="N162" s="1"/>
      <c r="O162" s="1"/>
      <c r="P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</row>
    <row r="163" spans="1:32" ht="12.75" customHeight="1" x14ac:dyDescent="0.3">
      <c r="A163" s="93" t="s">
        <v>99</v>
      </c>
      <c r="B163" s="94" t="s">
        <v>356</v>
      </c>
      <c r="C163" s="94" t="s">
        <v>95</v>
      </c>
      <c r="D163" s="95" t="str">
        <f>D160</f>
        <v>A1</v>
      </c>
      <c r="E163" s="94" t="s">
        <v>96</v>
      </c>
      <c r="F163" s="94">
        <f>U31</f>
        <v>3.6322237724657392E-5</v>
      </c>
      <c r="G163" s="94">
        <f>SQRT(3)</f>
        <v>1.7320508075688772</v>
      </c>
      <c r="H163" s="94">
        <v>50</v>
      </c>
      <c r="I163" s="94">
        <f t="shared" si="66"/>
        <v>2.0970653727900525E-5</v>
      </c>
      <c r="J163" s="94">
        <v>1</v>
      </c>
      <c r="K163" s="94">
        <f t="shared" si="67"/>
        <v>2.0970653727900525E-5</v>
      </c>
      <c r="L163" s="94">
        <f t="shared" si="68"/>
        <v>4.3976831777550819E-10</v>
      </c>
      <c r="M163" s="94">
        <f t="shared" si="69"/>
        <v>3.8679234663820073E-21</v>
      </c>
      <c r="N163" s="1"/>
      <c r="O163" s="1"/>
      <c r="P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</row>
    <row r="164" spans="1:32" ht="12.75" customHeight="1" x14ac:dyDescent="0.3">
      <c r="A164" s="64"/>
      <c r="B164" s="64"/>
      <c r="C164" s="64"/>
      <c r="D164" s="64"/>
      <c r="E164" s="64"/>
      <c r="F164" s="64"/>
      <c r="G164" s="64"/>
      <c r="H164" s="64"/>
      <c r="I164" s="64"/>
      <c r="J164" s="64"/>
      <c r="K164" s="64"/>
      <c r="L164" s="64"/>
      <c r="M164" s="64"/>
      <c r="N164" s="1"/>
      <c r="O164" s="1"/>
      <c r="P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</row>
    <row r="165" spans="1:32" ht="12.75" customHeight="1" x14ac:dyDescent="0.3">
      <c r="A165" s="845" t="s">
        <v>103</v>
      </c>
      <c r="B165" s="846"/>
      <c r="C165" s="846"/>
      <c r="D165" s="846"/>
      <c r="E165" s="846"/>
      <c r="F165" s="846"/>
      <c r="G165" s="846"/>
      <c r="H165" s="846"/>
      <c r="I165" s="846"/>
      <c r="J165" s="792"/>
      <c r="K165" s="847">
        <f>SUM(L160:L163)</f>
        <v>8.3913731016511078E-6</v>
      </c>
      <c r="L165" s="792"/>
      <c r="M165" s="148">
        <f>SUM(M160:M163)</f>
        <v>1.3889441887568124E-12</v>
      </c>
      <c r="N165" s="1"/>
      <c r="O165" s="1"/>
      <c r="P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</row>
    <row r="166" spans="1:32" ht="12.75" customHeight="1" x14ac:dyDescent="0.3">
      <c r="A166" s="834" t="s">
        <v>104</v>
      </c>
      <c r="B166" s="794"/>
      <c r="C166" s="794"/>
      <c r="D166" s="794"/>
      <c r="E166" s="794"/>
      <c r="F166" s="794"/>
      <c r="G166" s="794"/>
      <c r="H166" s="794"/>
      <c r="I166" s="794"/>
      <c r="J166" s="780"/>
      <c r="K166" s="835">
        <f>SQRT(K165)</f>
        <v>2.8967866855623158E-3</v>
      </c>
      <c r="L166" s="780"/>
      <c r="M166" s="93"/>
      <c r="N166" s="1"/>
      <c r="O166" s="1"/>
      <c r="P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</row>
    <row r="167" spans="1:32" ht="12.75" customHeight="1" x14ac:dyDescent="0.3">
      <c r="A167" s="834" t="s">
        <v>105</v>
      </c>
      <c r="B167" s="794"/>
      <c r="C167" s="794"/>
      <c r="D167" s="794"/>
      <c r="E167" s="794"/>
      <c r="F167" s="794"/>
      <c r="G167" s="794"/>
      <c r="H167" s="794"/>
      <c r="I167" s="794"/>
      <c r="J167" s="780"/>
      <c r="K167" s="99">
        <f>(K166^4)/M165</f>
        <v>50.696884080086384</v>
      </c>
      <c r="L167" s="101"/>
      <c r="M167" s="93"/>
      <c r="N167" s="1"/>
      <c r="O167" s="1"/>
      <c r="P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</row>
    <row r="168" spans="1:32" ht="12.75" customHeight="1" x14ac:dyDescent="0.3">
      <c r="A168" s="834" t="s">
        <v>106</v>
      </c>
      <c r="B168" s="794"/>
      <c r="C168" s="794"/>
      <c r="D168" s="794"/>
      <c r="E168" s="794"/>
      <c r="F168" s="794"/>
      <c r="G168" s="794"/>
      <c r="H168" s="794"/>
      <c r="I168" s="794"/>
      <c r="J168" s="780"/>
      <c r="K168" s="99">
        <f>1.95996+2.37356/K167+2.818745/K167^2+2.546662/K167^3+1.761829/K167^4+0.245458/K167^5+1.000764/K167^6</f>
        <v>2.0078951822687832</v>
      </c>
      <c r="L168" s="101">
        <v>2</v>
      </c>
      <c r="M168" s="93"/>
      <c r="N168" s="1"/>
      <c r="O168" s="1"/>
      <c r="P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</row>
    <row r="169" spans="1:32" ht="12.75" customHeight="1" x14ac:dyDescent="0.3">
      <c r="A169" s="834" t="s">
        <v>107</v>
      </c>
      <c r="B169" s="794"/>
      <c r="C169" s="794"/>
      <c r="D169" s="794"/>
      <c r="E169" s="794"/>
      <c r="F169" s="794"/>
      <c r="G169" s="794"/>
      <c r="H169" s="794"/>
      <c r="I169" s="794"/>
      <c r="J169" s="780"/>
      <c r="K169" s="99">
        <f>K168*K166</f>
        <v>5.8164440300009302E-3</v>
      </c>
      <c r="L169" s="101">
        <f>L168*K166</f>
        <v>5.7935733711246317E-3</v>
      </c>
      <c r="M169" s="93"/>
      <c r="N169" s="1"/>
      <c r="O169" s="1"/>
      <c r="P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</row>
    <row r="170" spans="1:32" ht="12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</row>
    <row r="171" spans="1:32" ht="12.75" customHeight="1" x14ac:dyDescent="0.3">
      <c r="A171" s="71" t="s">
        <v>76</v>
      </c>
      <c r="B171" s="1"/>
      <c r="C171" s="1"/>
      <c r="D171" s="1">
        <f>D157</f>
        <v>10</v>
      </c>
      <c r="E171" s="1" t="str">
        <f>E157</f>
        <v>A</v>
      </c>
      <c r="F171" s="81"/>
      <c r="G171" s="82"/>
      <c r="H171" s="12"/>
      <c r="I171" s="12"/>
      <c r="J171" s="12"/>
      <c r="K171" s="12"/>
      <c r="L171" s="12"/>
      <c r="M171" s="287" t="str">
        <f>M$31</f>
        <v>DC Current-Measure</v>
      </c>
      <c r="N171" s="1"/>
      <c r="O171" s="1"/>
      <c r="P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</row>
    <row r="172" spans="1:32" ht="12.75" customHeight="1" x14ac:dyDescent="0.3">
      <c r="A172" s="84" t="s">
        <v>2</v>
      </c>
      <c r="B172" s="85"/>
      <c r="C172" s="85"/>
      <c r="D172" s="80">
        <f>C12</f>
        <v>5</v>
      </c>
      <c r="E172" s="86" t="str">
        <f>D12</f>
        <v>A2</v>
      </c>
      <c r="F172" s="111"/>
      <c r="G172" s="147"/>
      <c r="H172" s="90">
        <v>0.01</v>
      </c>
      <c r="I172" s="90"/>
      <c r="J172" s="90"/>
      <c r="K172" s="90"/>
      <c r="L172" s="90"/>
      <c r="M172" s="76"/>
      <c r="N172" s="1"/>
      <c r="O172" s="1"/>
      <c r="P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</row>
    <row r="173" spans="1:32" ht="12.75" customHeight="1" x14ac:dyDescent="0.3">
      <c r="A173" s="91" t="s">
        <v>78</v>
      </c>
      <c r="B173" s="91" t="s">
        <v>79</v>
      </c>
      <c r="C173" s="91" t="s">
        <v>10</v>
      </c>
      <c r="D173" s="91" t="s">
        <v>80</v>
      </c>
      <c r="E173" s="91" t="s">
        <v>81</v>
      </c>
      <c r="F173" s="92" t="s">
        <v>82</v>
      </c>
      <c r="G173" s="91" t="s">
        <v>83</v>
      </c>
      <c r="H173" s="91" t="s">
        <v>84</v>
      </c>
      <c r="I173" s="91" t="s">
        <v>85</v>
      </c>
      <c r="J173" s="91" t="s">
        <v>86</v>
      </c>
      <c r="K173" s="91" t="s">
        <v>87</v>
      </c>
      <c r="L173" s="91" t="s">
        <v>88</v>
      </c>
      <c r="M173" s="91" t="s">
        <v>89</v>
      </c>
      <c r="N173" s="1"/>
      <c r="O173" s="1"/>
      <c r="P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</row>
    <row r="174" spans="1:32" ht="12.75" customHeight="1" x14ac:dyDescent="0.3">
      <c r="A174" s="93" t="s">
        <v>90</v>
      </c>
      <c r="B174" s="94" t="s">
        <v>353</v>
      </c>
      <c r="C174" s="94" t="s">
        <v>42</v>
      </c>
      <c r="D174" s="95" t="str">
        <f>E172</f>
        <v>A2</v>
      </c>
      <c r="E174" s="94" t="s">
        <v>631</v>
      </c>
      <c r="F174" s="94">
        <f>STDEV(Data!E116:N116)/SQRT(5)</f>
        <v>0</v>
      </c>
      <c r="G174" s="94">
        <v>1</v>
      </c>
      <c r="H174" s="94">
        <f>5-1</f>
        <v>4</v>
      </c>
      <c r="I174" s="94">
        <f t="shared" ref="I174:I177" si="70">(F174)/G174</f>
        <v>0</v>
      </c>
      <c r="J174" s="94">
        <v>1</v>
      </c>
      <c r="K174" s="94">
        <f t="shared" ref="K174:K177" si="71">I174*J174</f>
        <v>0</v>
      </c>
      <c r="L174" s="94">
        <f t="shared" ref="L174:L177" si="72">K174^2</f>
        <v>0</v>
      </c>
      <c r="M174" s="94">
        <f t="shared" ref="M174:M177" si="73">(K174^4)/H174</f>
        <v>0</v>
      </c>
      <c r="N174" s="1"/>
      <c r="O174" s="1"/>
      <c r="P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</row>
    <row r="175" spans="1:32" ht="12.75" customHeight="1" x14ac:dyDescent="0.3">
      <c r="A175" s="93" t="s">
        <v>93</v>
      </c>
      <c r="B175" s="94" t="s">
        <v>354</v>
      </c>
      <c r="C175" s="94" t="s">
        <v>95</v>
      </c>
      <c r="D175" s="95" t="str">
        <f>D174</f>
        <v>A2</v>
      </c>
      <c r="E175" s="94" t="s">
        <v>96</v>
      </c>
      <c r="F175" s="94">
        <f>H172/2</f>
        <v>5.0000000000000001E-3</v>
      </c>
      <c r="G175" s="94">
        <f>SQRT(3)</f>
        <v>1.7320508075688772</v>
      </c>
      <c r="H175" s="94">
        <v>50</v>
      </c>
      <c r="I175" s="94">
        <f t="shared" si="70"/>
        <v>2.886751345948129E-3</v>
      </c>
      <c r="J175" s="94">
        <v>1</v>
      </c>
      <c r="K175" s="94">
        <f t="shared" si="71"/>
        <v>2.886751345948129E-3</v>
      </c>
      <c r="L175" s="94">
        <f t="shared" si="72"/>
        <v>8.3333333333333337E-6</v>
      </c>
      <c r="M175" s="94">
        <f t="shared" si="73"/>
        <v>1.3888888888888891E-12</v>
      </c>
      <c r="N175" s="1"/>
      <c r="O175" s="1"/>
      <c r="P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</row>
    <row r="176" spans="1:32" ht="12.75" customHeight="1" x14ac:dyDescent="0.3">
      <c r="A176" s="93" t="s">
        <v>97</v>
      </c>
      <c r="B176" s="94" t="s">
        <v>355</v>
      </c>
      <c r="C176" s="94" t="s">
        <v>95</v>
      </c>
      <c r="D176" s="95" t="str">
        <f>D174</f>
        <v>A2</v>
      </c>
      <c r="E176" s="94" t="s">
        <v>92</v>
      </c>
      <c r="F176" s="96">
        <f>V32</f>
        <v>6.8999999999999999E-3</v>
      </c>
      <c r="G176" s="94">
        <v>2</v>
      </c>
      <c r="H176" s="94">
        <v>60</v>
      </c>
      <c r="I176" s="94">
        <f t="shared" si="70"/>
        <v>3.4499999999999999E-3</v>
      </c>
      <c r="J176" s="94">
        <v>1</v>
      </c>
      <c r="K176" s="94">
        <f t="shared" si="71"/>
        <v>3.4499999999999999E-3</v>
      </c>
      <c r="L176" s="94">
        <f t="shared" si="72"/>
        <v>1.19025E-5</v>
      </c>
      <c r="M176" s="94">
        <f t="shared" si="73"/>
        <v>2.3611584375000003E-12</v>
      </c>
      <c r="N176" s="1"/>
      <c r="O176" s="1"/>
      <c r="P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</row>
    <row r="177" spans="1:32" ht="12.75" customHeight="1" x14ac:dyDescent="0.3">
      <c r="A177" s="93" t="s">
        <v>99</v>
      </c>
      <c r="B177" s="94" t="s">
        <v>356</v>
      </c>
      <c r="C177" s="94" t="s">
        <v>95</v>
      </c>
      <c r="D177" s="95" t="str">
        <f>D174</f>
        <v>A2</v>
      </c>
      <c r="E177" s="94" t="s">
        <v>96</v>
      </c>
      <c r="F177" s="94">
        <f>U32</f>
        <v>3.1560970057038372E-3</v>
      </c>
      <c r="G177" s="94">
        <f>SQRT(3)</f>
        <v>1.7320508075688772</v>
      </c>
      <c r="H177" s="94">
        <v>50</v>
      </c>
      <c r="I177" s="94">
        <f t="shared" si="70"/>
        <v>1.8221734558316824E-3</v>
      </c>
      <c r="J177" s="94">
        <v>1</v>
      </c>
      <c r="K177" s="94">
        <f t="shared" si="71"/>
        <v>1.8221734558316824E-3</v>
      </c>
      <c r="L177" s="94">
        <f t="shared" si="72"/>
        <v>3.3203161031375762E-6</v>
      </c>
      <c r="M177" s="94">
        <f t="shared" si="73"/>
        <v>2.2048998049509401E-13</v>
      </c>
      <c r="N177" s="1"/>
      <c r="O177" s="1"/>
      <c r="P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</row>
    <row r="178" spans="1:32" ht="12.75" customHeight="1" x14ac:dyDescent="0.3">
      <c r="A178" s="64"/>
      <c r="B178" s="64"/>
      <c r="C178" s="64"/>
      <c r="D178" s="64"/>
      <c r="E178" s="64"/>
      <c r="F178" s="64"/>
      <c r="G178" s="64"/>
      <c r="H178" s="64"/>
      <c r="I178" s="64"/>
      <c r="J178" s="64"/>
      <c r="K178" s="64"/>
      <c r="L178" s="64"/>
      <c r="M178" s="64"/>
      <c r="N178" s="1"/>
      <c r="O178" s="1"/>
      <c r="P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</row>
    <row r="179" spans="1:32" ht="12.75" customHeight="1" x14ac:dyDescent="0.3">
      <c r="A179" s="845" t="s">
        <v>103</v>
      </c>
      <c r="B179" s="846"/>
      <c r="C179" s="846"/>
      <c r="D179" s="846"/>
      <c r="E179" s="846"/>
      <c r="F179" s="846"/>
      <c r="G179" s="846"/>
      <c r="H179" s="846"/>
      <c r="I179" s="846"/>
      <c r="J179" s="792"/>
      <c r="K179" s="847">
        <f>SUM(L174:L177)</f>
        <v>2.3556149436470911E-5</v>
      </c>
      <c r="L179" s="792"/>
      <c r="M179" s="148">
        <f>SUM(M174:M177)</f>
        <v>3.9705373068839831E-12</v>
      </c>
      <c r="N179" s="1"/>
      <c r="O179" s="1"/>
      <c r="P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</row>
    <row r="180" spans="1:32" ht="12.75" customHeight="1" x14ac:dyDescent="0.3">
      <c r="A180" s="834" t="s">
        <v>104</v>
      </c>
      <c r="B180" s="794"/>
      <c r="C180" s="794"/>
      <c r="D180" s="794"/>
      <c r="E180" s="794"/>
      <c r="F180" s="794"/>
      <c r="G180" s="794"/>
      <c r="H180" s="794"/>
      <c r="I180" s="794"/>
      <c r="J180" s="780"/>
      <c r="K180" s="835">
        <f>SQRT(K179)</f>
        <v>4.8534677743311445E-3</v>
      </c>
      <c r="L180" s="780"/>
      <c r="M180" s="93"/>
      <c r="N180" s="1"/>
      <c r="O180" s="1"/>
      <c r="P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</row>
    <row r="181" spans="1:32" ht="12.75" customHeight="1" x14ac:dyDescent="0.3">
      <c r="A181" s="834" t="s">
        <v>105</v>
      </c>
      <c r="B181" s="794"/>
      <c r="C181" s="794"/>
      <c r="D181" s="794"/>
      <c r="E181" s="794"/>
      <c r="F181" s="794"/>
      <c r="G181" s="794"/>
      <c r="H181" s="794"/>
      <c r="I181" s="794"/>
      <c r="J181" s="780"/>
      <c r="K181" s="99">
        <f>(K180^4)/M179</f>
        <v>139.75241469493204</v>
      </c>
      <c r="L181" s="101"/>
      <c r="M181" s="93"/>
      <c r="N181" s="1"/>
      <c r="O181" s="1"/>
      <c r="P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</row>
    <row r="182" spans="1:32" ht="12.75" customHeight="1" x14ac:dyDescent="0.3">
      <c r="A182" s="834" t="s">
        <v>106</v>
      </c>
      <c r="B182" s="794"/>
      <c r="C182" s="794"/>
      <c r="D182" s="794"/>
      <c r="E182" s="794"/>
      <c r="F182" s="794"/>
      <c r="G182" s="794"/>
      <c r="H182" s="794"/>
      <c r="I182" s="794"/>
      <c r="J182" s="780"/>
      <c r="K182" s="99">
        <f>1.95996+2.37356/K181+2.818745/K181^2+2.546662/K181^3+1.761829/K181^4+0.245458/K181^5+1.000764/K181^6</f>
        <v>1.977089296877911</v>
      </c>
      <c r="L182" s="101">
        <v>2</v>
      </c>
      <c r="M182" s="93"/>
      <c r="N182" s="1"/>
      <c r="O182" s="1"/>
      <c r="P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</row>
    <row r="183" spans="1:32" ht="12.75" customHeight="1" x14ac:dyDescent="0.3">
      <c r="A183" s="834" t="s">
        <v>107</v>
      </c>
      <c r="B183" s="794"/>
      <c r="C183" s="794"/>
      <c r="D183" s="794"/>
      <c r="E183" s="794"/>
      <c r="F183" s="794"/>
      <c r="G183" s="794"/>
      <c r="H183" s="794"/>
      <c r="I183" s="794"/>
      <c r="J183" s="780"/>
      <c r="K183" s="99">
        <f>K182*K180</f>
        <v>9.5957391893719615E-3</v>
      </c>
      <c r="L183" s="101">
        <f>L182*K180</f>
        <v>9.7069355486622891E-3</v>
      </c>
      <c r="M183" s="93"/>
      <c r="N183" s="1"/>
      <c r="O183" s="1"/>
      <c r="P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</row>
    <row r="184" spans="1:32" ht="12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</row>
    <row r="185" spans="1:32" ht="12.75" customHeight="1" x14ac:dyDescent="0.3">
      <c r="A185" s="71" t="s">
        <v>76</v>
      </c>
      <c r="B185" s="1"/>
      <c r="C185" s="1"/>
      <c r="D185" s="1">
        <f>D171</f>
        <v>10</v>
      </c>
      <c r="E185" s="1" t="str">
        <f>E171</f>
        <v>A</v>
      </c>
      <c r="F185" s="81"/>
      <c r="G185" s="82"/>
      <c r="H185" s="12"/>
      <c r="I185" s="12"/>
      <c r="J185" s="12"/>
      <c r="K185" s="12"/>
      <c r="L185" s="12"/>
      <c r="M185" s="287" t="str">
        <f>M$31</f>
        <v>DC Current-Measure</v>
      </c>
      <c r="N185" s="1"/>
      <c r="O185" s="1"/>
      <c r="P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</row>
    <row r="186" spans="1:32" ht="12.75" customHeight="1" x14ac:dyDescent="0.3">
      <c r="A186" s="84" t="s">
        <v>2</v>
      </c>
      <c r="B186" s="85"/>
      <c r="C186" s="85"/>
      <c r="D186" s="80">
        <f>C13</f>
        <v>9</v>
      </c>
      <c r="E186" s="86" t="str">
        <f>D13</f>
        <v>A2</v>
      </c>
      <c r="F186" s="111"/>
      <c r="G186" s="147"/>
      <c r="H186" s="90">
        <v>0.01</v>
      </c>
      <c r="I186" s="90"/>
      <c r="J186" s="90"/>
      <c r="K186" s="90"/>
      <c r="L186" s="90"/>
      <c r="M186" s="76"/>
      <c r="N186" s="1"/>
      <c r="O186" s="1"/>
      <c r="P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</row>
    <row r="187" spans="1:32" ht="12.75" customHeight="1" x14ac:dyDescent="0.3">
      <c r="A187" s="91" t="s">
        <v>78</v>
      </c>
      <c r="B187" s="91" t="s">
        <v>79</v>
      </c>
      <c r="C187" s="91" t="s">
        <v>10</v>
      </c>
      <c r="D187" s="91" t="s">
        <v>80</v>
      </c>
      <c r="E187" s="91" t="s">
        <v>81</v>
      </c>
      <c r="F187" s="92" t="s">
        <v>82</v>
      </c>
      <c r="G187" s="91" t="s">
        <v>83</v>
      </c>
      <c r="H187" s="91" t="s">
        <v>84</v>
      </c>
      <c r="I187" s="91" t="s">
        <v>85</v>
      </c>
      <c r="J187" s="91" t="s">
        <v>86</v>
      </c>
      <c r="K187" s="91" t="s">
        <v>87</v>
      </c>
      <c r="L187" s="91" t="s">
        <v>88</v>
      </c>
      <c r="M187" s="91" t="s">
        <v>89</v>
      </c>
      <c r="N187" s="1"/>
      <c r="O187" s="1"/>
      <c r="P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</row>
    <row r="188" spans="1:32" ht="12.75" customHeight="1" x14ac:dyDescent="0.3">
      <c r="A188" s="93" t="s">
        <v>90</v>
      </c>
      <c r="B188" s="94" t="s">
        <v>353</v>
      </c>
      <c r="C188" s="94" t="s">
        <v>42</v>
      </c>
      <c r="D188" s="95" t="str">
        <f>E186</f>
        <v>A2</v>
      </c>
      <c r="E188" s="94" t="s">
        <v>631</v>
      </c>
      <c r="F188" s="94">
        <f>STDEV(Data!E117:N117)/SQRT(5)</f>
        <v>0</v>
      </c>
      <c r="G188" s="94">
        <v>1</v>
      </c>
      <c r="H188" s="94">
        <f>5-1</f>
        <v>4</v>
      </c>
      <c r="I188" s="94">
        <f t="shared" ref="I188:I191" si="74">(F188)/G188</f>
        <v>0</v>
      </c>
      <c r="J188" s="94">
        <v>1</v>
      </c>
      <c r="K188" s="94">
        <f t="shared" ref="K188:K191" si="75">I188*J188</f>
        <v>0</v>
      </c>
      <c r="L188" s="94">
        <f t="shared" ref="L188:L191" si="76">K188^2</f>
        <v>0</v>
      </c>
      <c r="M188" s="94">
        <f t="shared" ref="M188:M191" si="77">(K188^4)/H188</f>
        <v>0</v>
      </c>
      <c r="N188" s="1"/>
      <c r="O188" s="1"/>
      <c r="P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</row>
    <row r="189" spans="1:32" ht="12.75" customHeight="1" x14ac:dyDescent="0.3">
      <c r="A189" s="93" t="s">
        <v>93</v>
      </c>
      <c r="B189" s="94" t="s">
        <v>354</v>
      </c>
      <c r="C189" s="94" t="s">
        <v>95</v>
      </c>
      <c r="D189" s="95" t="str">
        <f>D188</f>
        <v>A2</v>
      </c>
      <c r="E189" s="94" t="s">
        <v>96</v>
      </c>
      <c r="F189" s="94">
        <f>H186/2</f>
        <v>5.0000000000000001E-3</v>
      </c>
      <c r="G189" s="94">
        <f>SQRT(3)</f>
        <v>1.7320508075688772</v>
      </c>
      <c r="H189" s="94">
        <v>50</v>
      </c>
      <c r="I189" s="94">
        <f t="shared" si="74"/>
        <v>2.886751345948129E-3</v>
      </c>
      <c r="J189" s="94">
        <v>1</v>
      </c>
      <c r="K189" s="94">
        <f t="shared" si="75"/>
        <v>2.886751345948129E-3</v>
      </c>
      <c r="L189" s="94">
        <f t="shared" si="76"/>
        <v>8.3333333333333337E-6</v>
      </c>
      <c r="M189" s="94">
        <f t="shared" si="77"/>
        <v>1.3888888888888891E-12</v>
      </c>
      <c r="N189" s="1"/>
      <c r="O189" s="1"/>
      <c r="P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</row>
    <row r="190" spans="1:32" ht="12.75" customHeight="1" x14ac:dyDescent="0.3">
      <c r="A190" s="93" t="s">
        <v>97</v>
      </c>
      <c r="B190" s="94" t="s">
        <v>355</v>
      </c>
      <c r="C190" s="94" t="s">
        <v>95</v>
      </c>
      <c r="D190" s="95" t="str">
        <f>D188</f>
        <v>A2</v>
      </c>
      <c r="E190" s="94" t="s">
        <v>92</v>
      </c>
      <c r="F190" s="96">
        <f>V33</f>
        <v>6.8999999999999999E-3</v>
      </c>
      <c r="G190" s="94">
        <v>2</v>
      </c>
      <c r="H190" s="94">
        <v>60</v>
      </c>
      <c r="I190" s="94">
        <f t="shared" si="74"/>
        <v>3.4499999999999999E-3</v>
      </c>
      <c r="J190" s="94">
        <v>1</v>
      </c>
      <c r="K190" s="94">
        <f t="shared" si="75"/>
        <v>3.4499999999999999E-3</v>
      </c>
      <c r="L190" s="94">
        <f t="shared" si="76"/>
        <v>1.19025E-5</v>
      </c>
      <c r="M190" s="94">
        <f t="shared" si="77"/>
        <v>2.3611584375000003E-12</v>
      </c>
      <c r="N190" s="1"/>
      <c r="O190" s="1"/>
      <c r="P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</row>
    <row r="191" spans="1:32" ht="12.75" customHeight="1" x14ac:dyDescent="0.3">
      <c r="A191" s="93" t="s">
        <v>99</v>
      </c>
      <c r="B191" s="94" t="s">
        <v>356</v>
      </c>
      <c r="C191" s="94" t="s">
        <v>95</v>
      </c>
      <c r="D191" s="95" t="str">
        <f>D188</f>
        <v>A2</v>
      </c>
      <c r="E191" s="94" t="s">
        <v>96</v>
      </c>
      <c r="F191" s="94">
        <f>U33</f>
        <v>3.1694930104041899E-3</v>
      </c>
      <c r="G191" s="94">
        <f>SQRT(3)</f>
        <v>1.7320508075688772</v>
      </c>
      <c r="H191" s="94">
        <v>50</v>
      </c>
      <c r="I191" s="94">
        <f t="shared" si="74"/>
        <v>1.8299076427514965E-3</v>
      </c>
      <c r="J191" s="94">
        <v>1</v>
      </c>
      <c r="K191" s="94">
        <f t="shared" si="75"/>
        <v>1.8299076427514965E-3</v>
      </c>
      <c r="L191" s="94">
        <f t="shared" si="76"/>
        <v>3.3485619810003389E-6</v>
      </c>
      <c r="M191" s="94">
        <f t="shared" si="77"/>
        <v>2.2425734681201826E-13</v>
      </c>
      <c r="N191" s="1"/>
      <c r="O191" s="1"/>
      <c r="P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</row>
    <row r="192" spans="1:32" ht="12.75" customHeight="1" x14ac:dyDescent="0.3">
      <c r="A192" s="64"/>
      <c r="B192" s="64"/>
      <c r="C192" s="64"/>
      <c r="D192" s="64"/>
      <c r="E192" s="64"/>
      <c r="F192" s="64"/>
      <c r="G192" s="64"/>
      <c r="H192" s="64"/>
      <c r="I192" s="64"/>
      <c r="J192" s="64"/>
      <c r="K192" s="64"/>
      <c r="L192" s="64"/>
      <c r="M192" s="64"/>
      <c r="N192" s="1"/>
      <c r="O192" s="1"/>
      <c r="P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</row>
    <row r="193" spans="1:32" ht="12.75" customHeight="1" x14ac:dyDescent="0.3">
      <c r="A193" s="845" t="s">
        <v>103</v>
      </c>
      <c r="B193" s="846"/>
      <c r="C193" s="846"/>
      <c r="D193" s="846"/>
      <c r="E193" s="846"/>
      <c r="F193" s="846"/>
      <c r="G193" s="846"/>
      <c r="H193" s="846"/>
      <c r="I193" s="846"/>
      <c r="J193" s="792"/>
      <c r="K193" s="847">
        <f>SUM(L188:L191)</f>
        <v>2.3584395314333673E-5</v>
      </c>
      <c r="L193" s="792"/>
      <c r="M193" s="148">
        <f>SUM(M188:M191)</f>
        <v>3.9743046732009076E-12</v>
      </c>
      <c r="N193" s="1"/>
      <c r="O193" s="1"/>
      <c r="P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</row>
    <row r="194" spans="1:32" ht="12.75" customHeight="1" x14ac:dyDescent="0.3">
      <c r="A194" s="834" t="s">
        <v>104</v>
      </c>
      <c r="B194" s="794"/>
      <c r="C194" s="794"/>
      <c r="D194" s="794"/>
      <c r="E194" s="794"/>
      <c r="F194" s="794"/>
      <c r="G194" s="794"/>
      <c r="H194" s="794"/>
      <c r="I194" s="794"/>
      <c r="J194" s="780"/>
      <c r="K194" s="835">
        <f>SQRT(K193)</f>
        <v>4.8563767681609792E-3</v>
      </c>
      <c r="L194" s="780"/>
      <c r="M194" s="93"/>
      <c r="N194" s="1"/>
      <c r="O194" s="1"/>
      <c r="P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</row>
    <row r="195" spans="1:32" ht="12.75" customHeight="1" x14ac:dyDescent="0.3">
      <c r="A195" s="834" t="s">
        <v>105</v>
      </c>
      <c r="B195" s="794"/>
      <c r="C195" s="794"/>
      <c r="D195" s="794"/>
      <c r="E195" s="794"/>
      <c r="F195" s="794"/>
      <c r="G195" s="794"/>
      <c r="H195" s="794"/>
      <c r="I195" s="794"/>
      <c r="J195" s="780"/>
      <c r="K195" s="99">
        <f>(K194^4)/M193</f>
        <v>139.95497277635269</v>
      </c>
      <c r="L195" s="101"/>
      <c r="M195" s="93"/>
      <c r="N195" s="1"/>
      <c r="O195" s="1"/>
      <c r="P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</row>
    <row r="196" spans="1:32" ht="12.75" customHeight="1" x14ac:dyDescent="0.3">
      <c r="A196" s="834" t="s">
        <v>106</v>
      </c>
      <c r="B196" s="794"/>
      <c r="C196" s="794"/>
      <c r="D196" s="794"/>
      <c r="E196" s="794"/>
      <c r="F196" s="794"/>
      <c r="G196" s="794"/>
      <c r="H196" s="794"/>
      <c r="I196" s="794"/>
      <c r="J196" s="780"/>
      <c r="K196" s="99">
        <f>1.95996+2.37356/K195+2.818745/K195^2+2.546662/K195^3+1.761829/K195^4+0.245458/K195^5+1.000764/K195^6</f>
        <v>1.9770642942002981</v>
      </c>
      <c r="L196" s="101">
        <v>2</v>
      </c>
      <c r="M196" s="93"/>
      <c r="N196" s="1"/>
      <c r="O196" s="1"/>
      <c r="P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</row>
    <row r="197" spans="1:32" ht="12.75" customHeight="1" x14ac:dyDescent="0.3">
      <c r="A197" s="834" t="s">
        <v>107</v>
      </c>
      <c r="B197" s="794"/>
      <c r="C197" s="794"/>
      <c r="D197" s="794"/>
      <c r="E197" s="794"/>
      <c r="F197" s="794"/>
      <c r="G197" s="794"/>
      <c r="H197" s="794"/>
      <c r="I197" s="794"/>
      <c r="J197" s="780"/>
      <c r="K197" s="99">
        <f>K196*K194</f>
        <v>9.6013691075149104E-3</v>
      </c>
      <c r="L197" s="101">
        <f>L196*K194</f>
        <v>9.7127535363219584E-3</v>
      </c>
      <c r="M197" s="93"/>
      <c r="N197" s="1"/>
      <c r="O197" s="1"/>
      <c r="P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</row>
    <row r="198" spans="1:32" ht="12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</row>
    <row r="199" spans="1:32" ht="12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</row>
    <row r="200" spans="1:32" ht="12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</row>
    <row r="201" spans="1:32" ht="12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</row>
    <row r="202" spans="1:32" ht="12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</row>
    <row r="203" spans="1:32" ht="12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</row>
    <row r="204" spans="1:32" ht="12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</row>
    <row r="205" spans="1:32" ht="12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</row>
    <row r="206" spans="1:32" ht="12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</row>
    <row r="207" spans="1:32" ht="12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</row>
    <row r="208" spans="1:32" ht="12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</row>
    <row r="209" spans="1:32" ht="12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</row>
    <row r="210" spans="1:32" ht="12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</row>
    <row r="211" spans="1:32" ht="12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</row>
    <row r="212" spans="1:32" ht="12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</row>
    <row r="213" spans="1:32" ht="12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</row>
    <row r="214" spans="1:32" ht="12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</row>
    <row r="215" spans="1:32" ht="12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</row>
    <row r="216" spans="1:32" ht="12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</row>
    <row r="217" spans="1:32" ht="12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</row>
    <row r="218" spans="1:32" ht="12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</row>
    <row r="219" spans="1:32" ht="12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</row>
    <row r="220" spans="1:32" ht="12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</row>
    <row r="221" spans="1:32" ht="12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</row>
    <row r="222" spans="1:32" ht="12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</row>
    <row r="223" spans="1:32" ht="12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</row>
    <row r="224" spans="1:32" ht="12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</row>
    <row r="225" spans="1:32" ht="12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</row>
    <row r="226" spans="1:32" ht="12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</row>
    <row r="227" spans="1:32" ht="12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</row>
    <row r="228" spans="1:32" ht="12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</row>
    <row r="229" spans="1:32" ht="12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</row>
    <row r="230" spans="1:32" ht="12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</row>
    <row r="231" spans="1:32" ht="12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</row>
    <row r="232" spans="1:32" ht="12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</row>
    <row r="233" spans="1:32" ht="12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</row>
    <row r="234" spans="1:32" ht="12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</row>
    <row r="235" spans="1:32" ht="12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</row>
    <row r="236" spans="1:32" ht="12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</row>
    <row r="237" spans="1:32" ht="12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</row>
    <row r="238" spans="1:32" ht="12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</row>
    <row r="239" spans="1:32" ht="12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</row>
    <row r="240" spans="1:32" ht="12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</row>
    <row r="241" spans="1:32" ht="12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</row>
    <row r="242" spans="1:32" ht="12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</row>
    <row r="243" spans="1:32" ht="12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</row>
    <row r="244" spans="1:32" ht="12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</row>
    <row r="245" spans="1:32" ht="12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</row>
    <row r="246" spans="1:32" ht="12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</row>
    <row r="247" spans="1:32" ht="12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</row>
    <row r="248" spans="1:32" ht="12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</row>
    <row r="249" spans="1:32" ht="12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</row>
    <row r="250" spans="1:32" ht="12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</row>
    <row r="251" spans="1:32" ht="12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</row>
    <row r="252" spans="1:32" ht="12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</row>
    <row r="253" spans="1:32" ht="12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</row>
    <row r="254" spans="1:32" ht="12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</row>
    <row r="255" spans="1:32" ht="12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</row>
    <row r="256" spans="1:32" ht="12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</row>
    <row r="257" spans="1:32" ht="12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</row>
    <row r="258" spans="1:32" ht="12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</row>
    <row r="259" spans="1:32" ht="12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</row>
    <row r="260" spans="1:32" ht="12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</row>
    <row r="261" spans="1:32" ht="12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</row>
    <row r="262" spans="1:32" ht="12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</row>
    <row r="263" spans="1:32" ht="12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</row>
    <row r="264" spans="1:32" ht="12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</row>
    <row r="265" spans="1:32" ht="12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</row>
    <row r="266" spans="1:32" ht="12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</row>
    <row r="267" spans="1:32" ht="12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</row>
    <row r="268" spans="1:32" ht="12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</row>
    <row r="269" spans="1:32" ht="12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</row>
    <row r="270" spans="1:32" ht="12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</row>
    <row r="271" spans="1:32" ht="12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</row>
    <row r="272" spans="1:32" ht="12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</row>
    <row r="273" spans="1:32" ht="12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</row>
    <row r="274" spans="1:32" ht="12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</row>
    <row r="275" spans="1:32" ht="12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</row>
    <row r="276" spans="1:32" ht="12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</row>
    <row r="277" spans="1:32" ht="12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</row>
    <row r="278" spans="1:32" ht="12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</row>
    <row r="279" spans="1:32" ht="12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</row>
    <row r="280" spans="1:32" ht="12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</row>
    <row r="281" spans="1:32" ht="12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</row>
    <row r="282" spans="1:32" ht="12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</row>
    <row r="283" spans="1:32" ht="12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</row>
    <row r="284" spans="1:32" ht="12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</row>
    <row r="285" spans="1:32" ht="12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</row>
    <row r="286" spans="1:32" ht="12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</row>
    <row r="287" spans="1:32" ht="12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</row>
    <row r="288" spans="1:32" ht="12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</row>
    <row r="289" spans="1:32" ht="12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</row>
    <row r="290" spans="1:32" ht="12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</row>
    <row r="291" spans="1:32" ht="12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</row>
    <row r="292" spans="1:32" ht="12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</row>
    <row r="293" spans="1:32" ht="12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</row>
    <row r="294" spans="1:32" ht="12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</row>
    <row r="295" spans="1:32" ht="12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</row>
    <row r="296" spans="1:32" ht="12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</row>
    <row r="297" spans="1:32" ht="12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</row>
    <row r="298" spans="1:32" ht="12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</row>
    <row r="299" spans="1:32" ht="12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</row>
    <row r="300" spans="1:32" ht="12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</row>
    <row r="301" spans="1:32" ht="12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</row>
    <row r="302" spans="1:32" ht="12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</row>
    <row r="303" spans="1:32" ht="12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</row>
    <row r="304" spans="1:32" ht="12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</row>
    <row r="305" spans="1:32" ht="12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</row>
    <row r="306" spans="1:32" ht="12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</row>
    <row r="307" spans="1:32" ht="12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</row>
    <row r="308" spans="1:32" ht="12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</row>
    <row r="309" spans="1:32" ht="12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</row>
    <row r="310" spans="1:32" ht="12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</row>
    <row r="311" spans="1:32" ht="12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</row>
    <row r="312" spans="1:32" ht="12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</row>
    <row r="313" spans="1:32" ht="12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</row>
    <row r="314" spans="1:32" ht="12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</row>
    <row r="315" spans="1:32" ht="12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</row>
    <row r="316" spans="1:32" ht="12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</row>
    <row r="317" spans="1:32" ht="12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</row>
    <row r="318" spans="1:32" ht="12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</row>
    <row r="319" spans="1:32" ht="12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</row>
    <row r="320" spans="1:32" ht="12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</row>
    <row r="321" spans="1:32" ht="12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</row>
    <row r="322" spans="1:32" ht="12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</row>
    <row r="323" spans="1:32" ht="12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</row>
    <row r="324" spans="1:32" ht="12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</row>
    <row r="325" spans="1:32" ht="12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</row>
    <row r="326" spans="1:32" ht="12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</row>
    <row r="327" spans="1:32" ht="12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</row>
    <row r="328" spans="1:32" ht="12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</row>
    <row r="329" spans="1:32" ht="12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</row>
    <row r="330" spans="1:32" ht="12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</row>
    <row r="331" spans="1:32" ht="12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</row>
    <row r="332" spans="1:32" ht="12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</row>
    <row r="333" spans="1:32" ht="12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</row>
    <row r="334" spans="1:32" ht="12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</row>
    <row r="335" spans="1:32" ht="12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</row>
    <row r="336" spans="1:32" ht="12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</row>
    <row r="337" spans="1:32" ht="12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</row>
    <row r="338" spans="1:32" ht="12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</row>
    <row r="339" spans="1:32" ht="12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</row>
    <row r="340" spans="1:32" ht="12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</row>
    <row r="341" spans="1:32" ht="12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</row>
    <row r="342" spans="1:32" ht="12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</row>
    <row r="343" spans="1:32" ht="12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</row>
    <row r="344" spans="1:32" ht="12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</row>
    <row r="345" spans="1:32" ht="12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</row>
    <row r="346" spans="1:32" ht="12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</row>
    <row r="347" spans="1:32" ht="12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</row>
    <row r="348" spans="1:32" ht="12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</row>
    <row r="349" spans="1:32" ht="12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</row>
    <row r="350" spans="1:32" ht="12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</row>
    <row r="351" spans="1:32" ht="12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</row>
    <row r="352" spans="1:32" ht="12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</row>
    <row r="353" spans="1:32" ht="12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</row>
    <row r="354" spans="1:32" ht="12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</row>
    <row r="355" spans="1:32" ht="12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</row>
    <row r="356" spans="1:32" ht="12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</row>
    <row r="357" spans="1:32" ht="12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</row>
    <row r="358" spans="1:32" ht="12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</row>
    <row r="359" spans="1:32" ht="12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</row>
    <row r="360" spans="1:32" ht="12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</row>
    <row r="361" spans="1:32" ht="12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</row>
    <row r="362" spans="1:32" ht="12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</row>
    <row r="363" spans="1:32" ht="12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</row>
    <row r="364" spans="1:32" ht="12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</row>
    <row r="365" spans="1:32" ht="12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</row>
    <row r="366" spans="1:32" ht="12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</row>
    <row r="367" spans="1:32" ht="12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</row>
    <row r="368" spans="1:32" ht="12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</row>
    <row r="369" spans="1:32" ht="12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</row>
    <row r="370" spans="1:32" ht="12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</row>
    <row r="371" spans="1:32" ht="12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</row>
    <row r="372" spans="1:32" ht="12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</row>
    <row r="373" spans="1:32" ht="12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</row>
    <row r="374" spans="1:32" ht="12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</row>
    <row r="375" spans="1:32" ht="12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</row>
    <row r="376" spans="1:32" ht="12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</row>
    <row r="377" spans="1:32" ht="12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</row>
    <row r="378" spans="1:32" ht="12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</row>
    <row r="379" spans="1:32" ht="12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</row>
    <row r="380" spans="1:32" ht="12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</row>
    <row r="381" spans="1:32" ht="12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</row>
    <row r="382" spans="1:32" ht="12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</row>
    <row r="383" spans="1:32" ht="12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</row>
    <row r="384" spans="1:32" ht="12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</row>
    <row r="385" spans="1:32" ht="12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</row>
    <row r="386" spans="1:32" ht="12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</row>
    <row r="387" spans="1:32" ht="12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</row>
    <row r="388" spans="1:32" ht="12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</row>
    <row r="389" spans="1:32" ht="12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</row>
    <row r="390" spans="1:32" ht="12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</row>
    <row r="391" spans="1:32" ht="12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</row>
    <row r="392" spans="1:32" ht="12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</row>
    <row r="393" spans="1:32" ht="12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</row>
    <row r="394" spans="1:32" ht="12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</row>
    <row r="395" spans="1:32" ht="12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</row>
    <row r="396" spans="1:32" ht="12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</row>
    <row r="397" spans="1:32" ht="12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</row>
    <row r="398" spans="1:32" ht="12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</row>
    <row r="399" spans="1:32" ht="12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</row>
    <row r="400" spans="1:32" ht="12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</row>
    <row r="401" spans="1:32" ht="12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</row>
    <row r="402" spans="1:32" ht="12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</row>
    <row r="403" spans="1:32" ht="12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</row>
    <row r="404" spans="1:32" ht="12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</row>
    <row r="405" spans="1:32" ht="12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</row>
    <row r="406" spans="1:32" ht="12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</row>
    <row r="407" spans="1:32" ht="12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</row>
    <row r="408" spans="1:32" ht="12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</row>
    <row r="409" spans="1:32" ht="12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</row>
    <row r="410" spans="1:32" ht="12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</row>
    <row r="411" spans="1:32" ht="12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</row>
    <row r="412" spans="1:32" ht="12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</row>
    <row r="413" spans="1:32" ht="12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</row>
    <row r="414" spans="1:32" ht="12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</row>
    <row r="415" spans="1:32" ht="12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</row>
    <row r="416" spans="1:32" ht="12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</row>
    <row r="417" spans="1:32" ht="12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</row>
    <row r="418" spans="1:32" ht="12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</row>
    <row r="419" spans="1:32" ht="12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</row>
    <row r="420" spans="1:32" ht="12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</row>
    <row r="421" spans="1:32" ht="12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</row>
    <row r="422" spans="1:32" ht="12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</row>
    <row r="423" spans="1:32" ht="12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</row>
    <row r="424" spans="1:32" ht="12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</row>
    <row r="425" spans="1:32" ht="12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</row>
    <row r="426" spans="1:32" ht="12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</row>
    <row r="427" spans="1:32" ht="12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</row>
    <row r="428" spans="1:32" ht="12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</row>
    <row r="429" spans="1:32" ht="12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</row>
    <row r="430" spans="1:32" ht="12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</row>
    <row r="431" spans="1:32" ht="12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</row>
    <row r="432" spans="1:32" ht="12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</row>
    <row r="433" spans="1:32" ht="12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</row>
    <row r="434" spans="1:32" ht="12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</row>
    <row r="435" spans="1:32" ht="12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</row>
    <row r="436" spans="1:32" ht="12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</row>
    <row r="437" spans="1:32" ht="12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</row>
    <row r="438" spans="1:32" ht="12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</row>
    <row r="439" spans="1:32" ht="12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</row>
    <row r="440" spans="1:32" ht="12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</row>
    <row r="441" spans="1:32" ht="12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</row>
    <row r="442" spans="1:32" ht="12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</row>
    <row r="443" spans="1:32" ht="12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</row>
    <row r="444" spans="1:32" ht="12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</row>
    <row r="445" spans="1:32" ht="12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</row>
    <row r="446" spans="1:32" ht="12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</row>
    <row r="447" spans="1:32" ht="12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</row>
    <row r="448" spans="1:32" ht="12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</row>
    <row r="449" spans="1:32" ht="12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</row>
    <row r="450" spans="1:32" ht="12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</row>
    <row r="451" spans="1:32" ht="12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</row>
    <row r="452" spans="1:32" ht="12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</row>
    <row r="453" spans="1:32" ht="12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</row>
    <row r="454" spans="1:32" ht="12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</row>
    <row r="455" spans="1:32" ht="12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</row>
    <row r="456" spans="1:32" ht="12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</row>
    <row r="457" spans="1:32" ht="12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</row>
    <row r="458" spans="1:32" ht="12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</row>
    <row r="459" spans="1:32" ht="12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</row>
    <row r="460" spans="1:32" ht="12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</row>
    <row r="461" spans="1:32" ht="12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</row>
    <row r="462" spans="1:32" ht="12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</row>
    <row r="463" spans="1:32" ht="12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</row>
    <row r="464" spans="1:32" ht="12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</row>
    <row r="465" spans="1:32" ht="12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</row>
    <row r="466" spans="1:32" ht="12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</row>
    <row r="467" spans="1:32" ht="12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</row>
    <row r="468" spans="1:32" ht="12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</row>
    <row r="469" spans="1:32" ht="12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</row>
    <row r="470" spans="1:32" ht="12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</row>
    <row r="471" spans="1:32" ht="12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</row>
    <row r="472" spans="1:32" ht="12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</row>
    <row r="473" spans="1:32" ht="12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</row>
    <row r="474" spans="1:32" ht="12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</row>
    <row r="475" spans="1:32" ht="12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</row>
    <row r="476" spans="1:32" ht="12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</row>
    <row r="477" spans="1:32" ht="12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</row>
    <row r="478" spans="1:32" ht="12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</row>
    <row r="479" spans="1:32" ht="12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</row>
    <row r="480" spans="1:32" ht="12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</row>
    <row r="481" spans="1:32" ht="12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</row>
    <row r="482" spans="1:32" ht="12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</row>
    <row r="483" spans="1:32" ht="12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</row>
    <row r="484" spans="1:32" ht="12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</row>
    <row r="485" spans="1:32" ht="12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</row>
    <row r="486" spans="1:32" ht="12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</row>
    <row r="487" spans="1:32" ht="12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</row>
    <row r="488" spans="1:32" ht="12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</row>
    <row r="489" spans="1:32" ht="12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</row>
    <row r="490" spans="1:32" ht="12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</row>
    <row r="491" spans="1:32" ht="12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</row>
    <row r="492" spans="1:32" ht="12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</row>
    <row r="493" spans="1:32" ht="12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</row>
    <row r="494" spans="1:32" ht="12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</row>
    <row r="495" spans="1:32" ht="12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</row>
    <row r="496" spans="1:32" ht="12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</row>
    <row r="497" spans="1:32" ht="12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</row>
    <row r="498" spans="1:32" ht="12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</row>
    <row r="499" spans="1:32" ht="12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</row>
    <row r="500" spans="1:32" ht="12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</row>
    <row r="501" spans="1:32" ht="12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</row>
    <row r="502" spans="1:32" ht="12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</row>
    <row r="503" spans="1:32" ht="12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</row>
    <row r="504" spans="1:32" ht="12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</row>
    <row r="505" spans="1:32" ht="12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</row>
    <row r="506" spans="1:32" ht="12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</row>
    <row r="507" spans="1:32" ht="12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</row>
    <row r="508" spans="1:32" ht="12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</row>
    <row r="509" spans="1:32" ht="12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</row>
    <row r="510" spans="1:32" ht="12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</row>
    <row r="511" spans="1:32" ht="12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</row>
    <row r="512" spans="1:32" ht="12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</row>
    <row r="513" spans="1:32" ht="12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</row>
    <row r="514" spans="1:32" ht="12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</row>
    <row r="515" spans="1:32" ht="12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</row>
    <row r="516" spans="1:32" ht="12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</row>
    <row r="517" spans="1:32" ht="12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</row>
    <row r="518" spans="1:32" ht="12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</row>
    <row r="519" spans="1:32" ht="12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</row>
    <row r="520" spans="1:32" ht="12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</row>
    <row r="521" spans="1:32" ht="12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</row>
    <row r="522" spans="1:32" ht="12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</row>
    <row r="523" spans="1:32" ht="12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</row>
    <row r="524" spans="1:32" ht="12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</row>
    <row r="525" spans="1:32" ht="12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</row>
    <row r="526" spans="1:32" ht="12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</row>
    <row r="527" spans="1:32" ht="12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</row>
    <row r="528" spans="1:32" ht="12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</row>
    <row r="529" spans="1:32" ht="12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</row>
    <row r="530" spans="1:32" ht="12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</row>
    <row r="531" spans="1:32" ht="12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</row>
    <row r="532" spans="1:32" ht="12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</row>
    <row r="533" spans="1:32" ht="12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</row>
    <row r="534" spans="1:32" ht="12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</row>
    <row r="535" spans="1:32" ht="12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</row>
    <row r="536" spans="1:32" ht="12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</row>
    <row r="537" spans="1:32" ht="12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</row>
    <row r="538" spans="1:32" ht="12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</row>
    <row r="539" spans="1:32" ht="12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</row>
    <row r="540" spans="1:32" ht="12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</row>
    <row r="541" spans="1:32" ht="12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</row>
    <row r="542" spans="1:32" ht="12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</row>
    <row r="543" spans="1:32" ht="12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</row>
    <row r="544" spans="1:32" ht="12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</row>
    <row r="545" spans="1:32" ht="12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</row>
    <row r="546" spans="1:32" ht="12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</row>
    <row r="547" spans="1:32" ht="12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</row>
    <row r="548" spans="1:32" ht="12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</row>
    <row r="549" spans="1:32" ht="12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</row>
    <row r="550" spans="1:32" ht="12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</row>
    <row r="551" spans="1:32" ht="12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</row>
    <row r="552" spans="1:32" ht="12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</row>
    <row r="553" spans="1:32" ht="12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</row>
    <row r="554" spans="1:32" ht="12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</row>
    <row r="555" spans="1:32" ht="12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</row>
    <row r="556" spans="1:32" ht="12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</row>
    <row r="557" spans="1:32" ht="12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</row>
    <row r="558" spans="1:32" ht="12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</row>
    <row r="559" spans="1:32" ht="12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</row>
    <row r="560" spans="1:32" ht="12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</row>
    <row r="561" spans="1:32" ht="12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</row>
    <row r="562" spans="1:32" ht="12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</row>
    <row r="563" spans="1:32" ht="12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</row>
    <row r="564" spans="1:32" ht="12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</row>
    <row r="565" spans="1:32" ht="12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</row>
    <row r="566" spans="1:32" ht="12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</row>
    <row r="567" spans="1:32" ht="12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</row>
    <row r="568" spans="1:32" ht="12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</row>
    <row r="569" spans="1:32" ht="12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</row>
    <row r="570" spans="1:32" ht="12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</row>
    <row r="571" spans="1:32" ht="12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</row>
    <row r="572" spans="1:32" ht="12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</row>
    <row r="573" spans="1:32" ht="12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</row>
    <row r="574" spans="1:32" ht="12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</row>
    <row r="575" spans="1:32" ht="12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</row>
    <row r="576" spans="1:32" ht="12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</row>
    <row r="577" spans="1:32" ht="12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</row>
    <row r="578" spans="1:32" ht="12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</row>
    <row r="579" spans="1:32" ht="12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</row>
    <row r="580" spans="1:32" ht="12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</row>
    <row r="581" spans="1:32" ht="12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</row>
    <row r="582" spans="1:32" ht="12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</row>
    <row r="583" spans="1:32" ht="12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</row>
    <row r="584" spans="1:32" ht="12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</row>
    <row r="585" spans="1:32" ht="12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</row>
    <row r="586" spans="1:32" ht="12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</row>
    <row r="587" spans="1:32" ht="12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</row>
    <row r="588" spans="1:32" ht="12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</row>
    <row r="589" spans="1:32" ht="12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</row>
    <row r="590" spans="1:32" ht="12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</row>
    <row r="591" spans="1:32" ht="12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</row>
    <row r="592" spans="1:32" ht="12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</row>
    <row r="593" spans="1:32" ht="12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</row>
    <row r="594" spans="1:32" ht="12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</row>
    <row r="595" spans="1:32" ht="12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</row>
    <row r="596" spans="1:32" ht="12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</row>
    <row r="597" spans="1:32" ht="12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</row>
    <row r="598" spans="1:32" ht="12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</row>
    <row r="599" spans="1:32" ht="12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</row>
    <row r="600" spans="1:32" ht="12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</row>
    <row r="601" spans="1:32" ht="12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</row>
    <row r="602" spans="1:32" ht="12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</row>
    <row r="603" spans="1:32" ht="12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</row>
    <row r="604" spans="1:32" ht="12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</row>
    <row r="605" spans="1:32" ht="12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</row>
    <row r="606" spans="1:32" ht="12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</row>
    <row r="607" spans="1:32" ht="12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</row>
    <row r="608" spans="1:32" ht="12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</row>
    <row r="609" spans="1:32" ht="12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</row>
    <row r="610" spans="1:32" ht="12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</row>
    <row r="611" spans="1:32" ht="12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</row>
    <row r="612" spans="1:32" ht="12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</row>
    <row r="613" spans="1:32" ht="12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</row>
    <row r="614" spans="1:32" ht="12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</row>
    <row r="615" spans="1:32" ht="12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</row>
    <row r="616" spans="1:32" ht="12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</row>
    <row r="617" spans="1:32" ht="12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</row>
    <row r="618" spans="1:32" ht="12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</row>
    <row r="619" spans="1:32" ht="12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</row>
    <row r="620" spans="1:32" ht="12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</row>
    <row r="621" spans="1:32" ht="12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</row>
    <row r="622" spans="1:32" ht="12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</row>
    <row r="623" spans="1:32" ht="12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</row>
    <row r="624" spans="1:32" ht="12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</row>
    <row r="625" spans="1:32" ht="12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</row>
    <row r="626" spans="1:32" ht="12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</row>
    <row r="627" spans="1:32" ht="12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</row>
    <row r="628" spans="1:32" ht="12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</row>
    <row r="629" spans="1:32" ht="12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</row>
    <row r="630" spans="1:32" ht="12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</row>
    <row r="631" spans="1:32" ht="12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</row>
    <row r="632" spans="1:32" ht="12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</row>
    <row r="633" spans="1:32" ht="12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</row>
    <row r="634" spans="1:32" ht="12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</row>
    <row r="635" spans="1:32" ht="12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</row>
    <row r="636" spans="1:32" ht="12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</row>
    <row r="637" spans="1:32" ht="12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</row>
    <row r="638" spans="1:32" ht="12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</row>
    <row r="639" spans="1:32" ht="12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</row>
    <row r="640" spans="1:32" ht="12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</row>
    <row r="641" spans="1:32" ht="12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</row>
    <row r="642" spans="1:32" ht="12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</row>
    <row r="643" spans="1:32" ht="12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</row>
    <row r="644" spans="1:32" ht="12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</row>
    <row r="645" spans="1:32" ht="12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</row>
    <row r="646" spans="1:32" ht="12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</row>
    <row r="647" spans="1:32" ht="12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</row>
    <row r="648" spans="1:32" ht="12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</row>
    <row r="649" spans="1:32" ht="12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</row>
    <row r="650" spans="1:32" ht="12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</row>
    <row r="651" spans="1:32" ht="12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</row>
    <row r="652" spans="1:32" ht="12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</row>
    <row r="653" spans="1:32" ht="12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</row>
    <row r="654" spans="1:32" ht="12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</row>
    <row r="655" spans="1:32" ht="12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</row>
    <row r="656" spans="1:32" ht="12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</row>
    <row r="657" spans="1:32" ht="12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</row>
    <row r="658" spans="1:32" ht="12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</row>
    <row r="659" spans="1:32" ht="12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</row>
    <row r="660" spans="1:32" ht="12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</row>
    <row r="661" spans="1:32" ht="12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</row>
    <row r="662" spans="1:32" ht="12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</row>
    <row r="663" spans="1:32" ht="12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</row>
    <row r="664" spans="1:32" ht="12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</row>
    <row r="665" spans="1:32" ht="12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</row>
    <row r="666" spans="1:32" ht="12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</row>
    <row r="667" spans="1:32" ht="12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</row>
    <row r="668" spans="1:32" ht="12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</row>
    <row r="669" spans="1:32" ht="12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</row>
    <row r="670" spans="1:32" ht="12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</row>
    <row r="671" spans="1:32" ht="12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</row>
    <row r="672" spans="1:32" ht="12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</row>
    <row r="673" spans="1:32" ht="12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</row>
    <row r="674" spans="1:32" ht="12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</row>
    <row r="675" spans="1:32" ht="12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</row>
    <row r="676" spans="1:32" ht="12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</row>
    <row r="677" spans="1:32" ht="12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</row>
    <row r="678" spans="1:32" ht="12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</row>
    <row r="679" spans="1:32" ht="12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</row>
    <row r="680" spans="1:32" ht="12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</row>
    <row r="681" spans="1:32" ht="12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</row>
    <row r="682" spans="1:32" ht="12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</row>
    <row r="683" spans="1:32" ht="12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</row>
    <row r="684" spans="1:32" ht="12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</row>
    <row r="685" spans="1:32" ht="12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</row>
    <row r="686" spans="1:32" ht="12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</row>
    <row r="687" spans="1:32" ht="12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</row>
    <row r="688" spans="1:32" ht="12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</row>
    <row r="689" spans="1:32" ht="12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</row>
    <row r="690" spans="1:32" ht="12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</row>
    <row r="691" spans="1:32" ht="12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</row>
    <row r="692" spans="1:32" ht="12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</row>
    <row r="693" spans="1:32" ht="12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</row>
    <row r="694" spans="1:32" ht="12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</row>
    <row r="695" spans="1:32" ht="12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</row>
    <row r="696" spans="1:32" ht="12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</row>
    <row r="697" spans="1:32" ht="12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</row>
    <row r="698" spans="1:32" ht="12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</row>
    <row r="699" spans="1:32" ht="12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</row>
    <row r="700" spans="1:32" ht="12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</row>
    <row r="701" spans="1:32" ht="12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</row>
    <row r="702" spans="1:32" ht="12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</row>
    <row r="703" spans="1:32" ht="12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</row>
    <row r="704" spans="1:32" ht="12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</row>
    <row r="705" spans="1:32" ht="12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</row>
    <row r="706" spans="1:32" ht="12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</row>
    <row r="707" spans="1:32" ht="12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</row>
    <row r="708" spans="1:32" ht="12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</row>
    <row r="709" spans="1:32" ht="12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</row>
    <row r="710" spans="1:32" ht="12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</row>
    <row r="711" spans="1:32" ht="12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</row>
    <row r="712" spans="1:32" ht="12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</row>
    <row r="713" spans="1:32" ht="12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</row>
    <row r="714" spans="1:32" ht="12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</row>
    <row r="715" spans="1:32" ht="12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</row>
    <row r="716" spans="1:32" ht="12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</row>
    <row r="717" spans="1:32" ht="12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</row>
    <row r="718" spans="1:32" ht="12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</row>
    <row r="719" spans="1:32" ht="12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</row>
    <row r="720" spans="1:32" ht="12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</row>
    <row r="721" spans="1:32" ht="12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</row>
    <row r="722" spans="1:32" ht="12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</row>
    <row r="723" spans="1:32" ht="12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</row>
    <row r="724" spans="1:32" ht="12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</row>
    <row r="725" spans="1:32" ht="12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</row>
    <row r="726" spans="1:32" ht="12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</row>
    <row r="727" spans="1:32" ht="12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</row>
    <row r="728" spans="1:32" ht="12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</row>
    <row r="729" spans="1:32" ht="12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</row>
    <row r="730" spans="1:32" ht="12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</row>
    <row r="731" spans="1:32" ht="12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</row>
    <row r="732" spans="1:32" ht="12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</row>
    <row r="733" spans="1:32" ht="12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</row>
    <row r="734" spans="1:32" ht="12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</row>
    <row r="735" spans="1:32" ht="12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</row>
    <row r="736" spans="1:32" ht="12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</row>
    <row r="737" spans="1:32" ht="12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</row>
    <row r="738" spans="1:32" ht="12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</row>
    <row r="739" spans="1:32" ht="12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</row>
    <row r="740" spans="1:32" ht="12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</row>
    <row r="741" spans="1:32" ht="12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</row>
    <row r="742" spans="1:32" ht="12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</row>
    <row r="743" spans="1:32" ht="12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</row>
    <row r="744" spans="1:32" ht="12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</row>
    <row r="745" spans="1:32" ht="12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</row>
    <row r="746" spans="1:32" ht="12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</row>
    <row r="747" spans="1:32" ht="12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</row>
    <row r="748" spans="1:32" ht="12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</row>
    <row r="749" spans="1:32" ht="12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</row>
    <row r="750" spans="1:32" ht="12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</row>
    <row r="751" spans="1:32" ht="12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</row>
    <row r="752" spans="1:32" ht="12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</row>
    <row r="753" spans="1:32" ht="12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</row>
    <row r="754" spans="1:32" ht="12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</row>
    <row r="755" spans="1:32" ht="12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</row>
    <row r="756" spans="1:32" ht="12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</row>
    <row r="757" spans="1:32" ht="12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</row>
    <row r="758" spans="1:32" ht="12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</row>
    <row r="759" spans="1:32" ht="12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</row>
    <row r="760" spans="1:32" ht="12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</row>
    <row r="761" spans="1:32" ht="12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</row>
    <row r="762" spans="1:32" ht="12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</row>
    <row r="763" spans="1:32" ht="12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</row>
    <row r="764" spans="1:32" ht="12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</row>
    <row r="765" spans="1:32" ht="12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</row>
    <row r="766" spans="1:32" ht="12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</row>
    <row r="767" spans="1:32" ht="12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</row>
    <row r="768" spans="1:32" ht="12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</row>
    <row r="769" spans="1:32" ht="12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</row>
    <row r="770" spans="1:32" ht="12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</row>
    <row r="771" spans="1:32" ht="12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</row>
    <row r="772" spans="1:32" ht="12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</row>
    <row r="773" spans="1:32" ht="12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</row>
    <row r="774" spans="1:32" ht="12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</row>
    <row r="775" spans="1:32" ht="12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</row>
    <row r="776" spans="1:32" ht="12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</row>
    <row r="777" spans="1:32" ht="12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</row>
    <row r="778" spans="1:32" ht="12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</row>
    <row r="779" spans="1:32" ht="12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</row>
    <row r="780" spans="1:32" ht="12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</row>
    <row r="781" spans="1:32" ht="12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</row>
    <row r="782" spans="1:32" ht="12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</row>
    <row r="783" spans="1:32" ht="12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</row>
    <row r="784" spans="1:32" ht="12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</row>
    <row r="785" spans="1:32" ht="12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</row>
    <row r="786" spans="1:32" ht="12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</row>
    <row r="787" spans="1:32" ht="12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</row>
    <row r="788" spans="1:32" ht="12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</row>
    <row r="789" spans="1:32" ht="12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</row>
    <row r="790" spans="1:32" ht="12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</row>
    <row r="791" spans="1:32" ht="12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</row>
    <row r="792" spans="1:32" ht="12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</row>
    <row r="793" spans="1:32" ht="12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</row>
    <row r="794" spans="1:32" ht="12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</row>
    <row r="795" spans="1:32" ht="12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</row>
    <row r="796" spans="1:32" ht="12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</row>
    <row r="797" spans="1:32" ht="12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</row>
    <row r="798" spans="1:32" ht="12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</row>
    <row r="799" spans="1:32" ht="12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</row>
    <row r="800" spans="1:32" ht="12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</row>
    <row r="801" spans="1:32" ht="12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</row>
    <row r="802" spans="1:32" ht="12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</row>
    <row r="803" spans="1:32" ht="12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</row>
    <row r="804" spans="1:32" ht="12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</row>
    <row r="805" spans="1:32" ht="12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</row>
    <row r="806" spans="1:32" ht="12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</row>
    <row r="807" spans="1:32" ht="12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</row>
    <row r="808" spans="1:32" ht="12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</row>
    <row r="809" spans="1:32" ht="12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</row>
    <row r="810" spans="1:32" ht="12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</row>
    <row r="811" spans="1:32" ht="12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</row>
    <row r="812" spans="1:32" ht="12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</row>
    <row r="813" spans="1:32" ht="12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</row>
    <row r="814" spans="1:32" ht="12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</row>
    <row r="815" spans="1:32" ht="12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</row>
    <row r="816" spans="1:32" ht="12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</row>
    <row r="817" spans="1:32" ht="12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</row>
    <row r="818" spans="1:32" ht="12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</row>
    <row r="819" spans="1:32" ht="12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</row>
    <row r="820" spans="1:32" ht="12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</row>
    <row r="821" spans="1:32" ht="12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</row>
    <row r="822" spans="1:32" ht="12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</row>
    <row r="823" spans="1:32" ht="12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</row>
    <row r="824" spans="1:32" ht="12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</row>
    <row r="825" spans="1:32" ht="12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</row>
    <row r="826" spans="1:32" ht="12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</row>
    <row r="827" spans="1:32" ht="12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</row>
    <row r="828" spans="1:32" ht="12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</row>
    <row r="829" spans="1:32" ht="12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</row>
    <row r="830" spans="1:32" ht="12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</row>
    <row r="831" spans="1:32" ht="12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</row>
    <row r="832" spans="1:32" ht="12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</row>
    <row r="833" spans="1:32" ht="12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</row>
    <row r="834" spans="1:32" ht="12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</row>
    <row r="835" spans="1:32" ht="12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</row>
    <row r="836" spans="1:32" ht="12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</row>
    <row r="837" spans="1:32" ht="12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</row>
    <row r="838" spans="1:32" ht="12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</row>
    <row r="839" spans="1:32" ht="12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</row>
    <row r="840" spans="1:32" ht="12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</row>
    <row r="841" spans="1:32" ht="12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</row>
    <row r="842" spans="1:32" ht="12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</row>
    <row r="843" spans="1:32" ht="12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</row>
    <row r="844" spans="1:32" ht="12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</row>
    <row r="845" spans="1:32" ht="12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</row>
    <row r="846" spans="1:32" ht="12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</row>
    <row r="847" spans="1:32" ht="12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</row>
    <row r="848" spans="1:32" ht="12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</row>
    <row r="849" spans="1:32" ht="12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</row>
    <row r="850" spans="1:32" ht="12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</row>
    <row r="851" spans="1:32" ht="12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</row>
    <row r="852" spans="1:32" ht="12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</row>
    <row r="853" spans="1:32" ht="12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</row>
    <row r="854" spans="1:32" ht="12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</row>
    <row r="855" spans="1:32" ht="12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</row>
    <row r="856" spans="1:32" ht="12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</row>
    <row r="857" spans="1:32" ht="12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</row>
    <row r="858" spans="1:32" ht="12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</row>
    <row r="859" spans="1:32" ht="12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</row>
    <row r="860" spans="1:32" ht="12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</row>
    <row r="861" spans="1:32" ht="12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</row>
    <row r="862" spans="1:32" ht="12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</row>
    <row r="863" spans="1:32" ht="12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</row>
    <row r="864" spans="1:32" ht="12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</row>
    <row r="865" spans="1:32" ht="12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</row>
    <row r="866" spans="1:32" ht="12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</row>
    <row r="867" spans="1:32" ht="12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</row>
    <row r="868" spans="1:32" ht="12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</row>
    <row r="869" spans="1:32" ht="12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</row>
    <row r="870" spans="1:32" ht="12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</row>
    <row r="871" spans="1:32" ht="12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</row>
    <row r="872" spans="1:32" ht="12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</row>
    <row r="873" spans="1:32" ht="12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</row>
    <row r="874" spans="1:32" ht="12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</row>
    <row r="875" spans="1:32" ht="12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</row>
    <row r="876" spans="1:32" ht="12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</row>
    <row r="877" spans="1:32" ht="12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</row>
    <row r="878" spans="1:32" ht="12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</row>
    <row r="879" spans="1:32" ht="12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</row>
    <row r="880" spans="1:32" ht="12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</row>
    <row r="881" spans="1:32" ht="12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</row>
    <row r="882" spans="1:32" ht="12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</row>
    <row r="883" spans="1:32" ht="12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</row>
    <row r="884" spans="1:32" ht="12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</row>
    <row r="885" spans="1:32" ht="12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</row>
    <row r="886" spans="1:32" ht="12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</row>
    <row r="887" spans="1:32" ht="12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</row>
    <row r="888" spans="1:32" ht="12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</row>
    <row r="889" spans="1:32" ht="12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</row>
    <row r="890" spans="1:32" ht="12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</row>
    <row r="891" spans="1:32" ht="12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</row>
    <row r="892" spans="1:32" ht="12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</row>
    <row r="893" spans="1:32" ht="12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</row>
    <row r="894" spans="1:32" ht="12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</row>
    <row r="895" spans="1:32" ht="12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</row>
    <row r="896" spans="1:32" ht="12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</row>
    <row r="897" spans="1:32" ht="12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</row>
    <row r="898" spans="1:32" ht="12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</row>
    <row r="899" spans="1:32" ht="12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</row>
    <row r="900" spans="1:32" ht="12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</row>
    <row r="901" spans="1:32" ht="12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</row>
    <row r="902" spans="1:32" ht="12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</row>
    <row r="903" spans="1:32" ht="12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</row>
    <row r="904" spans="1:32" ht="12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</row>
    <row r="905" spans="1:32" ht="12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</row>
    <row r="906" spans="1:32" ht="12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</row>
    <row r="907" spans="1:32" ht="12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</row>
    <row r="908" spans="1:32" ht="12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</row>
    <row r="909" spans="1:32" ht="12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</row>
    <row r="910" spans="1:32" ht="12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</row>
    <row r="911" spans="1:32" ht="12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</row>
    <row r="912" spans="1:32" ht="12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</row>
    <row r="913" spans="1:32" ht="12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</row>
    <row r="914" spans="1:32" ht="12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</row>
    <row r="915" spans="1:32" ht="12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</row>
    <row r="916" spans="1:32" ht="12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</row>
  </sheetData>
  <mergeCells count="93">
    <mergeCell ref="A194:J194"/>
    <mergeCell ref="K194:L194"/>
    <mergeCell ref="A195:J195"/>
    <mergeCell ref="A196:J196"/>
    <mergeCell ref="A197:J197"/>
    <mergeCell ref="A181:J181"/>
    <mergeCell ref="A182:J182"/>
    <mergeCell ref="A183:J183"/>
    <mergeCell ref="A193:J193"/>
    <mergeCell ref="K193:L193"/>
    <mergeCell ref="A168:J168"/>
    <mergeCell ref="A169:J169"/>
    <mergeCell ref="A179:J179"/>
    <mergeCell ref="K179:L179"/>
    <mergeCell ref="A180:J180"/>
    <mergeCell ref="K180:L180"/>
    <mergeCell ref="A165:J165"/>
    <mergeCell ref="K165:L165"/>
    <mergeCell ref="A166:J166"/>
    <mergeCell ref="K166:L166"/>
    <mergeCell ref="A167:J167"/>
    <mergeCell ref="A152:J152"/>
    <mergeCell ref="K152:L152"/>
    <mergeCell ref="A153:J153"/>
    <mergeCell ref="A154:J154"/>
    <mergeCell ref="A155:J155"/>
    <mergeCell ref="A139:J139"/>
    <mergeCell ref="A140:J140"/>
    <mergeCell ref="A141:J141"/>
    <mergeCell ref="A151:J151"/>
    <mergeCell ref="K151:L151"/>
    <mergeCell ref="A126:J126"/>
    <mergeCell ref="A127:J127"/>
    <mergeCell ref="A137:J137"/>
    <mergeCell ref="K137:L137"/>
    <mergeCell ref="A138:J138"/>
    <mergeCell ref="K138:L138"/>
    <mergeCell ref="A123:J123"/>
    <mergeCell ref="K123:L123"/>
    <mergeCell ref="A124:J124"/>
    <mergeCell ref="K124:L124"/>
    <mergeCell ref="A125:J125"/>
    <mergeCell ref="O21:P21"/>
    <mergeCell ref="X21:Y21"/>
    <mergeCell ref="A22:D22"/>
    <mergeCell ref="A23:D23"/>
    <mergeCell ref="A1:B1"/>
    <mergeCell ref="C1:D1"/>
    <mergeCell ref="F1:G1"/>
    <mergeCell ref="K1:L1"/>
    <mergeCell ref="A21:D21"/>
    <mergeCell ref="A110:J110"/>
    <mergeCell ref="K110:L110"/>
    <mergeCell ref="A111:J111"/>
    <mergeCell ref="A112:J112"/>
    <mergeCell ref="A113:J113"/>
    <mergeCell ref="A84:J84"/>
    <mergeCell ref="A85:J85"/>
    <mergeCell ref="A109:J109"/>
    <mergeCell ref="K109:L109"/>
    <mergeCell ref="A95:J95"/>
    <mergeCell ref="K95:L95"/>
    <mergeCell ref="A96:J96"/>
    <mergeCell ref="K96:L96"/>
    <mergeCell ref="A97:J97"/>
    <mergeCell ref="A98:J98"/>
    <mergeCell ref="A99:J99"/>
    <mergeCell ref="A81:J81"/>
    <mergeCell ref="K81:L81"/>
    <mergeCell ref="A82:J82"/>
    <mergeCell ref="K82:L82"/>
    <mergeCell ref="A83:J83"/>
    <mergeCell ref="A68:J68"/>
    <mergeCell ref="K68:L68"/>
    <mergeCell ref="A69:J69"/>
    <mergeCell ref="A70:J70"/>
    <mergeCell ref="A71:J71"/>
    <mergeCell ref="A55:J55"/>
    <mergeCell ref="A56:J56"/>
    <mergeCell ref="A57:J57"/>
    <mergeCell ref="A67:J67"/>
    <mergeCell ref="K67:L67"/>
    <mergeCell ref="A53:J53"/>
    <mergeCell ref="K53:L53"/>
    <mergeCell ref="A42:J42"/>
    <mergeCell ref="A43:J43"/>
    <mergeCell ref="A54:J54"/>
    <mergeCell ref="K54:L54"/>
    <mergeCell ref="A39:J39"/>
    <mergeCell ref="K39:L39"/>
    <mergeCell ref="A40:J40"/>
    <mergeCell ref="K40:L40"/>
    <mergeCell ref="A41:J41"/>
  </mergeCells>
  <phoneticPr fontId="61" type="noConversion"/>
  <pageMargins left="0.7" right="0.7" top="0.75" bottom="0.75" header="0" footer="0"/>
  <pageSetup orientation="portrait" r:id="rId1"/>
  <ignoredErrors>
    <ignoredError sqref="S25" formula="1"/>
  </ignoredError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C093B-0D90-4499-9E03-775CE233161D}">
  <dimension ref="A1:AJ197"/>
  <sheetViews>
    <sheetView topLeftCell="A26" zoomScaleNormal="100" workbookViewId="0">
      <selection activeCell="D8" sqref="D8"/>
    </sheetView>
  </sheetViews>
  <sheetFormatPr defaultColWidth="9.109375" defaultRowHeight="13.2" x14ac:dyDescent="0.25"/>
  <cols>
    <col min="1" max="2" width="9.109375" style="196"/>
    <col min="3" max="3" width="11.33203125" style="196" customWidth="1"/>
    <col min="4" max="4" width="8.109375" style="196" customWidth="1"/>
    <col min="5" max="5" width="8.6640625" style="196" customWidth="1"/>
    <col min="6" max="6" width="9.6640625" style="196" customWidth="1"/>
    <col min="7" max="12" width="8.6640625" style="196" customWidth="1"/>
    <col min="13" max="15" width="11.33203125" style="196" customWidth="1"/>
    <col min="16" max="16" width="4.88671875" style="196" customWidth="1"/>
    <col min="17" max="17" width="9.44140625" style="196" customWidth="1"/>
    <col min="18" max="18" width="4.77734375" style="196" bestFit="1" customWidth="1"/>
    <col min="19" max="19" width="4.77734375" style="196" customWidth="1"/>
    <col min="20" max="20" width="10.5546875" style="196" customWidth="1"/>
    <col min="21" max="23" width="10.6640625" style="196" bestFit="1" customWidth="1"/>
    <col min="24" max="24" width="8.44140625" style="196" bestFit="1" customWidth="1"/>
    <col min="25" max="25" width="9.33203125" style="196" customWidth="1"/>
    <col min="26" max="26" width="3" style="196" customWidth="1"/>
    <col min="27" max="27" width="8" style="196" bestFit="1" customWidth="1"/>
    <col min="28" max="28" width="5.21875" style="196" customWidth="1"/>
    <col min="29" max="29" width="5" style="196" customWidth="1"/>
    <col min="30" max="30" width="4.109375" style="196" bestFit="1" customWidth="1"/>
    <col min="31" max="31" width="8.44140625" style="196" bestFit="1" customWidth="1"/>
    <col min="32" max="32" width="9.109375" style="196" bestFit="1" customWidth="1"/>
    <col min="33" max="33" width="9.109375" style="196" customWidth="1"/>
    <col min="34" max="34" width="9.109375" style="196" bestFit="1" customWidth="1"/>
    <col min="35" max="35" width="9.109375" style="196"/>
    <col min="36" max="36" width="8" style="196" bestFit="1" customWidth="1"/>
    <col min="37" max="16384" width="9.109375" style="196"/>
  </cols>
  <sheetData>
    <row r="1" spans="1:32" ht="15.75" customHeight="1" thickBot="1" x14ac:dyDescent="0.35">
      <c r="A1" s="843" t="s">
        <v>652</v>
      </c>
      <c r="B1" s="843"/>
      <c r="C1" s="863" t="s">
        <v>668</v>
      </c>
      <c r="D1" s="864"/>
      <c r="E1" s="863" t="s">
        <v>558</v>
      </c>
      <c r="F1" s="864"/>
      <c r="G1" s="681" t="s">
        <v>559</v>
      </c>
      <c r="H1" s="863" t="s">
        <v>560</v>
      </c>
      <c r="I1" s="864"/>
      <c r="J1" s="673" t="s">
        <v>561</v>
      </c>
      <c r="K1" s="681" t="s">
        <v>535</v>
      </c>
      <c r="L1" s="682" t="s">
        <v>46</v>
      </c>
      <c r="M1" s="863" t="s">
        <v>47</v>
      </c>
      <c r="N1" s="865"/>
      <c r="AC1" s="197"/>
      <c r="AD1" s="198"/>
      <c r="AE1" s="198"/>
      <c r="AF1" s="198"/>
    </row>
    <row r="2" spans="1:32" ht="14.4" x14ac:dyDescent="0.3">
      <c r="A2" s="639">
        <f>Data!A77</f>
        <v>60</v>
      </c>
      <c r="B2" s="679" t="str">
        <f>Data!B77</f>
        <v>mA</v>
      </c>
      <c r="C2" s="683">
        <f>Data!A78</f>
        <v>50</v>
      </c>
      <c r="D2" s="683" t="str">
        <f>Data!B78</f>
        <v>Hz</v>
      </c>
      <c r="E2" s="674">
        <f>Data!C78</f>
        <v>6</v>
      </c>
      <c r="F2" s="674" t="str">
        <f>Data!D78</f>
        <v>mA2</v>
      </c>
      <c r="G2" s="674">
        <f>T23</f>
        <v>2.6268656716417905E-4</v>
      </c>
      <c r="H2" s="684">
        <f>AVERAGE(Data!E78:N78)</f>
        <v>6.02</v>
      </c>
      <c r="I2" s="232" t="s">
        <v>41</v>
      </c>
      <c r="J2" s="685">
        <f>(E2+G2)-H2</f>
        <v>-1.9737313432835357E-2</v>
      </c>
      <c r="K2" s="686">
        <f>N43</f>
        <v>7.8926772338871621E-3</v>
      </c>
      <c r="L2" s="687">
        <f>M42</f>
        <v>1.9807692021189784</v>
      </c>
      <c r="M2" s="683">
        <f>E2/10^3*1.5</f>
        <v>9.0000000000000011E-3</v>
      </c>
      <c r="N2" s="232" t="str">
        <f>I2</f>
        <v>mA</v>
      </c>
      <c r="AC2" s="197"/>
      <c r="AD2" s="197"/>
      <c r="AE2" s="197"/>
      <c r="AF2" s="197"/>
    </row>
    <row r="3" spans="1:32" ht="14.4" x14ac:dyDescent="0.3">
      <c r="A3" s="641"/>
      <c r="B3"/>
      <c r="C3" s="683">
        <f>C2</f>
        <v>50</v>
      </c>
      <c r="D3" s="683" t="str">
        <f>D2</f>
        <v>Hz</v>
      </c>
      <c r="E3" s="674">
        <f>Data!C79</f>
        <v>30</v>
      </c>
      <c r="F3" s="674" t="str">
        <f>Data!D79</f>
        <v>mA2</v>
      </c>
      <c r="G3" s="683">
        <f t="shared" ref="G3:G13" si="0">T24</f>
        <v>5.4885566842626686E-3</v>
      </c>
      <c r="H3" s="684">
        <f>AVERAGE(Data!E79:N79)</f>
        <v>30.059999999999995</v>
      </c>
      <c r="I3" s="232" t="s">
        <v>41</v>
      </c>
      <c r="J3" s="685">
        <f t="shared" ref="J3:J6" si="1">(E3+G3)-H3</f>
        <v>-5.4511443315732322E-2</v>
      </c>
      <c r="K3" s="686">
        <f>N57</f>
        <v>1.1662402870624854E-2</v>
      </c>
      <c r="L3" s="687">
        <f>M56</f>
        <v>1.9814867108135881</v>
      </c>
      <c r="M3" s="683">
        <f t="shared" ref="M3" si="2">E3/10^3*1.5</f>
        <v>4.4999999999999998E-2</v>
      </c>
      <c r="N3" s="232" t="str">
        <f t="shared" ref="N3:N13" si="3">I3</f>
        <v>mA</v>
      </c>
      <c r="AC3" s="197"/>
      <c r="AD3" s="197"/>
      <c r="AE3" s="197"/>
      <c r="AF3" s="197"/>
    </row>
    <row r="4" spans="1:32" ht="15" thickBot="1" x14ac:dyDescent="0.35">
      <c r="A4" s="643"/>
      <c r="B4" s="680"/>
      <c r="C4" s="683">
        <f>C3</f>
        <v>50</v>
      </c>
      <c r="D4" s="683" t="str">
        <f>D3</f>
        <v>Hz</v>
      </c>
      <c r="E4" s="674">
        <f>Data!C80</f>
        <v>54</v>
      </c>
      <c r="F4" s="674" t="str">
        <f>Data!D80</f>
        <v>mA3</v>
      </c>
      <c r="G4" s="683">
        <f t="shared" si="0"/>
        <v>-3.731343283582089E-4</v>
      </c>
      <c r="H4" s="684">
        <f>AVERAGE(Data!E80:N80)</f>
        <v>54.05</v>
      </c>
      <c r="I4" s="232" t="s">
        <v>41</v>
      </c>
      <c r="J4" s="685">
        <f t="shared" si="1"/>
        <v>-5.0373134328353331E-2</v>
      </c>
      <c r="K4" s="686">
        <f>N71</f>
        <v>5.4831860550963604E-2</v>
      </c>
      <c r="L4" s="687">
        <f>M70</f>
        <v>1.9907665356815543</v>
      </c>
      <c r="M4" s="683">
        <f>E4/10^3*2</f>
        <v>0.108</v>
      </c>
      <c r="N4" s="232" t="str">
        <f t="shared" si="3"/>
        <v>mA</v>
      </c>
      <c r="AC4" s="197"/>
      <c r="AD4" s="197"/>
      <c r="AE4" s="197"/>
      <c r="AF4" s="197"/>
    </row>
    <row r="5" spans="1:32" ht="14.4" x14ac:dyDescent="0.3">
      <c r="A5" s="639">
        <f>Data!A81</f>
        <v>600</v>
      </c>
      <c r="B5" s="679" t="str">
        <f>Data!B81</f>
        <v>mA</v>
      </c>
      <c r="C5" s="683">
        <f>Data!A82</f>
        <v>50</v>
      </c>
      <c r="D5" s="683" t="str">
        <f>Data!B82</f>
        <v>Hz</v>
      </c>
      <c r="E5" s="675">
        <f>Data!C82</f>
        <v>60</v>
      </c>
      <c r="F5" s="675" t="str">
        <f>Data!D82</f>
        <v>mA3</v>
      </c>
      <c r="G5" s="683">
        <f t="shared" si="0"/>
        <v>-1.9402985074626865E-4</v>
      </c>
      <c r="H5" s="688">
        <f>AVERAGE(Data!E82:N82)</f>
        <v>60.2</v>
      </c>
      <c r="I5" s="232" t="s">
        <v>41</v>
      </c>
      <c r="J5" s="689">
        <f t="shared" si="1"/>
        <v>-0.20019402985074919</v>
      </c>
      <c r="K5" s="686">
        <f>N85</f>
        <v>9.6582712812203375E-2</v>
      </c>
      <c r="L5" s="687">
        <f>M84</f>
        <v>1.9806931802228822</v>
      </c>
      <c r="M5" s="683">
        <f>E5/10^3*2</f>
        <v>0.12</v>
      </c>
      <c r="N5" s="232" t="str">
        <f t="shared" si="3"/>
        <v>mA</v>
      </c>
      <c r="AC5" s="197"/>
      <c r="AD5" s="197"/>
      <c r="AE5" s="197"/>
      <c r="AF5" s="197"/>
    </row>
    <row r="6" spans="1:32" ht="14.4" x14ac:dyDescent="0.3">
      <c r="A6" s="641"/>
      <c r="B6"/>
      <c r="C6" s="690">
        <f>C5</f>
        <v>50</v>
      </c>
      <c r="D6" s="683" t="str">
        <f>D5</f>
        <v>Hz</v>
      </c>
      <c r="E6" s="675">
        <f>Data!C83</f>
        <v>300</v>
      </c>
      <c r="F6" s="675" t="str">
        <f>Data!D83</f>
        <v>mA3</v>
      </c>
      <c r="G6" s="683">
        <f t="shared" si="0"/>
        <v>8.9704512103036087E-3</v>
      </c>
      <c r="H6" s="688">
        <f>AVERAGE(Data!E83:N83)</f>
        <v>300.39999999999998</v>
      </c>
      <c r="I6" s="232" t="s">
        <v>41</v>
      </c>
      <c r="J6" s="689">
        <f t="shared" si="1"/>
        <v>-0.39102954878967466</v>
      </c>
      <c r="K6" s="686">
        <f>N99</f>
        <v>0.10981125142053112</v>
      </c>
      <c r="L6" s="687">
        <f>M98</f>
        <v>1.983370034382177</v>
      </c>
      <c r="M6" s="683">
        <f>E6/10^3*2</f>
        <v>0.6</v>
      </c>
      <c r="N6" s="232" t="str">
        <f t="shared" si="3"/>
        <v>mA</v>
      </c>
      <c r="AC6" s="197"/>
      <c r="AD6" s="197"/>
      <c r="AE6" s="197"/>
      <c r="AF6" s="197"/>
    </row>
    <row r="7" spans="1:32" ht="15" thickBot="1" x14ac:dyDescent="0.35">
      <c r="A7" s="643"/>
      <c r="B7" s="680"/>
      <c r="C7" s="683">
        <f>C5</f>
        <v>50</v>
      </c>
      <c r="D7" s="683" t="str">
        <f>D5</f>
        <v>Hz</v>
      </c>
      <c r="E7" s="675">
        <f>Data!C84</f>
        <v>0.54</v>
      </c>
      <c r="F7" s="675" t="str">
        <f>Data!D84</f>
        <v>A1</v>
      </c>
      <c r="G7" s="683">
        <f t="shared" si="0"/>
        <v>-7.2537313432835825E-5</v>
      </c>
      <c r="H7" s="688">
        <f>AVERAGE(Data!E84:N84)</f>
        <v>540.1</v>
      </c>
      <c r="I7" s="232" t="s">
        <v>41</v>
      </c>
      <c r="J7" s="689">
        <f>(E7+G7)*1000-H7</f>
        <v>-0.17253731343282652</v>
      </c>
      <c r="K7" s="686">
        <f>N113</f>
        <v>0.80977467280789472</v>
      </c>
      <c r="L7" s="687">
        <f>M112</f>
        <v>1.9948244898486087</v>
      </c>
      <c r="M7" s="683">
        <f>E7/10^0*1.9</f>
        <v>1.026</v>
      </c>
      <c r="N7" s="232" t="str">
        <f t="shared" si="3"/>
        <v>mA</v>
      </c>
      <c r="AC7" s="197"/>
      <c r="AD7" s="197"/>
      <c r="AE7" s="197"/>
      <c r="AF7" s="197"/>
    </row>
    <row r="8" spans="1:32" ht="14.4" x14ac:dyDescent="0.3">
      <c r="A8" s="639">
        <f>Data!A85</f>
        <v>6</v>
      </c>
      <c r="B8" s="679" t="str">
        <f>Data!B85</f>
        <v>A</v>
      </c>
      <c r="C8" s="683">
        <f>Data!A86</f>
        <v>50</v>
      </c>
      <c r="D8" s="683" t="str">
        <f>Data!B86</f>
        <v>Hz</v>
      </c>
      <c r="E8" s="676">
        <f>Data!C86</f>
        <v>0.60000000000000009</v>
      </c>
      <c r="F8" s="676" t="str">
        <f>Data!D86</f>
        <v>A1</v>
      </c>
      <c r="G8" s="683">
        <f t="shared" si="0"/>
        <v>-7.6119402985074625E-5</v>
      </c>
      <c r="H8" s="691">
        <f>AVERAGE(Data!E86:N86)</f>
        <v>0.60199999999999998</v>
      </c>
      <c r="I8" s="582" t="s">
        <v>42</v>
      </c>
      <c r="J8" s="579">
        <f>(E8+G8)-H8</f>
        <v>-2.0761194029849106E-3</v>
      </c>
      <c r="K8" s="686">
        <f>N127</f>
        <v>5.92181054428958E-3</v>
      </c>
      <c r="L8" s="687">
        <f>M126</f>
        <v>2.0038830011463116</v>
      </c>
      <c r="M8" s="683">
        <f>E8/10^3*1.9</f>
        <v>1.14E-3</v>
      </c>
      <c r="N8" s="232" t="str">
        <f t="shared" si="3"/>
        <v>A</v>
      </c>
      <c r="AC8" s="197"/>
      <c r="AD8" s="197"/>
      <c r="AE8" s="197"/>
      <c r="AF8" s="197"/>
    </row>
    <row r="9" spans="1:32" ht="14.4" x14ac:dyDescent="0.3">
      <c r="A9" s="641"/>
      <c r="B9"/>
      <c r="C9" s="683">
        <f>C8</f>
        <v>50</v>
      </c>
      <c r="D9" s="683" t="str">
        <f>D8</f>
        <v>Hz</v>
      </c>
      <c r="E9" s="676">
        <f>Data!C87</f>
        <v>3</v>
      </c>
      <c r="F9" s="676" t="str">
        <f>Data!D87</f>
        <v>A2</v>
      </c>
      <c r="G9" s="683">
        <f t="shared" si="0"/>
        <v>-4.7435897435897439E-4</v>
      </c>
      <c r="H9" s="691">
        <f>AVERAGE(Data!E87:N87)</f>
        <v>3.004</v>
      </c>
      <c r="I9" s="582" t="s">
        <v>42</v>
      </c>
      <c r="J9" s="579">
        <f t="shared" ref="J9:J13" si="4">(E9+G9)-H9</f>
        <v>-4.4743589743587719E-3</v>
      </c>
      <c r="K9" s="686">
        <f>N141</f>
        <v>1.0432285327018009E-2</v>
      </c>
      <c r="L9" s="687">
        <f>M140</f>
        <v>1.9813655174438154</v>
      </c>
      <c r="M9" s="683">
        <f>E9/10^3*1.8</f>
        <v>5.4000000000000003E-3</v>
      </c>
      <c r="N9" s="232" t="str">
        <f t="shared" si="3"/>
        <v>A</v>
      </c>
      <c r="AC9" s="197"/>
      <c r="AD9" s="197"/>
      <c r="AE9" s="197"/>
      <c r="AF9" s="197"/>
    </row>
    <row r="10" spans="1:32" ht="15" thickBot="1" x14ac:dyDescent="0.35">
      <c r="A10" s="643"/>
      <c r="B10" s="680"/>
      <c r="C10" s="683">
        <f>C9</f>
        <v>50</v>
      </c>
      <c r="D10" s="683" t="str">
        <f>D8</f>
        <v>Hz</v>
      </c>
      <c r="E10" s="676">
        <f>Data!C88</f>
        <v>5.4</v>
      </c>
      <c r="F10" s="676" t="str">
        <f>Data!D88</f>
        <v>A2</v>
      </c>
      <c r="G10" s="683">
        <f t="shared" si="0"/>
        <v>-9.9743589743589759E-4</v>
      </c>
      <c r="H10" s="691">
        <f>AVERAGE(Data!E88:N88)</f>
        <v>5.4029999999999996</v>
      </c>
      <c r="I10" s="582" t="s">
        <v>42</v>
      </c>
      <c r="J10" s="579">
        <f t="shared" si="4"/>
        <v>-3.9974358974355084E-3</v>
      </c>
      <c r="K10" s="686">
        <f>N155</f>
        <v>1.8069977468458287E-2</v>
      </c>
      <c r="L10" s="687">
        <f>M154</f>
        <v>1.9919542131358772</v>
      </c>
      <c r="M10" s="683">
        <f>E10/10^3*1.8</f>
        <v>9.7200000000000012E-3</v>
      </c>
      <c r="N10" s="232" t="str">
        <f t="shared" si="3"/>
        <v>A</v>
      </c>
      <c r="AC10" s="197"/>
      <c r="AD10" s="197"/>
      <c r="AE10" s="197"/>
      <c r="AF10" s="197"/>
    </row>
    <row r="11" spans="1:32" ht="14.4" x14ac:dyDescent="0.3">
      <c r="A11" s="639">
        <f>Data!A89</f>
        <v>10</v>
      </c>
      <c r="B11" s="679" t="str">
        <f>Data!B89</f>
        <v>A</v>
      </c>
      <c r="C11" s="683">
        <f>Data!A90</f>
        <v>50</v>
      </c>
      <c r="D11" s="683" t="str">
        <f>Data!B90</f>
        <v>Hz</v>
      </c>
      <c r="E11" s="676">
        <f>Data!C90</f>
        <v>1</v>
      </c>
      <c r="F11" s="676" t="str">
        <f>Data!D90</f>
        <v>A1</v>
      </c>
      <c r="G11" s="683">
        <f t="shared" si="0"/>
        <v>-1E-4</v>
      </c>
      <c r="H11" s="684">
        <f>AVERAGE(Data!E90:N90)</f>
        <v>1.01</v>
      </c>
      <c r="I11" s="582" t="s">
        <v>42</v>
      </c>
      <c r="J11" s="685">
        <f t="shared" si="4"/>
        <v>-1.0099999999999998E-2</v>
      </c>
      <c r="K11" s="686">
        <f>N169</f>
        <v>1.4391946124377823E-3</v>
      </c>
      <c r="L11" s="687">
        <f>M168</f>
        <v>1.9879354504412465</v>
      </c>
      <c r="M11" s="683">
        <f t="shared" ref="M11" si="5">E11/10^3*1.9</f>
        <v>1.9E-3</v>
      </c>
      <c r="N11" s="232" t="str">
        <f t="shared" si="3"/>
        <v>A</v>
      </c>
      <c r="AC11" s="197"/>
      <c r="AD11" s="197"/>
      <c r="AE11" s="197"/>
      <c r="AF11" s="197"/>
    </row>
    <row r="12" spans="1:32" ht="14.4" x14ac:dyDescent="0.3">
      <c r="A12" s="641"/>
      <c r="B12"/>
      <c r="C12" s="683">
        <f>C11</f>
        <v>50</v>
      </c>
      <c r="D12" s="683" t="str">
        <f>D11</f>
        <v>Hz</v>
      </c>
      <c r="E12" s="676">
        <f>Data!C91</f>
        <v>5</v>
      </c>
      <c r="F12" s="676" t="str">
        <f>Data!D91</f>
        <v>A2</v>
      </c>
      <c r="G12" s="683">
        <f t="shared" si="0"/>
        <v>-9.1025641025641035E-4</v>
      </c>
      <c r="H12" s="684">
        <f>AVERAGE(Data!E91:N91)</f>
        <v>5.01</v>
      </c>
      <c r="I12" s="582" t="s">
        <v>42</v>
      </c>
      <c r="J12" s="685">
        <f t="shared" si="4"/>
        <v>-1.0910256410256558E-2</v>
      </c>
      <c r="K12" s="686">
        <f>N183</f>
        <v>1.7136060393618011E-2</v>
      </c>
      <c r="L12" s="687">
        <f>M182</f>
        <v>1.9990339547155831</v>
      </c>
      <c r="M12" s="683">
        <f>E12/10^3*1.8</f>
        <v>9.0000000000000011E-3</v>
      </c>
      <c r="N12" s="232" t="str">
        <f t="shared" si="3"/>
        <v>A</v>
      </c>
      <c r="AC12" s="197"/>
      <c r="AD12" s="197"/>
      <c r="AE12" s="197"/>
      <c r="AF12" s="197"/>
    </row>
    <row r="13" spans="1:32" ht="15" thickBot="1" x14ac:dyDescent="0.35">
      <c r="A13" s="643"/>
      <c r="B13" s="680"/>
      <c r="C13" s="683">
        <f>C11</f>
        <v>50</v>
      </c>
      <c r="D13" s="683" t="str">
        <f>D11</f>
        <v>Hz</v>
      </c>
      <c r="E13" s="676">
        <f>Data!C92</f>
        <v>9</v>
      </c>
      <c r="F13" s="676" t="str">
        <f>Data!D92</f>
        <v>A2</v>
      </c>
      <c r="G13" s="683">
        <f t="shared" si="0"/>
        <v>-1.7820512820512821E-3</v>
      </c>
      <c r="H13" s="684">
        <f>AVERAGE(Data!E92:N92)</f>
        <v>8.99</v>
      </c>
      <c r="I13" s="582" t="s">
        <v>42</v>
      </c>
      <c r="J13" s="685">
        <f t="shared" si="4"/>
        <v>8.2179487179487865E-3</v>
      </c>
      <c r="K13" s="686">
        <f>N197</f>
        <v>1.7103116593976498E-2</v>
      </c>
      <c r="L13" s="687">
        <f>M196</f>
        <v>1.9993368991279565</v>
      </c>
      <c r="M13" s="683">
        <f>E13/10^3*1.8</f>
        <v>1.6199999999999999E-2</v>
      </c>
      <c r="N13" s="232" t="str">
        <f t="shared" si="3"/>
        <v>A</v>
      </c>
      <c r="AC13" s="197"/>
      <c r="AD13" s="197"/>
      <c r="AE13" s="197"/>
      <c r="AF13" s="197"/>
    </row>
    <row r="14" spans="1:32" x14ac:dyDescent="0.25">
      <c r="AC14" s="197"/>
      <c r="AD14" s="197"/>
      <c r="AE14" s="197"/>
      <c r="AF14" s="197"/>
    </row>
    <row r="15" spans="1:32" x14ac:dyDescent="0.25">
      <c r="AC15" s="197"/>
      <c r="AD15" s="197"/>
      <c r="AE15" s="197"/>
      <c r="AF15" s="197"/>
    </row>
    <row r="16" spans="1:32" x14ac:dyDescent="0.25">
      <c r="C16" s="284" t="s">
        <v>550</v>
      </c>
      <c r="D16" s="199"/>
      <c r="E16" s="199"/>
      <c r="F16" s="200"/>
      <c r="G16" s="200"/>
      <c r="H16" s="200"/>
      <c r="I16" s="200"/>
      <c r="J16" s="200"/>
      <c r="K16" s="200"/>
      <c r="L16" s="200"/>
      <c r="M16" s="200"/>
      <c r="N16" s="200"/>
      <c r="O16" s="200"/>
      <c r="AC16" s="197"/>
      <c r="AD16" s="197"/>
      <c r="AE16" s="197"/>
      <c r="AF16" s="197"/>
    </row>
    <row r="17" spans="3:36" x14ac:dyDescent="0.25">
      <c r="C17" s="200"/>
      <c r="D17" s="200"/>
      <c r="E17" s="200"/>
      <c r="F17" s="200"/>
      <c r="G17" s="200"/>
      <c r="H17" s="200"/>
      <c r="I17" s="200"/>
      <c r="J17" s="200"/>
      <c r="K17" s="200"/>
      <c r="L17" s="200"/>
      <c r="M17" s="200"/>
      <c r="N17" s="200"/>
      <c r="O17" s="200"/>
      <c r="AC17" s="197"/>
      <c r="AD17" s="197"/>
      <c r="AE17" s="197"/>
      <c r="AF17" s="197"/>
    </row>
    <row r="18" spans="3:36" x14ac:dyDescent="0.25">
      <c r="C18" s="201" t="s">
        <v>48</v>
      </c>
      <c r="D18" s="201"/>
      <c r="E18" s="202" t="s">
        <v>49</v>
      </c>
      <c r="F18" s="288" t="s">
        <v>552</v>
      </c>
      <c r="G18" s="201"/>
      <c r="H18" s="201"/>
      <c r="I18" s="201"/>
      <c r="J18" s="201"/>
      <c r="K18" s="201"/>
      <c r="L18" s="201"/>
      <c r="M18" s="201"/>
      <c r="N18" s="201"/>
      <c r="O18" s="200"/>
      <c r="AC18" s="197"/>
      <c r="AD18" s="197"/>
      <c r="AE18" s="197"/>
      <c r="AF18" s="197"/>
    </row>
    <row r="19" spans="3:36" x14ac:dyDescent="0.25">
      <c r="C19" s="201" t="s">
        <v>50</v>
      </c>
      <c r="D19" s="201"/>
      <c r="E19" s="202" t="s">
        <v>49</v>
      </c>
      <c r="F19" s="201" t="s">
        <v>51</v>
      </c>
      <c r="G19" s="201"/>
      <c r="H19" s="201"/>
      <c r="I19" s="201"/>
      <c r="J19" s="201"/>
      <c r="K19" s="201"/>
      <c r="L19" s="201"/>
      <c r="M19" s="201"/>
      <c r="N19" s="201"/>
      <c r="O19" s="200"/>
    </row>
    <row r="20" spans="3:36" x14ac:dyDescent="0.25">
      <c r="C20" s="201"/>
      <c r="D20" s="201"/>
      <c r="E20" s="201"/>
      <c r="F20" s="201"/>
      <c r="G20" s="201"/>
      <c r="H20" s="201"/>
      <c r="I20" s="201"/>
      <c r="J20" s="201"/>
      <c r="K20" s="201"/>
      <c r="L20" s="201"/>
      <c r="M20" s="201"/>
      <c r="N20" s="201"/>
      <c r="O20" s="200"/>
      <c r="AC20" s="197"/>
      <c r="AD20" s="197"/>
      <c r="AE20" s="197"/>
      <c r="AF20" s="197"/>
    </row>
    <row r="21" spans="3:36" x14ac:dyDescent="0.25">
      <c r="C21" s="866" t="s">
        <v>52</v>
      </c>
      <c r="D21" s="867"/>
      <c r="E21" s="867"/>
      <c r="F21" s="867"/>
      <c r="G21" s="203" t="s">
        <v>53</v>
      </c>
      <c r="H21" s="203"/>
      <c r="I21" s="203"/>
      <c r="J21" s="203"/>
      <c r="K21" s="203"/>
      <c r="L21" s="203"/>
      <c r="M21" s="203"/>
      <c r="N21" s="203"/>
      <c r="O21" s="285" t="s">
        <v>551</v>
      </c>
      <c r="Q21" s="196" t="s">
        <v>234</v>
      </c>
      <c r="AA21" s="857" t="s">
        <v>1</v>
      </c>
      <c r="AB21" s="858"/>
      <c r="AC21" s="857" t="s">
        <v>235</v>
      </c>
      <c r="AD21" s="858"/>
      <c r="AE21" s="185" t="s">
        <v>56</v>
      </c>
      <c r="AF21" s="185" t="s">
        <v>555</v>
      </c>
      <c r="AG21" s="185" t="s">
        <v>57</v>
      </c>
      <c r="AH21" s="185" t="s">
        <v>58</v>
      </c>
      <c r="AI21" s="185" t="s">
        <v>59</v>
      </c>
      <c r="AJ21" s="185" t="s">
        <v>554</v>
      </c>
    </row>
    <row r="22" spans="3:36" x14ac:dyDescent="0.25">
      <c r="C22" s="859" t="s">
        <v>60</v>
      </c>
      <c r="D22" s="860"/>
      <c r="E22" s="860"/>
      <c r="F22" s="860"/>
      <c r="G22" s="201" t="s">
        <v>61</v>
      </c>
      <c r="H22" s="201"/>
      <c r="I22" s="201"/>
      <c r="J22" s="201"/>
      <c r="K22" s="201"/>
      <c r="L22" s="201"/>
      <c r="M22" s="201"/>
      <c r="N22" s="201"/>
      <c r="O22" s="204"/>
      <c r="Q22" s="861" t="s">
        <v>54</v>
      </c>
      <c r="R22" s="862"/>
      <c r="S22" s="677" t="s">
        <v>235</v>
      </c>
      <c r="T22" s="647">
        <v>45506</v>
      </c>
      <c r="U22" s="186">
        <v>44655</v>
      </c>
      <c r="V22" s="186">
        <v>43854</v>
      </c>
      <c r="W22" s="186">
        <v>43283</v>
      </c>
      <c r="X22" s="580" t="s">
        <v>55</v>
      </c>
      <c r="Y22" s="582" t="s">
        <v>627</v>
      </c>
      <c r="AA22" s="187">
        <v>3.2999000000000001</v>
      </c>
      <c r="AB22" s="668" t="s">
        <v>662</v>
      </c>
      <c r="AC22" s="429">
        <v>40</v>
      </c>
      <c r="AD22" s="422" t="s">
        <v>39</v>
      </c>
      <c r="AE22" s="435">
        <v>1</v>
      </c>
      <c r="AF22" s="431">
        <v>6.9999999999999994E-5</v>
      </c>
      <c r="AG22" s="431">
        <v>1E-4</v>
      </c>
      <c r="AH22" s="431">
        <v>-4.0000000000000003E-5</v>
      </c>
      <c r="AI22" s="423">
        <v>2.4000000000000001E-4</v>
      </c>
      <c r="AJ22" s="423">
        <v>7.5000000000000002E-4</v>
      </c>
    </row>
    <row r="23" spans="3:36" x14ac:dyDescent="0.25">
      <c r="C23" s="859" t="s">
        <v>62</v>
      </c>
      <c r="D23" s="860"/>
      <c r="E23" s="860"/>
      <c r="F23" s="860"/>
      <c r="G23" s="201" t="s">
        <v>63</v>
      </c>
      <c r="H23" s="201"/>
      <c r="I23" s="201"/>
      <c r="J23" s="201"/>
      <c r="K23" s="201"/>
      <c r="L23" s="201"/>
      <c r="M23" s="201"/>
      <c r="N23" s="201"/>
      <c r="O23" s="204"/>
      <c r="Q23" s="205">
        <f t="shared" ref="Q23:R28" si="6">E2</f>
        <v>6</v>
      </c>
      <c r="R23" s="578" t="str">
        <f t="shared" si="6"/>
        <v>mA2</v>
      </c>
      <c r="S23" s="232">
        <f>C2</f>
        <v>50</v>
      </c>
      <c r="T23" s="206" cm="1">
        <f t="array" ref="T23">IFERROR(
_xlfn.FORECAST.LINEAR(
Q23,
INDEX($AF$22:$AF$63,
MATCH(1,
($AE$22:$AE$63&lt;=Q23)*($AF$22:$AF$63&lt;&gt;"x")*($AB$22:$AB$63=R23)*($AC$22:$AC$63=S23),
0)
):
INDEX($AF$22:$AF$63,
MATCH(1,
($AE$22:$AE$63&gt;=Q23)*($AF$22:$AF$63&lt;&gt;"x")*($AB$22:$AB$63=R23)*($AC$22:$AC$63=S23),
0)
),
INDEX($AE$22:$AE$63,
MATCH(1,
($AE$22:$AE$63&lt;=Q23)*($AF$22:$AF$63&lt;&gt;"x")*($AB$22:$AB$63=R23)*($AC$22:$AC$63=S23),
0)
):
INDEX($AE$22:$AE$63,
MATCH(1,
($AE$22:$AE$63&gt;=Q23)*($AF$22:$AF$63&lt;&gt;"x")*($AB$22:$AB$63=R23)*($AC$22:$AC$63=S23),
0)
)
),INDEX($AF$22:$AF$63,
MATCH(
MIN(IF(($AF$22:$AF$63&lt;&gt;"x")*($AB$22:$AB$63=R23)*($AC$22:$AC$63=S23),ABS($AE$22:$AE$63-Q23))),
IF(($AF$22:$AF$63&lt;&gt;"x")*($AB$22:$AB$63=R23)*($AC$22:$AC$63=S23),ABS($AE$22:$AE$63-Q23)),
0
)))</f>
        <v>2.6268656716417905E-4</v>
      </c>
      <c r="U23" s="206" cm="1">
        <f t="array" ref="U23">IFERROR(
_xlfn.FORECAST.LINEAR(
Q23,
INDEX($AG$22:$AG$63,
MATCH(1,
($AE$22:$AE$63&lt;=Q23)*($AG$22:$AG$63&lt;&gt;"x")*($AB$22:$AB$63=R23)*($AC$22:$AC$63=S23),
0)
):
INDEX($AG$22:$AG$63,
MATCH(1,
($AE$22:$AE$63&gt;=Q23)*($AG$22:$AG$63&lt;&gt;"x")*($AB$22:$AB$63=R23)*($AC$22:$AC$63=S23),
0)
),
INDEX($AE$22:$AE$63,
MATCH(1,
($AE$22:$AE$63&lt;=Q23)*($AG$22:$AG$63&lt;&gt;"x")*($AB$22:$AB$63=R23)*($AC$22:$AC$63=S23),
0)
):
INDEX($AE$22:$AE$63,
MATCH(1,
($AE$22:$AE$63&gt;=Q23)*($AG$22:$AG$63&lt;&gt;"x")*($AB$22:$AB$63=R23)*($AC$22:$AC$63=S23),
0)
)
),INDEX($AG$22:$AG$63,
MATCH(
MIN(IF(($AG$22:$AG$63&lt;&gt;"x")*($AB$22:$AB$63=R23)*($AC$22:$AC$63=S23),ABS($AE$22:$AE$63-Q23))),
IF(($AG$22:$AG$63&lt;&gt;"x")*($AB$22:$AB$63=R23)*($AC$22:$AC$63=S23),ABS($AE$22:$AE$63-Q23)),
0
)))</f>
        <v>5.9999999999999995E-4</v>
      </c>
      <c r="V23" s="236" cm="1">
        <f t="array" ref="V23">IFERROR(
_xlfn.FORECAST.LINEAR(
Q23,
INDEX($AH$22:$AH$63,
MATCH(1,
($AE$22:$AE$63&lt;=Q23)*($AH$22:$AH$63&lt;&gt;"x")*($AB$22:$AB$63=R23)*($AC$22:$AC$63=S23),
0)
):
INDEX($AH$22:$AH$63,
MATCH(1,
($AE$22:$AE$63&gt;=Q23)*($AH$22:$AH$63&lt;&gt;"x")*($AB$22:$AB$63=R23)*($AC$22:$AC$63=S23),
0)
),
INDEX($AE$22:$AE$63,
MATCH(1,
($AE$22:$AE$63&lt;=Q23)*($AH$22:$AH$63&lt;&gt;"x")*($AB$22:$AB$63=R23)*($AC$22:$AC$63=S23),
0)
):
INDEX($AE$22:$AE$63,
MATCH(1,
($AE$22:$AE$63&gt;=Q23)*($AH$22:$AH$63&lt;&gt;"x")*($AB$22:$AB$63=R23)*($AC$22:$AC$63=S23),
0)
)
),INDEX($AH$22:$AH$63,
MATCH(
MIN(IF(($AH$22:$AH$63&lt;&gt;"x")*($AB$22:$AB$63=R23)*($AC$22:$AC$63=S23),ABS($AE$22:$AE$63-Q23))),
IF(($AH$22:$AH$63&lt;&gt;"x")*($AB$22:$AB$63=R23)*($AC$22:$AC$63=S23),ABS($AE$22:$AE$63-Q23)),
0
)))</f>
        <v>-4.0000000000000002E-4</v>
      </c>
      <c r="W23" s="236" cm="1">
        <f t="array" ref="W23">IFERROR(
_xlfn.FORECAST.LINEAR(
Q23,
INDEX($AI$22:$AI$63,
MATCH(1,
($AE$22:$AE$63&lt;=Q23)*($AI$22:$AI$63&lt;&gt;"x")*($AB$22:$AB$63=R23)*($AC$22:$AC$63=S23),
0)
):
INDEX($AI$22:$AI$63,
MATCH(1,
($AE$22:$AE$63&gt;=Q23)*($AI$22:$AI$63&lt;&gt;"x")*($AB$22:$AB$63=R23)*($AC$22:$AC$63=S23),
0)
),
INDEX($AE$22:$AE$63,
MATCH(1,
($AE$22:$AE$63&lt;=Q23)*($AI$22:$AI$63&lt;&gt;"x")*($AB$22:$AB$63=R23)*($AC$22:$AC$63=S23),
0)
):
INDEX($AE$22:$AE$63,
MATCH(1,
($AE$22:$AE$63&gt;=Q23)*($AI$22:$AI$63&lt;&gt;"x")*($AB$22:$AB$63=R23)*($AC$22:$AC$63=S23),
0)
)
),INDEX($AI$22:$AI$63,
MATCH(
MIN(IF(($AI$22:$AI$63&lt;&gt;"x")*($AB$22:$AB$63=R23)*($AC$22:$AC$63=S23),ABS($AE$22:$AE$63-Q23))),
IF(($AI$22:$AI$63&lt;&gt;"x")*($AB$22:$AB$63=R23)*($AC$22:$AC$63=S23),ABS($AE$22:$AE$63-Q23)),
0
)))</f>
        <v>2.0999999999999999E-3</v>
      </c>
      <c r="X23" s="581">
        <f>((((ABS(T23-U23)/(T$22-U$22))+(ABS(U23-V23)/(U$22-V$22))+(ABS(V23-W23)/(V$22-W$22)))/3)*(((T$22-U$22)+(U$22-V$22)+(V$22-W$22))/3))</f>
        <v>1.4877047552322091E-3</v>
      </c>
      <c r="Y23" s="232">
        <f>AJ30</f>
        <v>5.1000000000000004E-3</v>
      </c>
      <c r="AA23" s="424"/>
      <c r="AB23" s="668" t="s">
        <v>662</v>
      </c>
      <c r="AC23" s="188">
        <v>50</v>
      </c>
      <c r="AD23" s="427" t="s">
        <v>39</v>
      </c>
      <c r="AE23" s="190">
        <v>0.3</v>
      </c>
      <c r="AF23" s="190">
        <v>9.0000000000000006E-5</v>
      </c>
      <c r="AG23" s="659" t="s">
        <v>637</v>
      </c>
      <c r="AH23" s="660" t="s">
        <v>637</v>
      </c>
      <c r="AI23" s="661" t="s">
        <v>637</v>
      </c>
      <c r="AJ23" s="189">
        <v>5.1000000000000004E-4</v>
      </c>
    </row>
    <row r="24" spans="3:36" ht="14.4" x14ac:dyDescent="0.3">
      <c r="C24" s="207" t="s">
        <v>64</v>
      </c>
      <c r="D24" s="201"/>
      <c r="E24" s="201"/>
      <c r="F24" s="202" t="s">
        <v>49</v>
      </c>
      <c r="G24" s="208" t="s">
        <v>537</v>
      </c>
      <c r="I24" s="209" t="s">
        <v>66</v>
      </c>
      <c r="J24" s="201"/>
      <c r="K24" s="201"/>
      <c r="L24" s="201"/>
      <c r="M24" s="201"/>
      <c r="N24" s="201"/>
      <c r="O24" s="204"/>
      <c r="Q24" s="205">
        <f t="shared" si="6"/>
        <v>30</v>
      </c>
      <c r="R24" s="578" t="str">
        <f t="shared" si="6"/>
        <v>mA2</v>
      </c>
      <c r="S24" s="232">
        <f t="shared" ref="S24:S34" si="7">C3</f>
        <v>50</v>
      </c>
      <c r="T24" s="206" cm="1">
        <f t="array" ref="T24">IFERROR(
_xlfn.FORECAST.LINEAR(
Q24,
INDEX($AF$22:$AF$63,
MATCH(1,
($AE$22:$AE$63&lt;=Q24)*($AF$22:$AF$63&lt;&gt;"x")*($AB$22:$AB$63=R24)*($AC$22:$AC$63=S24),
0)
):
INDEX($AF$22:$AF$63,
MATCH(1,
($AE$22:$AE$63&gt;=Q24)*($AF$22:$AF$63&lt;&gt;"x")*($AB$22:$AB$63=R24)*($AC$22:$AC$63=S24),
0)
),
INDEX($AE$22:$AE$63,
MATCH(1,
($AE$22:$AE$63&lt;=Q24)*($AF$22:$AF$63&lt;&gt;"x")*($AB$22:$AB$63=R24)*($AC$22:$AC$63=S24),
0)
):
INDEX($AE$22:$AE$63,
MATCH(1,
($AE$22:$AE$63&gt;=Q24)*($AF$22:$AF$63&lt;&gt;"x")*($AB$22:$AB$63=R24)*($AC$22:$AC$63=S24),
0)
)
),INDEX($AF$22:$AF$63,
MATCH(
MIN(IF(($AF$22:$AF$63&lt;&gt;"x")*($AB$22:$AB$63=R24)*($AC$22:$AC$63=S24),ABS($AE$22:$AE$63-Q24))),
IF(($AF$22:$AF$63&lt;&gt;"x")*($AB$22:$AB$63=R24)*($AC$22:$AC$63=S24),ABS($AE$22:$AE$63-Q24)),
0
)))</f>
        <v>5.4885566842626686E-3</v>
      </c>
      <c r="U24" s="206" cm="1">
        <f t="array" ref="U24">IFERROR(
_xlfn.FORECAST.LINEAR(
Q24,
INDEX($AG$22:$AG$63,
MATCH(1,
($AE$22:$AE$63&lt;=Q24)*($AG$22:$AG$63&lt;&gt;"x")*($AB$22:$AB$63=R24)*($AC$22:$AC$63=S24),
0)
):
INDEX($AG$22:$AG$63,
MATCH(1,
($AE$22:$AE$63&gt;=Q24)*($AG$22:$AG$63&lt;&gt;"x")*($AB$22:$AB$63=R24)*($AC$22:$AC$63=S24),
0)
),
INDEX($AE$22:$AE$63,
MATCH(1,
($AE$22:$AE$63&lt;=Q24)*($AG$22:$AG$63&lt;&gt;"x")*($AB$22:$AB$63=R24)*($AC$22:$AC$63=S24),
0)
):
INDEX($AE$22:$AE$63,
MATCH(1,
($AE$22:$AE$63&gt;=Q24)*($AG$22:$AG$63&lt;&gt;"x")*($AB$22:$AB$63=R24)*($AC$22:$AC$63=S24),
0)
)
),INDEX($AG$22:$AG$63,
MATCH(
MIN(IF(($AG$22:$AG$63&lt;&gt;"x")*($AB$22:$AB$63=R24)*($AC$22:$AC$63=S24),ABS($AE$22:$AE$63-Q24))),
IF(($AG$22:$AG$63&lt;&gt;"x")*($AB$22:$AB$63=R24)*($AC$22:$AC$63=S24),ABS($AE$22:$AE$63-Q24)),
0
)))</f>
        <v>5.9999999999999995E-4</v>
      </c>
      <c r="V24" s="236" cm="1">
        <f t="array" ref="V24">IFERROR(
_xlfn.FORECAST.LINEAR(
Q24,
INDEX($AH$22:$AH$63,
MATCH(1,
($AE$22:$AE$63&lt;=Q24)*($AH$22:$AH$63&lt;&gt;"x")*($AB$22:$AB$63=R24)*($AC$22:$AC$63=S24),
0)
):
INDEX($AH$22:$AH$63,
MATCH(1,
($AE$22:$AE$63&gt;=Q24)*($AH$22:$AH$63&lt;&gt;"x")*($AB$22:$AB$63=R24)*($AC$22:$AC$63=S24),
0)
),
INDEX($AE$22:$AE$63,
MATCH(1,
($AE$22:$AE$63&lt;=Q24)*($AH$22:$AH$63&lt;&gt;"x")*($AB$22:$AB$63=R24)*($AC$22:$AC$63=S24),
0)
):
INDEX($AE$22:$AE$63,
MATCH(1,
($AE$22:$AE$63&gt;=Q24)*($AH$22:$AH$63&lt;&gt;"x")*($AB$22:$AB$63=R24)*($AC$22:$AC$63=S24),
0)
)
),INDEX($AH$22:$AH$63,
MATCH(
MIN(IF(($AH$22:$AH$63&lt;&gt;"x")*($AB$22:$AB$63=R24)*($AC$22:$AC$63=S24),ABS($AE$22:$AE$63-Q24))),
IF(($AH$22:$AH$63&lt;&gt;"x")*($AB$22:$AB$63=R24)*($AC$22:$AC$63=S24),ABS($AE$22:$AE$63-Q24)),
0
)))</f>
        <v>-4.0000000000000002E-4</v>
      </c>
      <c r="W24" s="236" cm="1">
        <f t="array" ref="W24">IFERROR(
_xlfn.FORECAST.LINEAR(
Q24,
INDEX($AI$22:$AI$63,
MATCH(1,
($AE$22:$AE$63&lt;=Q24)*($AI$22:$AI$63&lt;&gt;"x")*($AB$22:$AB$63=R24)*($AC$22:$AC$63=S24),
0)
):
INDEX($AI$22:$AI$63,
MATCH(1,
($AE$22:$AE$63&gt;=Q24)*($AI$22:$AI$63&lt;&gt;"x")*($AB$22:$AB$63=R24)*($AC$22:$AC$63=S24),
0)
),
INDEX($AE$22:$AE$63,
MATCH(1,
($AE$22:$AE$63&lt;=Q24)*($AI$22:$AI$63&lt;&gt;"x")*($AB$22:$AB$63=R24)*($AC$22:$AC$63=S24),
0)
):
INDEX($AE$22:$AE$63,
MATCH(1,
($AE$22:$AE$63&gt;=Q24)*($AI$22:$AI$63&lt;&gt;"x")*($AB$22:$AB$63=R24)*($AC$22:$AC$63=S24),
0)
)
),INDEX($AI$22:$AI$63,
MATCH(
MIN(IF(($AI$22:$AI$63&lt;&gt;"x")*($AB$22:$AB$63=R24)*($AC$22:$AC$63=S24),ABS($AE$22:$AE$63-Q24))),
IF(($AI$22:$AI$63&lt;&gt;"x")*($AB$22:$AB$63=R24)*($AC$22:$AC$63=S24),ABS($AE$22:$AE$63-Q24)),
0
)))</f>
        <v>2.0999999999999999E-3</v>
      </c>
      <c r="X24" s="581">
        <f t="shared" ref="X24:X34" si="8">((((ABS(T24-U24)/(T$22-U$22))+(ABS(U24-V24)/(U$22-V$22))+(ABS(V24-W24)/(V$22-W$22)))/3)*(((T$22-U$22)+(U$22-V$22)+(V$22-W$22))/3))</f>
        <v>2.8086884016510472E-3</v>
      </c>
      <c r="Y24" s="579">
        <f>AJ35</f>
        <v>9.5999999999999992E-3</v>
      </c>
      <c r="Z24" s="210"/>
      <c r="AA24" s="424"/>
      <c r="AB24" s="668" t="s">
        <v>662</v>
      </c>
      <c r="AC24" s="424">
        <v>50</v>
      </c>
      <c r="AD24" s="196" t="s">
        <v>39</v>
      </c>
      <c r="AE24" s="439">
        <v>1</v>
      </c>
      <c r="AF24" s="432">
        <v>6.0000000000000002E-5</v>
      </c>
      <c r="AG24" s="190">
        <v>1E-4</v>
      </c>
      <c r="AH24" s="191">
        <v>-4.0000000000000003E-5</v>
      </c>
      <c r="AI24" s="189">
        <v>2.4000000000000001E-4</v>
      </c>
      <c r="AJ24" s="425">
        <v>7.5000000000000002E-4</v>
      </c>
    </row>
    <row r="25" spans="3:36" ht="14.4" x14ac:dyDescent="0.3">
      <c r="C25" s="207"/>
      <c r="D25" s="201"/>
      <c r="E25" s="201"/>
      <c r="F25" s="202" t="s">
        <v>49</v>
      </c>
      <c r="G25" s="208" t="s">
        <v>538</v>
      </c>
      <c r="H25" s="208"/>
      <c r="I25" s="201"/>
      <c r="J25" s="201"/>
      <c r="K25" s="201"/>
      <c r="L25" s="201"/>
      <c r="M25" s="201"/>
      <c r="N25" s="201"/>
      <c r="O25" s="204"/>
      <c r="Q25" s="211">
        <f t="shared" si="6"/>
        <v>54</v>
      </c>
      <c r="R25" s="578" t="str">
        <f t="shared" si="6"/>
        <v>mA3</v>
      </c>
      <c r="S25" s="232">
        <f t="shared" si="7"/>
        <v>50</v>
      </c>
      <c r="T25" s="206" cm="1">
        <f t="array" ref="T25">IFERROR(
_xlfn.FORECAST.LINEAR(
Q25,
INDEX($AF$22:$AF$63,
MATCH(1,
($AE$22:$AE$63&lt;=Q25)*($AF$22:$AF$63&lt;&gt;"x")*($AB$22:$AB$63=R25)*($AC$22:$AC$63=S25),
0)
):
INDEX($AF$22:$AF$63,
MATCH(1,
($AE$22:$AE$63&gt;=Q25)*($AF$22:$AF$63&lt;&gt;"x")*($AB$22:$AB$63=R25)*($AC$22:$AC$63=S25),
0)
),
INDEX($AE$22:$AE$63,
MATCH(1,
($AE$22:$AE$63&lt;=Q25)*($AF$22:$AF$63&lt;&gt;"x")*($AB$22:$AB$63=R25)*($AC$22:$AC$63=S25),
0)
):
INDEX($AE$22:$AE$63,
MATCH(1,
($AE$22:$AE$63&gt;=Q25)*($AF$22:$AF$63&lt;&gt;"x")*($AB$22:$AB$63=R25)*($AC$22:$AC$63=S25),
0)
)
),INDEX($AF$22:$AF$63,
MATCH(
MIN(IF(($AF$22:$AF$63&lt;&gt;"x")*($AB$22:$AB$63=R25)*($AC$22:$AC$63=S25),ABS($AE$22:$AE$63-Q25))),
IF(($AF$22:$AF$63&lt;&gt;"x")*($AB$22:$AB$63=R25)*($AC$22:$AC$63=S25),ABS($AE$22:$AE$63-Q25)),
0
)))</f>
        <v>-3.731343283582089E-4</v>
      </c>
      <c r="U25" s="206" cm="1">
        <f t="array" ref="U25">IFERROR(
_xlfn.FORECAST.LINEAR(
Q25,
INDEX($AG$22:$AG$63,
MATCH(1,
($AE$22:$AE$63&lt;=Q25)*($AG$22:$AG$63&lt;&gt;"x")*($AB$22:$AB$63=R25)*($AC$22:$AC$63=S25),
0)
):
INDEX($AG$22:$AG$63,
MATCH(1,
($AE$22:$AE$63&gt;=Q25)*($AG$22:$AG$63&lt;&gt;"x")*($AB$22:$AB$63=R25)*($AC$22:$AC$63=S25),
0)
),
INDEX($AE$22:$AE$63,
MATCH(1,
($AE$22:$AE$63&lt;=Q25)*($AG$22:$AG$63&lt;&gt;"x")*($AB$22:$AB$63=R25)*($AC$22:$AC$63=S25),
0)
):
INDEX($AE$22:$AE$63,
MATCH(1,
($AE$22:$AE$63&gt;=Q25)*($AG$22:$AG$63&lt;&gt;"x")*($AB$22:$AB$63=R25)*($AC$22:$AC$63=S25),
0)
)
),INDEX($AG$22:$AG$63,
MATCH(
MIN(IF(($AG$22:$AG$63&lt;&gt;"x")*($AB$22:$AB$63=R25)*($AC$22:$AC$63=S25),ABS($AE$22:$AE$63-Q25))),
IF(($AG$22:$AG$63&lt;&gt;"x")*($AB$22:$AB$63=R25)*($AC$22:$AC$63=S25),ABS($AE$22:$AE$63-Q25)),
0
)))</f>
        <v>1.4E-2</v>
      </c>
      <c r="V25" s="236" cm="1">
        <f t="array" ref="V25">IFERROR(
_xlfn.FORECAST.LINEAR(
Q25,
INDEX($AH$22:$AH$63,
MATCH(1,
($AE$22:$AE$63&lt;=Q25)*($AH$22:$AH$63&lt;&gt;"x")*($AB$22:$AB$63=R25)*($AC$22:$AC$63=S25),
0)
):
INDEX($AH$22:$AH$63,
MATCH(1,
($AE$22:$AE$63&gt;=Q25)*($AH$22:$AH$63&lt;&gt;"x")*($AB$22:$AB$63=R25)*($AC$22:$AC$63=S25),
0)
),
INDEX($AE$22:$AE$63,
MATCH(1,
($AE$22:$AE$63&lt;=Q25)*($AH$22:$AH$63&lt;&gt;"x")*($AB$22:$AB$63=R25)*($AC$22:$AC$63=S25),
0)
):
INDEX($AE$22:$AE$63,
MATCH(1,
($AE$22:$AE$63&gt;=Q25)*($AH$22:$AH$63&lt;&gt;"x")*($AB$22:$AB$63=R25)*($AC$22:$AC$63=S25),
0)
)
),INDEX($AH$22:$AH$63,
MATCH(
MIN(IF(($AH$22:$AH$63&lt;&gt;"x")*($AB$22:$AB$63=R25)*($AC$22:$AC$63=S25),ABS($AE$22:$AE$63-Q25))),
IF(($AH$22:$AH$63&lt;&gt;"x")*($AB$22:$AB$63=R25)*($AC$22:$AC$63=S25),ABS($AE$22:$AE$63-Q25)),
0
)))</f>
        <v>0</v>
      </c>
      <c r="W25" s="236" cm="1">
        <f t="array" ref="W25">IFERROR(
_xlfn.FORECAST.LINEAR(
Q25,
INDEX($AI$22:$AI$63,
MATCH(1,
($AE$22:$AE$63&lt;=Q25)*($AI$22:$AI$63&lt;&gt;"x")*($AB$22:$AB$63=R25)*($AC$22:$AC$63=S25),
0)
):
INDEX($AI$22:$AI$63,
MATCH(1,
($AE$22:$AE$63&gt;=Q25)*($AI$22:$AI$63&lt;&gt;"x")*($AB$22:$AB$63=R25)*($AC$22:$AC$63=S25),
0)
),
INDEX($AE$22:$AE$63,
MATCH(1,
($AE$22:$AE$63&lt;=Q25)*($AI$22:$AI$63&lt;&gt;"x")*($AB$22:$AB$63=R25)*($AC$22:$AC$63=S25),
0)
):
INDEX($AE$22:$AE$63,
MATCH(1,
($AE$22:$AE$63&gt;=Q25)*($AI$22:$AI$63&lt;&gt;"x")*($AB$22:$AB$63=R25)*($AC$22:$AC$63=S25),
0)
)
),INDEX($AI$22:$AI$63,
MATCH(
MIN(IF(($AI$22:$AI$63&lt;&gt;"x")*($AB$22:$AB$63=R25)*($AC$22:$AC$63=S25),ABS($AE$22:$AE$63-Q25))),
IF(($AI$22:$AI$63&lt;&gt;"x")*($AB$22:$AB$63=R25)*($AC$22:$AC$63=S25),ABS($AE$22:$AE$63-Q25)),
0
)))</f>
        <v>1.9E-2</v>
      </c>
      <c r="X25" s="581">
        <f t="shared" si="8"/>
        <v>1.6707773598245806E-2</v>
      </c>
      <c r="Y25" s="579">
        <f>AJ37</f>
        <v>5.0999999999999997E-2</v>
      </c>
      <c r="Z25" s="210"/>
      <c r="AA25" s="188"/>
      <c r="AB25" s="668" t="s">
        <v>662</v>
      </c>
      <c r="AC25" s="188">
        <v>50</v>
      </c>
      <c r="AD25" s="427" t="s">
        <v>39</v>
      </c>
      <c r="AE25" s="190">
        <v>3.2</v>
      </c>
      <c r="AF25" s="190">
        <v>5.0000000000000001E-4</v>
      </c>
      <c r="AG25" s="660" t="s">
        <v>637</v>
      </c>
      <c r="AH25" s="660" t="s">
        <v>637</v>
      </c>
      <c r="AI25" s="660" t="s">
        <v>637</v>
      </c>
      <c r="AJ25" s="189">
        <v>5.1000000000000004E-3</v>
      </c>
    </row>
    <row r="26" spans="3:36" x14ac:dyDescent="0.25">
      <c r="C26" s="207"/>
      <c r="D26" s="201"/>
      <c r="E26" s="201"/>
      <c r="F26" s="201"/>
      <c r="G26" s="252" t="s">
        <v>68</v>
      </c>
      <c r="H26" s="208" t="s">
        <v>343</v>
      </c>
      <c r="I26" s="201"/>
      <c r="J26" s="201"/>
      <c r="K26" s="201"/>
      <c r="L26" s="201"/>
      <c r="M26" s="201"/>
      <c r="N26" s="201"/>
      <c r="O26" s="204"/>
      <c r="Q26" s="211">
        <f t="shared" si="6"/>
        <v>60</v>
      </c>
      <c r="R26" s="578" t="str">
        <f t="shared" si="6"/>
        <v>mA3</v>
      </c>
      <c r="S26" s="232">
        <f t="shared" si="7"/>
        <v>50</v>
      </c>
      <c r="T26" s="206" cm="1">
        <f t="array" ref="T26">IFERROR(
_xlfn.FORECAST.LINEAR(
Q26,
INDEX($AF$22:$AF$63,
MATCH(1,
($AE$22:$AE$63&lt;=Q26)*($AF$22:$AF$63&lt;&gt;"x")*($AB$22:$AB$63=R26)*($AC$22:$AC$63=S26),
0)
):
INDEX($AF$22:$AF$63,
MATCH(1,
($AE$22:$AE$63&gt;=Q26)*($AF$22:$AF$63&lt;&gt;"x")*($AB$22:$AB$63=R26)*($AC$22:$AC$63=S26),
0)
),
INDEX($AE$22:$AE$63,
MATCH(1,
($AE$22:$AE$63&lt;=Q26)*($AF$22:$AF$63&lt;&gt;"x")*($AB$22:$AB$63=R26)*($AC$22:$AC$63=S26),
0)
):
INDEX($AE$22:$AE$63,
MATCH(1,
($AE$22:$AE$63&gt;=Q26)*($AF$22:$AF$63&lt;&gt;"x")*($AB$22:$AB$63=R26)*($AC$22:$AC$63=S26),
0)
)
),INDEX($AF$22:$AF$63,
MATCH(
MIN(IF(($AF$22:$AF$63&lt;&gt;"x")*($AB$22:$AB$63=R26)*($AC$22:$AC$63=S26),ABS($AE$22:$AE$63-Q26))),
IF(($AF$22:$AF$63&lt;&gt;"x")*($AB$22:$AB$63=R26)*($AC$22:$AC$63=S26),ABS($AE$22:$AE$63-Q26)),
0
)))</f>
        <v>-1.9402985074626865E-4</v>
      </c>
      <c r="U26" s="206" cm="1">
        <f t="array" ref="U26">IFERROR(
_xlfn.FORECAST.LINEAR(
Q26,
INDEX($AG$22:$AG$63,
MATCH(1,
($AE$22:$AE$63&lt;=Q26)*($AG$22:$AG$63&lt;&gt;"x")*($AB$22:$AB$63=R26)*($AC$22:$AC$63=S26),
0)
):
INDEX($AG$22:$AG$63,
MATCH(1,
($AE$22:$AE$63&gt;=Q26)*($AG$22:$AG$63&lt;&gt;"x")*($AB$22:$AB$63=R26)*($AC$22:$AC$63=S26),
0)
),
INDEX($AE$22:$AE$63,
MATCH(1,
($AE$22:$AE$63&lt;=Q26)*($AG$22:$AG$63&lt;&gt;"x")*($AB$22:$AB$63=R26)*($AC$22:$AC$63=S26),
0)
):
INDEX($AE$22:$AE$63,
MATCH(1,
($AE$22:$AE$63&gt;=Q26)*($AG$22:$AG$63&lt;&gt;"x")*($AB$22:$AB$63=R26)*($AC$22:$AC$63=S26),
0)
)
),INDEX($AG$22:$AG$63,
MATCH(
MIN(IF(($AG$22:$AG$63&lt;&gt;"x")*($AB$22:$AB$63=R26)*($AC$22:$AC$63=S26),ABS($AE$22:$AE$63-Q26))),
IF(($AG$22:$AG$63&lt;&gt;"x")*($AB$22:$AB$63=R26)*($AC$22:$AC$63=S26),ABS($AE$22:$AE$63-Q26)),
0
)))</f>
        <v>1.4E-2</v>
      </c>
      <c r="V26" s="236" cm="1">
        <f t="array" ref="V26">IFERROR(
_xlfn.FORECAST.LINEAR(
Q26,
INDEX($AH$22:$AH$63,
MATCH(1,
($AE$22:$AE$63&lt;=Q26)*($AH$22:$AH$63&lt;&gt;"x")*($AB$22:$AB$63=R26)*($AC$22:$AC$63=S26),
0)
):
INDEX($AH$22:$AH$63,
MATCH(1,
($AE$22:$AE$63&gt;=Q26)*($AH$22:$AH$63&lt;&gt;"x")*($AB$22:$AB$63=R26)*($AC$22:$AC$63=S26),
0)
),
INDEX($AE$22:$AE$63,
MATCH(1,
($AE$22:$AE$63&lt;=Q26)*($AH$22:$AH$63&lt;&gt;"x")*($AB$22:$AB$63=R26)*($AC$22:$AC$63=S26),
0)
):
INDEX($AE$22:$AE$63,
MATCH(1,
($AE$22:$AE$63&gt;=Q26)*($AH$22:$AH$63&lt;&gt;"x")*($AB$22:$AB$63=R26)*($AC$22:$AC$63=S26),
0)
)
),INDEX($AH$22:$AH$63,
MATCH(
MIN(IF(($AH$22:$AH$63&lt;&gt;"x")*($AB$22:$AB$63=R26)*($AC$22:$AC$63=S26),ABS($AE$22:$AE$63-Q26))),
IF(($AH$22:$AH$63&lt;&gt;"x")*($AB$22:$AB$63=R26)*($AC$22:$AC$63=S26),ABS($AE$22:$AE$63-Q26)),
0
)))</f>
        <v>0</v>
      </c>
      <c r="W26" s="236" cm="1">
        <f t="array" ref="W26">IFERROR(
_xlfn.FORECAST.LINEAR(
Q26,
INDEX($AI$22:$AI$63,
MATCH(1,
($AE$22:$AE$63&lt;=Q26)*($AI$22:$AI$63&lt;&gt;"x")*($AB$22:$AB$63=R26)*($AC$22:$AC$63=S26),
0)
):
INDEX($AI$22:$AI$63,
MATCH(1,
($AE$22:$AE$63&gt;=Q26)*($AI$22:$AI$63&lt;&gt;"x")*($AB$22:$AB$63=R26)*($AC$22:$AC$63=S26),
0)
),
INDEX($AE$22:$AE$63,
MATCH(1,
($AE$22:$AE$63&lt;=Q26)*($AI$22:$AI$63&lt;&gt;"x")*($AB$22:$AB$63=R26)*($AC$22:$AC$63=S26),
0)
):
INDEX($AE$22:$AE$63,
MATCH(1,
($AE$22:$AE$63&gt;=Q26)*($AI$22:$AI$63&lt;&gt;"x")*($AB$22:$AB$63=R26)*($AC$22:$AC$63=S26),
0)
)
),INDEX($AI$22:$AI$63,
MATCH(
MIN(IF(($AI$22:$AI$63&lt;&gt;"x")*($AB$22:$AB$63=R26)*($AC$22:$AC$63=S26),ABS($AE$22:$AE$63-Q26))),
IF(($AI$22:$AI$63&lt;&gt;"x")*($AB$22:$AB$63=R26)*($AC$22:$AC$63=S26),ABS($AE$22:$AE$63-Q26)),
0
)))</f>
        <v>1.9E-2</v>
      </c>
      <c r="X26" s="581">
        <f t="shared" si="8"/>
        <v>1.6655789102393691E-2</v>
      </c>
      <c r="Y26" s="579">
        <f>AJ38</f>
        <v>7.4999999999999997E-2</v>
      </c>
      <c r="Z26" s="210"/>
      <c r="AA26" s="188"/>
      <c r="AB26" s="668" t="s">
        <v>662</v>
      </c>
      <c r="AC26" s="188">
        <v>500</v>
      </c>
      <c r="AD26" s="427" t="s">
        <v>39</v>
      </c>
      <c r="AE26" s="190">
        <v>1</v>
      </c>
      <c r="AF26" s="190">
        <v>1.9000000000000001E-4</v>
      </c>
      <c r="AG26" s="191">
        <v>1.2E-4</v>
      </c>
      <c r="AH26" s="190">
        <v>4.0000000000000003E-5</v>
      </c>
      <c r="AI26" s="430">
        <v>3.1E-4</v>
      </c>
      <c r="AJ26" s="189">
        <v>7.5000000000000002E-4</v>
      </c>
    </row>
    <row r="27" spans="3:36" ht="14.4" x14ac:dyDescent="0.3">
      <c r="C27" s="212"/>
      <c r="D27" s="213"/>
      <c r="E27" s="213"/>
      <c r="F27" s="213"/>
      <c r="G27" s="252" t="s">
        <v>539</v>
      </c>
      <c r="H27" s="209" t="s">
        <v>345</v>
      </c>
      <c r="I27" s="201"/>
      <c r="J27" s="201"/>
      <c r="K27" s="201"/>
      <c r="L27" s="201"/>
      <c r="M27" s="201"/>
      <c r="N27" s="201"/>
      <c r="O27" s="204"/>
      <c r="Q27" s="211">
        <f t="shared" si="6"/>
        <v>300</v>
      </c>
      <c r="R27" s="578" t="str">
        <f t="shared" si="6"/>
        <v>mA3</v>
      </c>
      <c r="S27" s="232">
        <f t="shared" si="7"/>
        <v>50</v>
      </c>
      <c r="T27" s="206" cm="1">
        <f t="array" ref="T27">IFERROR(
_xlfn.FORECAST.LINEAR(
Q27,
INDEX($AF$22:$AF$63,
MATCH(1,
($AE$22:$AE$63&lt;=Q27)*($AF$22:$AF$63&lt;&gt;"x")*($AB$22:$AB$63=R27)*($AC$22:$AC$63=S27),
0)
):
INDEX($AF$22:$AF$63,
MATCH(1,
($AE$22:$AE$63&gt;=Q27)*($AF$22:$AF$63&lt;&gt;"x")*($AB$22:$AB$63=R27)*($AC$22:$AC$63=S27),
0)
),
INDEX($AE$22:$AE$63,
MATCH(1,
($AE$22:$AE$63&lt;=Q27)*($AF$22:$AF$63&lt;&gt;"x")*($AB$22:$AB$63=R27)*($AC$22:$AC$63=S27),
0)
):
INDEX($AE$22:$AE$63,
MATCH(1,
($AE$22:$AE$63&gt;=Q27)*($AF$22:$AF$63&lt;&gt;"x")*($AB$22:$AB$63=R27)*($AC$22:$AC$63=S27),
0)
)
),INDEX($AF$22:$AF$63,
MATCH(
MIN(IF(($AF$22:$AF$63&lt;&gt;"x")*($AB$22:$AB$63=R27)*($AC$22:$AC$63=S27),ABS($AE$22:$AE$63-Q27))),
IF(($AF$22:$AF$63&lt;&gt;"x")*($AB$22:$AB$63=R27)*($AC$22:$AC$63=S27),ABS($AE$22:$AE$63-Q27)),
0
)))</f>
        <v>8.9704512103036087E-3</v>
      </c>
      <c r="U27" s="206" cm="1">
        <f t="array" ref="U27">IFERROR(
_xlfn.FORECAST.LINEAR(
Q27,
INDEX($AG$22:$AG$63,
MATCH(1,
($AE$22:$AE$63&lt;=Q27)*($AG$22:$AG$63&lt;&gt;"x")*($AB$22:$AB$63=R27)*($AC$22:$AC$63=S27),
0)
):
INDEX($AG$22:$AG$63,
MATCH(1,
($AE$22:$AE$63&gt;=Q27)*($AG$22:$AG$63&lt;&gt;"x")*($AB$22:$AB$63=R27)*($AC$22:$AC$63=S27),
0)
),
INDEX($AE$22:$AE$63,
MATCH(1,
($AE$22:$AE$63&lt;=Q27)*($AG$22:$AG$63&lt;&gt;"x")*($AB$22:$AB$63=R27)*($AC$22:$AC$63=S27),
0)
):
INDEX($AE$22:$AE$63,
MATCH(1,
($AE$22:$AE$63&gt;=Q27)*($AG$22:$AG$63&lt;&gt;"x")*($AB$22:$AB$63=R27)*($AC$22:$AC$63=S27),
0)
)
),INDEX($AG$22:$AG$63,
MATCH(
MIN(IF(($AG$22:$AG$63&lt;&gt;"x")*($AB$22:$AB$63=R27)*($AC$22:$AC$63=S27),ABS($AE$22:$AE$63-Q27))),
IF(($AG$22:$AG$63&lt;&gt;"x")*($AB$22:$AB$63=R27)*($AC$22:$AC$63=S27),ABS($AE$22:$AE$63-Q27)),
0
)))</f>
        <v>1.4E-2</v>
      </c>
      <c r="V27" s="236" cm="1">
        <f t="array" ref="V27">IFERROR(
_xlfn.FORECAST.LINEAR(
Q27,
INDEX($AH$22:$AH$63,
MATCH(1,
($AE$22:$AE$63&lt;=Q27)*($AH$22:$AH$63&lt;&gt;"x")*($AB$22:$AB$63=R27)*($AC$22:$AC$63=S27),
0)
):
INDEX($AH$22:$AH$63,
MATCH(1,
($AE$22:$AE$63&gt;=Q27)*($AH$22:$AH$63&lt;&gt;"x")*($AB$22:$AB$63=R27)*($AC$22:$AC$63=S27),
0)
),
INDEX($AE$22:$AE$63,
MATCH(1,
($AE$22:$AE$63&lt;=Q27)*($AH$22:$AH$63&lt;&gt;"x")*($AB$22:$AB$63=R27)*($AC$22:$AC$63=S27),
0)
):
INDEX($AE$22:$AE$63,
MATCH(1,
($AE$22:$AE$63&gt;=Q27)*($AH$22:$AH$63&lt;&gt;"x")*($AB$22:$AB$63=R27)*($AC$22:$AC$63=S27),
0)
)
),INDEX($AH$22:$AH$63,
MATCH(
MIN(IF(($AH$22:$AH$63&lt;&gt;"x")*($AB$22:$AB$63=R27)*($AC$22:$AC$63=S27),ABS($AE$22:$AE$63-Q27))),
IF(($AH$22:$AH$63&lt;&gt;"x")*($AB$22:$AB$63=R27)*($AC$22:$AC$63=S27),ABS($AE$22:$AE$63-Q27)),
0
)))</f>
        <v>0</v>
      </c>
      <c r="W27" s="236" cm="1">
        <f t="array" ref="W27">IFERROR(
_xlfn.FORECAST.LINEAR(
Q27,
INDEX($AI$22:$AI$63,
MATCH(1,
($AE$22:$AE$63&lt;=Q27)*($AI$22:$AI$63&lt;&gt;"x")*($AB$22:$AB$63=R27)*($AC$22:$AC$63=S27),
0)
):
INDEX($AI$22:$AI$63,
MATCH(1,
($AE$22:$AE$63&gt;=Q27)*($AI$22:$AI$63&lt;&gt;"x")*($AB$22:$AB$63=R27)*($AC$22:$AC$63=S27),
0)
),
INDEX($AE$22:$AE$63,
MATCH(1,
($AE$22:$AE$63&lt;=Q27)*($AI$22:$AI$63&lt;&gt;"x")*($AB$22:$AB$63=R27)*($AC$22:$AC$63=S27),
0)
):
INDEX($AE$22:$AE$63,
MATCH(1,
($AE$22:$AE$63&gt;=Q27)*($AI$22:$AI$63&lt;&gt;"x")*($AB$22:$AB$63=R27)*($AC$22:$AC$63=S27),
0)
)
),INDEX($AI$22:$AI$63,
MATCH(
MIN(IF(($AI$22:$AI$63&lt;&gt;"x")*($AB$22:$AB$63=R27)*($AC$22:$AC$63=S27),ABS($AE$22:$AE$63-Q27))),
IF(($AI$22:$AI$63&lt;&gt;"x")*($AB$22:$AB$63=R27)*($AC$22:$AC$63=S27),ABS($AE$22:$AE$63-Q27)),
0
)))</f>
        <v>1.9E-2</v>
      </c>
      <c r="X27" s="581">
        <f t="shared" si="8"/>
        <v>1.3995828089374515E-2</v>
      </c>
      <c r="Y27" s="232">
        <f>AJ42</f>
        <v>9.1999999999999998E-2</v>
      </c>
      <c r="AA27" s="188"/>
      <c r="AB27" s="668" t="s">
        <v>662</v>
      </c>
      <c r="AC27" s="188">
        <v>1000</v>
      </c>
      <c r="AD27" s="427" t="s">
        <v>39</v>
      </c>
      <c r="AE27" s="192">
        <v>1</v>
      </c>
      <c r="AF27" s="192">
        <v>3.6000000000000002E-4</v>
      </c>
      <c r="AG27" s="191">
        <v>3.1E-4</v>
      </c>
      <c r="AH27" s="191">
        <v>2.4000000000000001E-4</v>
      </c>
      <c r="AI27" s="189">
        <v>4.8000000000000001E-4</v>
      </c>
      <c r="AJ27" s="428">
        <v>7.5000000000000002E-4</v>
      </c>
    </row>
    <row r="28" spans="3:36" ht="14.4" x14ac:dyDescent="0.3">
      <c r="C28" s="212"/>
      <c r="D28" s="213"/>
      <c r="E28" s="213"/>
      <c r="F28" s="213"/>
      <c r="G28" s="252" t="s">
        <v>540</v>
      </c>
      <c r="H28" s="209" t="s">
        <v>347</v>
      </c>
      <c r="I28" s="201"/>
      <c r="J28" s="201"/>
      <c r="K28" s="201"/>
      <c r="L28" s="201"/>
      <c r="M28" s="201"/>
      <c r="N28" s="201"/>
      <c r="O28" s="204"/>
      <c r="Q28" s="214">
        <f t="shared" si="6"/>
        <v>0.54</v>
      </c>
      <c r="R28" s="578" t="str">
        <f t="shared" si="6"/>
        <v>A1</v>
      </c>
      <c r="S28" s="232">
        <f t="shared" si="7"/>
        <v>50</v>
      </c>
      <c r="T28" s="206" cm="1">
        <f t="array" ref="T28">IFERROR(
_xlfn.FORECAST.LINEAR(
Q28,
INDEX($AF$22:$AF$63,
MATCH(1,
($AE$22:$AE$63&lt;=Q28)*($AF$22:$AF$63&lt;&gt;"x")*($AB$22:$AB$63=R28)*($AC$22:$AC$63=S28),
0)
):
INDEX($AF$22:$AF$63,
MATCH(1,
($AE$22:$AE$63&gt;=Q28)*($AF$22:$AF$63&lt;&gt;"x")*($AB$22:$AB$63=R28)*($AC$22:$AC$63=S28),
0)
),
INDEX($AE$22:$AE$63,
MATCH(1,
($AE$22:$AE$63&lt;=Q28)*($AF$22:$AF$63&lt;&gt;"x")*($AB$22:$AB$63=R28)*($AC$22:$AC$63=S28),
0)
):
INDEX($AE$22:$AE$63,
MATCH(1,
($AE$22:$AE$63&gt;=Q28)*($AF$22:$AF$63&lt;&gt;"x")*($AB$22:$AB$63=R28)*($AC$22:$AC$63=S28),
0)
)
),INDEX($AF$22:$AF$63,
MATCH(
MIN(IF(($AF$22:$AF$63&lt;&gt;"x")*($AB$22:$AB$63=R28)*($AC$22:$AC$63=S28),ABS($AE$22:$AE$63-Q28))),
IF(($AF$22:$AF$63&lt;&gt;"x")*($AB$22:$AB$63=R28)*($AC$22:$AC$63=S28),ABS($AE$22:$AE$63-Q28)),
0
)))</f>
        <v>-7.2537313432835825E-5</v>
      </c>
      <c r="U28" s="206" cm="1">
        <f t="array" ref="U28">IFERROR(
_xlfn.FORECAST.LINEAR(
Q28,
INDEX($AG$22:$AG$63,
MATCH(1,
($AE$22:$AE$63&lt;=Q28)*($AG$22:$AG$63&lt;&gt;"x")*($AB$22:$AB$63=R28)*($AC$22:$AC$63=S28),
0)
):
INDEX($AG$22:$AG$63,
MATCH(1,
($AE$22:$AE$63&gt;=Q28)*($AG$22:$AG$63&lt;&gt;"x")*($AB$22:$AB$63=R28)*($AC$22:$AC$63=S28),
0)
),
INDEX($AE$22:$AE$63,
MATCH(1,
($AE$22:$AE$63&lt;=Q28)*($AG$22:$AG$63&lt;&gt;"x")*($AB$22:$AB$63=R28)*($AC$22:$AC$63=S28),
0)
):
INDEX($AE$22:$AE$63,
MATCH(1,
($AE$22:$AE$63&gt;=Q28)*($AG$22:$AG$63&lt;&gt;"x")*($AB$22:$AB$63=R28)*($AC$22:$AC$63=S28),
0)
)
),INDEX($AG$22:$AG$63,
MATCH(
MIN(IF(($AG$22:$AG$63&lt;&gt;"x")*($AB$22:$AB$63=R28)*($AC$22:$AC$63=S28),ABS($AE$22:$AE$63-Q28))),
IF(($AG$22:$AG$63&lt;&gt;"x")*($AB$22:$AB$63=R28)*($AC$22:$AC$63=S28),ABS($AE$22:$AE$63-Q28)),
0
)))</f>
        <v>0</v>
      </c>
      <c r="V28" s="236" cm="1">
        <f t="array" ref="V28">IFERROR(
_xlfn.FORECAST.LINEAR(
Q28,
INDEX($AH$22:$AH$63,
MATCH(1,
($AE$22:$AE$63&lt;=Q28)*($AH$22:$AH$63&lt;&gt;"x")*($AB$22:$AB$63=R28)*($AC$22:$AC$63=S28),
0)
):
INDEX($AH$22:$AH$63,
MATCH(1,
($AE$22:$AE$63&gt;=Q28)*($AH$22:$AH$63&lt;&gt;"x")*($AB$22:$AB$63=R28)*($AC$22:$AC$63=S28),
0)
),
INDEX($AE$22:$AE$63,
MATCH(1,
($AE$22:$AE$63&lt;=Q28)*($AH$22:$AH$63&lt;&gt;"x")*($AB$22:$AB$63=R28)*($AC$22:$AC$63=S28),
0)
):
INDEX($AE$22:$AE$63,
MATCH(1,
($AE$22:$AE$63&gt;=Q28)*($AH$22:$AH$63&lt;&gt;"x")*($AB$22:$AB$63=R28)*($AC$22:$AC$63=S28),
0)
)
),INDEX($AH$22:$AH$63,
MATCH(
MIN(IF(($AH$22:$AH$63&lt;&gt;"x")*($AB$22:$AB$63=R28)*($AC$22:$AC$63=S28),ABS($AE$22:$AE$63-Q28))),
IF(($AH$22:$AH$63&lt;&gt;"x")*($AB$22:$AB$63=R28)*($AC$22:$AC$63=S28),ABS($AE$22:$AE$63-Q28)),
0
)))</f>
        <v>-1E-4</v>
      </c>
      <c r="W28" s="236" cm="1">
        <f t="array" ref="W28">IFERROR(
_xlfn.FORECAST.LINEAR(
Q28,
INDEX($AI$22:$AI$63,
MATCH(1,
($AE$22:$AE$63&lt;=Q28)*($AI$22:$AI$63&lt;&gt;"x")*($AB$22:$AB$63=R28)*($AC$22:$AC$63=S28),
0)
):
INDEX($AI$22:$AI$63,
MATCH(1,
($AE$22:$AE$63&gt;=Q28)*($AI$22:$AI$63&lt;&gt;"x")*($AB$22:$AB$63=R28)*($AC$22:$AC$63=S28),
0)
),
INDEX($AE$22:$AE$63,
MATCH(1,
($AE$22:$AE$63&lt;=Q28)*($AI$22:$AI$63&lt;&gt;"x")*($AB$22:$AB$63=R28)*($AC$22:$AC$63=S28),
0)
):
INDEX($AE$22:$AE$63,
MATCH(1,
($AE$22:$AE$63&gt;=Q28)*($AI$22:$AI$63&lt;&gt;"x")*($AB$22:$AB$63=R28)*($AC$22:$AC$63=S28),
0)
)
),INDEX($AI$22:$AI$63,
MATCH(
MIN(IF(($AI$22:$AI$63&lt;&gt;"x")*($AB$22:$AB$63=R28)*($AC$22:$AC$63=S28),ABS($AE$22:$AE$63-Q28))),
IF(($AI$22:$AI$63&lt;&gt;"x")*($AB$22:$AB$63=R28)*($AC$22:$AC$63=S28),ABS($AE$22:$AE$63-Q28)),
0
)))</f>
        <v>2.0000000000000001E-4</v>
      </c>
      <c r="X28" s="581">
        <f t="shared" si="8"/>
        <v>1.8166250449900157E-4</v>
      </c>
      <c r="Y28" s="232">
        <f>AJ44</f>
        <v>7.7999999999999999E-4</v>
      </c>
      <c r="AA28" s="426"/>
      <c r="AB28" s="668" t="s">
        <v>662</v>
      </c>
      <c r="AC28" s="426">
        <v>10000</v>
      </c>
      <c r="AD28" s="427" t="s">
        <v>39</v>
      </c>
      <c r="AE28" s="441">
        <v>1</v>
      </c>
      <c r="AF28" s="433">
        <v>4.0000000000000002E-4</v>
      </c>
      <c r="AG28" s="433">
        <v>2.3999999999999998E-3</v>
      </c>
      <c r="AH28" s="433">
        <v>2.3E-3</v>
      </c>
      <c r="AI28" s="195">
        <v>8.0000000000000004E-4</v>
      </c>
      <c r="AJ28" s="195">
        <v>1E-3</v>
      </c>
    </row>
    <row r="29" spans="3:36" ht="14.4" x14ac:dyDescent="0.3">
      <c r="C29" s="212"/>
      <c r="D29" s="213"/>
      <c r="E29" s="213"/>
      <c r="F29" s="213"/>
      <c r="G29" s="252" t="s">
        <v>541</v>
      </c>
      <c r="H29" s="209" t="s">
        <v>349</v>
      </c>
      <c r="I29" s="201"/>
      <c r="J29" s="201"/>
      <c r="K29" s="201"/>
      <c r="L29" s="201"/>
      <c r="M29" s="201"/>
      <c r="N29" s="201"/>
      <c r="O29" s="204"/>
      <c r="Q29" s="214">
        <f t="shared" ref="Q29:Q34" si="9">E8</f>
        <v>0.60000000000000009</v>
      </c>
      <c r="R29" s="578" t="str">
        <f t="shared" ref="R29:R34" si="10">F8</f>
        <v>A1</v>
      </c>
      <c r="S29" s="232">
        <f t="shared" si="7"/>
        <v>50</v>
      </c>
      <c r="T29" s="206" cm="1">
        <f t="array" ref="T29">IFERROR(
_xlfn.FORECAST.LINEAR(
Q29,
INDEX($AF$22:$AF$63,
MATCH(1,
($AE$22:$AE$63&lt;=Q29)*($AF$22:$AF$63&lt;&gt;"x")*($AB$22:$AB$63=R29)*($AC$22:$AC$63=S29),
0)
):
INDEX($AF$22:$AF$63,
MATCH(1,
($AE$22:$AE$63&gt;=Q29)*($AF$22:$AF$63&lt;&gt;"x")*($AB$22:$AB$63=R29)*($AC$22:$AC$63=S29),
0)
),
INDEX($AE$22:$AE$63,
MATCH(1,
($AE$22:$AE$63&lt;=Q29)*($AF$22:$AF$63&lt;&gt;"x")*($AB$22:$AB$63=R29)*($AC$22:$AC$63=S29),
0)
):
INDEX($AE$22:$AE$63,
MATCH(1,
($AE$22:$AE$63&gt;=Q29)*($AF$22:$AF$63&lt;&gt;"x")*($AB$22:$AB$63=R29)*($AC$22:$AC$63=S29),
0)
)
),INDEX($AF$22:$AF$63,
MATCH(
MIN(IF(($AF$22:$AF$63&lt;&gt;"x")*($AB$22:$AB$63=R29)*($AC$22:$AC$63=S29),ABS($AE$22:$AE$63-Q29))),
IF(($AF$22:$AF$63&lt;&gt;"x")*($AB$22:$AB$63=R29)*($AC$22:$AC$63=S29),ABS($AE$22:$AE$63-Q29)),
0
)))</f>
        <v>-7.6119402985074625E-5</v>
      </c>
      <c r="U29" s="206" cm="1">
        <f t="array" ref="U29">IFERROR(
_xlfn.FORECAST.LINEAR(
Q29,
INDEX($AG$22:$AG$63,
MATCH(1,
($AE$22:$AE$63&lt;=Q29)*($AG$22:$AG$63&lt;&gt;"x")*($AB$22:$AB$63=R29)*($AC$22:$AC$63=S29),
0)
):
INDEX($AG$22:$AG$63,
MATCH(1,
($AE$22:$AE$63&gt;=Q29)*($AG$22:$AG$63&lt;&gt;"x")*($AB$22:$AB$63=R29)*($AC$22:$AC$63=S29),
0)
),
INDEX($AE$22:$AE$63,
MATCH(1,
($AE$22:$AE$63&lt;=Q29)*($AG$22:$AG$63&lt;&gt;"x")*($AB$22:$AB$63=R29)*($AC$22:$AC$63=S29),
0)
):
INDEX($AE$22:$AE$63,
MATCH(1,
($AE$22:$AE$63&gt;=Q29)*($AG$22:$AG$63&lt;&gt;"x")*($AB$22:$AB$63=R29)*($AC$22:$AC$63=S29),
0)
)
),INDEX($AG$22:$AG$63,
MATCH(
MIN(IF(($AG$22:$AG$63&lt;&gt;"x")*($AB$22:$AB$63=R29)*($AC$22:$AC$63=S29),ABS($AE$22:$AE$63-Q29))),
IF(($AG$22:$AG$63&lt;&gt;"x")*($AB$22:$AB$63=R29)*($AC$22:$AC$63=S29),ABS($AE$22:$AE$63-Q29)),
0
)))</f>
        <v>0</v>
      </c>
      <c r="V29" s="236" cm="1">
        <f t="array" ref="V29">IFERROR(
_xlfn.FORECAST.LINEAR(
Q29,
INDEX($AH$22:$AH$63,
MATCH(1,
($AE$22:$AE$63&lt;=Q29)*($AH$22:$AH$63&lt;&gt;"x")*($AB$22:$AB$63=R29)*($AC$22:$AC$63=S29),
0)
):
INDEX($AH$22:$AH$63,
MATCH(1,
($AE$22:$AE$63&gt;=Q29)*($AH$22:$AH$63&lt;&gt;"x")*($AB$22:$AB$63=R29)*($AC$22:$AC$63=S29),
0)
),
INDEX($AE$22:$AE$63,
MATCH(1,
($AE$22:$AE$63&lt;=Q29)*($AH$22:$AH$63&lt;&gt;"x")*($AB$22:$AB$63=R29)*($AC$22:$AC$63=S29),
0)
):
INDEX($AE$22:$AE$63,
MATCH(1,
($AE$22:$AE$63&gt;=Q29)*($AH$22:$AH$63&lt;&gt;"x")*($AB$22:$AB$63=R29)*($AC$22:$AC$63=S29),
0)
)
),INDEX($AH$22:$AH$63,
MATCH(
MIN(IF(($AH$22:$AH$63&lt;&gt;"x")*($AB$22:$AB$63=R29)*($AC$22:$AC$63=S29),ABS($AE$22:$AE$63-Q29))),
IF(($AH$22:$AH$63&lt;&gt;"x")*($AB$22:$AB$63=R29)*($AC$22:$AC$63=S29),ABS($AE$22:$AE$63-Q29)),
0
)))</f>
        <v>-1E-4</v>
      </c>
      <c r="W29" s="236" cm="1">
        <f t="array" ref="W29">IFERROR(
_xlfn.FORECAST.LINEAR(
Q29,
INDEX($AI$22:$AI$63,
MATCH(1,
($AE$22:$AE$63&lt;=Q29)*($AI$22:$AI$63&lt;&gt;"x")*($AB$22:$AB$63=R29)*($AC$22:$AC$63=S29),
0)
):
INDEX($AI$22:$AI$63,
MATCH(1,
($AE$22:$AE$63&gt;=Q29)*($AI$22:$AI$63&lt;&gt;"x")*($AB$22:$AB$63=R29)*($AC$22:$AC$63=S29),
0)
),
INDEX($AE$22:$AE$63,
MATCH(1,
($AE$22:$AE$63&lt;=Q29)*($AI$22:$AI$63&lt;&gt;"x")*($AB$22:$AB$63=R29)*($AC$22:$AC$63=S29),
0)
):
INDEX($AE$22:$AE$63,
MATCH(1,
($AE$22:$AE$63&gt;=Q29)*($AI$22:$AI$63&lt;&gt;"x")*($AB$22:$AB$63=R29)*($AC$22:$AC$63=S29),
0)
)
),INDEX($AI$22:$AI$63,
MATCH(
MIN(IF(($AI$22:$AI$63&lt;&gt;"x")*($AB$22:$AB$63=R29)*($AC$22:$AC$63=S29),ABS($AE$22:$AE$63-Q29))),
IF(($AI$22:$AI$63&lt;&gt;"x")*($AB$22:$AB$63=R29)*($AC$22:$AC$63=S29),ABS($AE$22:$AE$63-Q29)),
0
)))</f>
        <v>2.0000000000000001E-4</v>
      </c>
      <c r="X29" s="578">
        <f t="shared" si="8"/>
        <v>1.8270219441604384E-4</v>
      </c>
      <c r="Y29" s="232">
        <f>AJ45</f>
        <v>1.2999999999999999E-3</v>
      </c>
      <c r="AA29" s="188">
        <v>32.999000000000002</v>
      </c>
      <c r="AB29" s="669" t="s">
        <v>663</v>
      </c>
      <c r="AC29" s="424">
        <v>40</v>
      </c>
      <c r="AD29" s="196" t="s">
        <v>39</v>
      </c>
      <c r="AE29" s="438">
        <v>10</v>
      </c>
      <c r="AF29" s="432">
        <v>6.9999999999999999E-4</v>
      </c>
      <c r="AG29" s="432">
        <v>5.9999999999999995E-4</v>
      </c>
      <c r="AH29" s="432">
        <v>-4.0000000000000002E-4</v>
      </c>
      <c r="AI29" s="425">
        <v>2.0999999999999999E-3</v>
      </c>
      <c r="AJ29" s="425">
        <v>7.4999999999999997E-3</v>
      </c>
    </row>
    <row r="30" spans="3:36" x14ac:dyDescent="0.25">
      <c r="C30" s="212"/>
      <c r="D30" s="213"/>
      <c r="E30" s="213"/>
      <c r="F30" s="213"/>
      <c r="G30" s="201"/>
      <c r="H30" s="215"/>
      <c r="I30" s="201"/>
      <c r="J30" s="201"/>
      <c r="K30" s="201"/>
      <c r="L30" s="201"/>
      <c r="M30" s="201"/>
      <c r="N30" s="201"/>
      <c r="O30" s="204"/>
      <c r="Q30" s="205">
        <f t="shared" si="9"/>
        <v>3</v>
      </c>
      <c r="R30" s="578" t="str">
        <f t="shared" si="10"/>
        <v>A2</v>
      </c>
      <c r="S30" s="232">
        <f t="shared" si="7"/>
        <v>50</v>
      </c>
      <c r="T30" s="206" cm="1">
        <f t="array" ref="T30">IFERROR(
_xlfn.FORECAST.LINEAR(
Q30,
INDEX($AF$22:$AF$63,
MATCH(1,
($AE$22:$AE$63&lt;=Q30)*($AF$22:$AF$63&lt;&gt;"x")*($AB$22:$AB$63=R30)*($AC$22:$AC$63=S30),
0)
):
INDEX($AF$22:$AF$63,
MATCH(1,
($AE$22:$AE$63&gt;=Q30)*($AF$22:$AF$63&lt;&gt;"x")*($AB$22:$AB$63=R30)*($AC$22:$AC$63=S30),
0)
),
INDEX($AE$22:$AE$63,
MATCH(1,
($AE$22:$AE$63&lt;=Q30)*($AF$22:$AF$63&lt;&gt;"x")*($AB$22:$AB$63=R30)*($AC$22:$AC$63=S30),
0)
):
INDEX($AE$22:$AE$63,
MATCH(1,
($AE$22:$AE$63&gt;=Q30)*($AF$22:$AF$63&lt;&gt;"x")*($AB$22:$AB$63=R30)*($AC$22:$AC$63=S30),
0)
)
),INDEX($AF$22:$AF$63,
MATCH(
MIN(IF(($AF$22:$AF$63&lt;&gt;"x")*($AB$22:$AB$63=R30)*($AC$22:$AC$63=S30),ABS($AE$22:$AE$63-Q30))),
IF(($AF$22:$AF$63&lt;&gt;"x")*($AB$22:$AB$63=R30)*($AC$22:$AC$63=S30),ABS($AE$22:$AE$63-Q30)),
0
)))</f>
        <v>-4.7435897435897439E-4</v>
      </c>
      <c r="U30" s="206" cm="1">
        <f t="array" ref="U30">IFERROR(
_xlfn.FORECAST.LINEAR(
Q30,
INDEX($AG$22:$AG$63,
MATCH(1,
($AE$22:$AE$63&lt;=Q30)*($AG$22:$AG$63&lt;&gt;"x")*($AB$22:$AB$63=R30)*($AC$22:$AC$63=S30),
0)
):
INDEX($AG$22:$AG$63,
MATCH(1,
($AE$22:$AE$63&gt;=Q30)*($AG$22:$AG$63&lt;&gt;"x")*($AB$22:$AB$63=R30)*($AC$22:$AC$63=S30),
0)
),
INDEX($AE$22:$AE$63,
MATCH(1,
($AE$22:$AE$63&lt;=Q30)*($AG$22:$AG$63&lt;&gt;"x")*($AB$22:$AB$63=R30)*($AC$22:$AC$63=S30),
0)
):
INDEX($AE$22:$AE$63,
MATCH(1,
($AE$22:$AE$63&gt;=Q30)*($AG$22:$AG$63&lt;&gt;"x")*($AB$22:$AB$63=R30)*($AC$22:$AC$63=S30),
0)
)
),INDEX($AG$22:$AG$63,
MATCH(
MIN(IF(($AG$22:$AG$63&lt;&gt;"x")*($AB$22:$AB$63=R30)*($AC$22:$AC$63=S30),ABS($AE$22:$AE$63-Q30))),
IF(($AG$22:$AG$63&lt;&gt;"x")*($AB$22:$AB$63=R30)*($AC$22:$AC$63=S30),ABS($AE$22:$AE$63-Q30)),
0
)))</f>
        <v>-2E-3</v>
      </c>
      <c r="V30" s="236" cm="1">
        <f t="array" ref="V30">IFERROR(
_xlfn.FORECAST.LINEAR(
Q30,
INDEX($AH$22:$AH$63,
MATCH(1,
($AE$22:$AE$63&lt;=Q30)*($AH$22:$AH$63&lt;&gt;"x")*($AB$22:$AB$63=R30)*($AC$22:$AC$63=S30),
0)
):
INDEX($AH$22:$AH$63,
MATCH(1,
($AE$22:$AE$63&gt;=Q30)*($AH$22:$AH$63&lt;&gt;"x")*($AB$22:$AB$63=R30)*($AC$22:$AC$63=S30),
0)
),
INDEX($AE$22:$AE$63,
MATCH(1,
($AE$22:$AE$63&lt;=Q30)*($AH$22:$AH$63&lt;&gt;"x")*($AB$22:$AB$63=R30)*($AC$22:$AC$63=S30),
0)
):
INDEX($AE$22:$AE$63,
MATCH(1,
($AE$22:$AE$63&gt;=Q30)*($AH$22:$AH$63&lt;&gt;"x")*($AB$22:$AB$63=R30)*($AC$22:$AC$63=S30),
0)
)
),INDEX($AH$22:$AH$63,
MATCH(
MIN(IF(($AH$22:$AH$63&lt;&gt;"x")*($AB$22:$AB$63=R30)*($AC$22:$AC$63=S30),ABS($AE$22:$AE$63-Q30))),
IF(($AH$22:$AH$63&lt;&gt;"x")*($AB$22:$AB$63=R30)*($AC$22:$AC$63=S30),ABS($AE$22:$AE$63-Q30)),
0
)))</f>
        <v>0</v>
      </c>
      <c r="W30" s="236" cm="1">
        <f t="array" ref="W30">IFERROR(
_xlfn.FORECAST.LINEAR(
Q30,
INDEX($AI$22:$AI$63,
MATCH(1,
($AE$22:$AE$63&lt;=Q30)*($AI$22:$AI$63&lt;&gt;"x")*($AB$22:$AB$63=R30)*($AC$22:$AC$63=S30),
0)
):
INDEX($AI$22:$AI$63,
MATCH(1,
($AE$22:$AE$63&gt;=Q30)*($AI$22:$AI$63&lt;&gt;"x")*($AB$22:$AB$63=R30)*($AC$22:$AC$63=S30),
0)
),
INDEX($AE$22:$AE$63,
MATCH(1,
($AE$22:$AE$63&lt;=Q30)*($AI$22:$AI$63&lt;&gt;"x")*($AB$22:$AB$63=R30)*($AC$22:$AC$63=S30),
0)
):
INDEX($AE$22:$AE$63,
MATCH(1,
($AE$22:$AE$63&gt;=Q30)*($AI$22:$AI$63&lt;&gt;"x")*($AB$22:$AB$63=R30)*($AC$22:$AC$63=S30),
0)
)
),INDEX($AI$22:$AI$63,
MATCH(
MIN(IF(($AI$22:$AI$63&lt;&gt;"x")*($AB$22:$AB$63=R30)*($AC$22:$AC$63=S30),ABS($AE$22:$AE$63-Q30))),
IF(($AI$22:$AI$63&lt;&gt;"x")*($AB$22:$AB$63=R30)*($AC$22:$AC$63=S30),ABS($AE$22:$AE$63-Q30)),
0
)))</f>
        <v>-2E-3</v>
      </c>
      <c r="X30" s="578">
        <f t="shared" si="8"/>
        <v>1.9246903278804218E-3</v>
      </c>
      <c r="Y30" s="232">
        <f>AJ51</f>
        <v>8.3999999999999995E-3</v>
      </c>
      <c r="AA30" s="424"/>
      <c r="AB30" s="669" t="s">
        <v>663</v>
      </c>
      <c r="AC30" s="188">
        <v>50</v>
      </c>
      <c r="AD30" s="427" t="s">
        <v>39</v>
      </c>
      <c r="AE30" s="192">
        <v>3.3</v>
      </c>
      <c r="AF30" s="192">
        <v>-1E-4</v>
      </c>
      <c r="AG30" s="660" t="s">
        <v>637</v>
      </c>
      <c r="AH30" s="660" t="s">
        <v>637</v>
      </c>
      <c r="AI30" s="660" t="s">
        <v>637</v>
      </c>
      <c r="AJ30" s="189">
        <v>5.1000000000000004E-3</v>
      </c>
    </row>
    <row r="31" spans="3:36" x14ac:dyDescent="0.25">
      <c r="C31" s="207" t="s">
        <v>76</v>
      </c>
      <c r="D31" s="200"/>
      <c r="E31" s="200"/>
      <c r="F31" s="200">
        <f>C$2</f>
        <v>50</v>
      </c>
      <c r="G31" s="217" t="str">
        <f>D$2</f>
        <v>Hz</v>
      </c>
      <c r="H31" s="218">
        <f>C$3</f>
        <v>50</v>
      </c>
      <c r="I31" s="215" t="str">
        <f>D$3</f>
        <v>Hz</v>
      </c>
      <c r="J31" s="199"/>
      <c r="K31" s="199"/>
      <c r="L31" s="199"/>
      <c r="M31" s="199"/>
      <c r="N31" s="199"/>
      <c r="O31" s="289" t="s">
        <v>536</v>
      </c>
      <c r="Q31" s="205">
        <f t="shared" si="9"/>
        <v>5.4</v>
      </c>
      <c r="R31" s="578" t="str">
        <f t="shared" si="10"/>
        <v>A2</v>
      </c>
      <c r="S31" s="232">
        <f t="shared" si="7"/>
        <v>50</v>
      </c>
      <c r="T31" s="206" cm="1">
        <f t="array" ref="T31">IFERROR(
_xlfn.FORECAST.LINEAR(
Q31,
INDEX($AF$22:$AF$63,
MATCH(1,
($AE$22:$AE$63&lt;=Q31)*($AF$22:$AF$63&lt;&gt;"x")*($AB$22:$AB$63=R31)*($AC$22:$AC$63=S31),
0)
):
INDEX($AF$22:$AF$63,
MATCH(1,
($AE$22:$AE$63&gt;=Q31)*($AF$22:$AF$63&lt;&gt;"x")*($AB$22:$AB$63=R31)*($AC$22:$AC$63=S31),
0)
),
INDEX($AE$22:$AE$63,
MATCH(1,
($AE$22:$AE$63&lt;=Q31)*($AF$22:$AF$63&lt;&gt;"x")*($AB$22:$AB$63=R31)*($AC$22:$AC$63=S31),
0)
):
INDEX($AE$22:$AE$63,
MATCH(1,
($AE$22:$AE$63&gt;=Q31)*($AF$22:$AF$63&lt;&gt;"x")*($AB$22:$AB$63=R31)*($AC$22:$AC$63=S31),
0)
)
),INDEX($AF$22:$AF$63,
MATCH(
MIN(IF(($AF$22:$AF$63&lt;&gt;"x")*($AB$22:$AB$63=R31)*($AC$22:$AC$63=S31),ABS($AE$22:$AE$63-Q31))),
IF(($AF$22:$AF$63&lt;&gt;"x")*($AB$22:$AB$63=R31)*($AC$22:$AC$63=S31),ABS($AE$22:$AE$63-Q31)),
0
)))</f>
        <v>-9.9743589743589759E-4</v>
      </c>
      <c r="U31" s="206" cm="1">
        <f t="array" ref="U31">IFERROR(
_xlfn.FORECAST.LINEAR(
Q31,
INDEX($AG$22:$AG$63,
MATCH(1,
($AE$22:$AE$63&lt;=Q31)*($AG$22:$AG$63&lt;&gt;"x")*($AB$22:$AB$63=R31)*($AC$22:$AC$63=S31),
0)
):
INDEX($AG$22:$AG$63,
MATCH(1,
($AE$22:$AE$63&gt;=Q31)*($AG$22:$AG$63&lt;&gt;"x")*($AB$22:$AB$63=R31)*($AC$22:$AC$63=S31),
0)
),
INDEX($AE$22:$AE$63,
MATCH(1,
($AE$22:$AE$63&lt;=Q31)*($AG$22:$AG$63&lt;&gt;"x")*($AB$22:$AB$63=R31)*($AC$22:$AC$63=S31),
0)
):
INDEX($AE$22:$AE$63,
MATCH(1,
($AE$22:$AE$63&gt;=Q31)*($AG$22:$AG$63&lt;&gt;"x")*($AB$22:$AB$63=R31)*($AC$22:$AC$63=S31),
0)
)
),INDEX($AG$22:$AG$63,
MATCH(
MIN(IF(($AG$22:$AG$63&lt;&gt;"x")*($AB$22:$AB$63=R31)*($AC$22:$AC$63=S31),ABS($AE$22:$AE$63-Q31))),
IF(($AG$22:$AG$63&lt;&gt;"x")*($AB$22:$AB$63=R31)*($AC$22:$AC$63=S31),ABS($AE$22:$AE$63-Q31)),
0
)))</f>
        <v>-2E-3</v>
      </c>
      <c r="V31" s="236" cm="1">
        <f t="array" ref="V31">IFERROR(
_xlfn.FORECAST.LINEAR(
Q31,
INDEX($AH$22:$AH$63,
MATCH(1,
($AE$22:$AE$63&lt;=Q31)*($AH$22:$AH$63&lt;&gt;"x")*($AB$22:$AB$63=R31)*($AC$22:$AC$63=S31),
0)
):
INDEX($AH$22:$AH$63,
MATCH(1,
($AE$22:$AE$63&gt;=Q31)*($AH$22:$AH$63&lt;&gt;"x")*($AB$22:$AB$63=R31)*($AC$22:$AC$63=S31),
0)
),
INDEX($AE$22:$AE$63,
MATCH(1,
($AE$22:$AE$63&lt;=Q31)*($AH$22:$AH$63&lt;&gt;"x")*($AB$22:$AB$63=R31)*($AC$22:$AC$63=S31),
0)
):
INDEX($AE$22:$AE$63,
MATCH(1,
($AE$22:$AE$63&gt;=Q31)*($AH$22:$AH$63&lt;&gt;"x")*($AB$22:$AB$63=R31)*($AC$22:$AC$63=S31),
0)
)
),INDEX($AH$22:$AH$63,
MATCH(
MIN(IF(($AH$22:$AH$63&lt;&gt;"x")*($AB$22:$AB$63=R31)*($AC$22:$AC$63=S31),ABS($AE$22:$AE$63-Q31))),
IF(($AH$22:$AH$63&lt;&gt;"x")*($AB$22:$AB$63=R31)*($AC$22:$AC$63=S31),ABS($AE$22:$AE$63-Q31)),
0
)))</f>
        <v>0</v>
      </c>
      <c r="W31" s="236" cm="1">
        <f t="array" ref="W31">IFERROR(
_xlfn.FORECAST.LINEAR(
Q31,
INDEX($AI$22:$AI$63,
MATCH(1,
($AE$22:$AE$63&lt;=Q31)*($AI$22:$AI$63&lt;&gt;"x")*($AB$22:$AB$63=R31)*($AC$22:$AC$63=S31),
0)
):
INDEX($AI$22:$AI$63,
MATCH(1,
($AE$22:$AE$63&gt;=Q31)*($AI$22:$AI$63&lt;&gt;"x")*($AB$22:$AB$63=R31)*($AC$22:$AC$63=S31),
0)
),
INDEX($AE$22:$AE$63,
MATCH(1,
($AE$22:$AE$63&lt;=Q31)*($AI$22:$AI$63&lt;&gt;"x")*($AB$22:$AB$63=R31)*($AC$22:$AC$63=S31),
0)
):
INDEX($AE$22:$AE$63,
MATCH(1,
($AE$22:$AE$63&gt;=Q31)*($AI$22:$AI$63&lt;&gt;"x")*($AB$22:$AB$63=R31)*($AC$22:$AC$63=S31),
0)
)
),INDEX($AI$22:$AI$63,
MATCH(
MIN(IF(($AI$22:$AI$63&lt;&gt;"x")*($AB$22:$AB$63=R31)*($AC$22:$AC$63=S31),ABS($AE$22:$AE$63-Q31))),
IF(($AI$22:$AI$63&lt;&gt;"x")*($AB$22:$AB$63=R31)*($AC$22:$AC$63=S31),ABS($AE$22:$AE$63-Q31)),
0
)))</f>
        <v>-2E-3</v>
      </c>
      <c r="X31" s="578">
        <f t="shared" si="8"/>
        <v>1.7728689412764265E-3</v>
      </c>
      <c r="Y31" s="232">
        <f>AJ52</f>
        <v>1.7000000000000001E-2</v>
      </c>
      <c r="AA31" s="424"/>
      <c r="AB31" s="669" t="s">
        <v>663</v>
      </c>
      <c r="AC31" s="424">
        <v>50</v>
      </c>
      <c r="AD31" s="196" t="s">
        <v>39</v>
      </c>
      <c r="AE31" s="438">
        <v>10</v>
      </c>
      <c r="AF31" s="432">
        <v>8.0000000000000004E-4</v>
      </c>
      <c r="AG31" s="191">
        <v>5.9999999999999995E-4</v>
      </c>
      <c r="AH31" s="192">
        <v>-4.0000000000000002E-4</v>
      </c>
      <c r="AI31" s="428">
        <v>2.0999999999999999E-3</v>
      </c>
      <c r="AJ31" s="425">
        <v>7.4999999999999997E-3</v>
      </c>
    </row>
    <row r="32" spans="3:36" x14ac:dyDescent="0.25">
      <c r="C32" s="219" t="s">
        <v>2</v>
      </c>
      <c r="D32" s="220"/>
      <c r="E32" s="220"/>
      <c r="F32" s="221">
        <f>E2</f>
        <v>6</v>
      </c>
      <c r="G32" s="217" t="str">
        <f>F2</f>
        <v>mA2</v>
      </c>
      <c r="H32" s="222"/>
      <c r="I32" s="223"/>
      <c r="J32" s="223">
        <v>0.01</v>
      </c>
      <c r="K32" s="223"/>
      <c r="L32" s="223"/>
      <c r="M32" s="223"/>
      <c r="N32" s="223"/>
      <c r="O32" s="224"/>
      <c r="Q32" s="214">
        <f t="shared" si="9"/>
        <v>1</v>
      </c>
      <c r="R32" s="578" t="str">
        <f t="shared" si="10"/>
        <v>A1</v>
      </c>
      <c r="S32" s="232">
        <f t="shared" si="7"/>
        <v>50</v>
      </c>
      <c r="T32" s="206" cm="1">
        <f t="array" ref="T32">IFERROR(
_xlfn.FORECAST.LINEAR(
Q32,
INDEX($AF$22:$AF$63,
MATCH(1,
($AE$22:$AE$63&lt;=Q32)*($AF$22:$AF$63&lt;&gt;"x")*($AB$22:$AB$63=R32)*($AC$22:$AC$63=S32),
0)
):
INDEX($AF$22:$AF$63,
MATCH(1,
($AE$22:$AE$63&gt;=Q32)*($AF$22:$AF$63&lt;&gt;"x")*($AB$22:$AB$63=R32)*($AC$22:$AC$63=S32),
0)
),
INDEX($AE$22:$AE$63,
MATCH(1,
($AE$22:$AE$63&lt;=Q32)*($AF$22:$AF$63&lt;&gt;"x")*($AB$22:$AB$63=R32)*($AC$22:$AC$63=S32),
0)
):
INDEX($AE$22:$AE$63,
MATCH(1,
($AE$22:$AE$63&gt;=Q32)*($AF$22:$AF$63&lt;&gt;"x")*($AB$22:$AB$63=R32)*($AC$22:$AC$63=S32),
0)
)
),INDEX($AF$22:$AF$63,
MATCH(
MIN(IF(($AF$22:$AF$63&lt;&gt;"x")*($AB$22:$AB$63=R32)*($AC$22:$AC$63=S32),ABS($AE$22:$AE$63-Q32))),
IF(($AF$22:$AF$63&lt;&gt;"x")*($AB$22:$AB$63=R32)*($AC$22:$AC$63=S32),ABS($AE$22:$AE$63-Q32)),
0
)))</f>
        <v>-1E-4</v>
      </c>
      <c r="U32" s="206" cm="1">
        <f t="array" ref="U32">IFERROR(
_xlfn.FORECAST.LINEAR(
Q32,
INDEX($AG$22:$AG$63,
MATCH(1,
($AE$22:$AE$63&lt;=Q32)*($AG$22:$AG$63&lt;&gt;"x")*($AB$22:$AB$63=R32)*($AC$22:$AC$63=S32),
0)
):
INDEX($AG$22:$AG$63,
MATCH(1,
($AE$22:$AE$63&gt;=Q32)*($AG$22:$AG$63&lt;&gt;"x")*($AB$22:$AB$63=R32)*($AC$22:$AC$63=S32),
0)
),
INDEX($AE$22:$AE$63,
MATCH(1,
($AE$22:$AE$63&lt;=Q32)*($AG$22:$AG$63&lt;&gt;"x")*($AB$22:$AB$63=R32)*($AC$22:$AC$63=S32),
0)
):
INDEX($AE$22:$AE$63,
MATCH(1,
($AE$22:$AE$63&gt;=Q32)*($AG$22:$AG$63&lt;&gt;"x")*($AB$22:$AB$63=R32)*($AC$22:$AC$63=S32),
0)
)
),INDEX($AG$22:$AG$63,
MATCH(
MIN(IF(($AG$22:$AG$63&lt;&gt;"x")*($AB$22:$AB$63=R32)*($AC$22:$AC$63=S32),ABS($AE$22:$AE$63-Q32))),
IF(($AG$22:$AG$63&lt;&gt;"x")*($AB$22:$AB$63=R32)*($AC$22:$AC$63=S32),ABS($AE$22:$AE$63-Q32)),
0
)))</f>
        <v>0</v>
      </c>
      <c r="V32" s="236" cm="1">
        <f t="array" ref="V32">IFERROR(
_xlfn.FORECAST.LINEAR(
Q32,
INDEX($AH$22:$AH$63,
MATCH(1,
($AE$22:$AE$63&lt;=Q32)*($AH$22:$AH$63&lt;&gt;"x")*($AB$22:$AB$63=R32)*($AC$22:$AC$63=S32),
0)
):
INDEX($AH$22:$AH$63,
MATCH(1,
($AE$22:$AE$63&gt;=Q32)*($AH$22:$AH$63&lt;&gt;"x")*($AB$22:$AB$63=R32)*($AC$22:$AC$63=S32),
0)
),
INDEX($AE$22:$AE$63,
MATCH(1,
($AE$22:$AE$63&lt;=Q32)*($AH$22:$AH$63&lt;&gt;"x")*($AB$22:$AB$63=R32)*($AC$22:$AC$63=S32),
0)
):
INDEX($AE$22:$AE$63,
MATCH(1,
($AE$22:$AE$63&gt;=Q32)*($AH$22:$AH$63&lt;&gt;"x")*($AB$22:$AB$63=R32)*($AC$22:$AC$63=S32),
0)
)
),INDEX($AH$22:$AH$63,
MATCH(
MIN(IF(($AH$22:$AH$63&lt;&gt;"x")*($AB$22:$AB$63=R32)*($AC$22:$AC$63=S32),ABS($AE$22:$AE$63-Q32))),
IF(($AH$22:$AH$63&lt;&gt;"x")*($AB$22:$AB$63=R32)*($AC$22:$AC$63=S32),ABS($AE$22:$AE$63-Q32)),
0
)))</f>
        <v>-1E-4</v>
      </c>
      <c r="W32" s="236" cm="1">
        <f t="array" ref="W32">IFERROR(
_xlfn.FORECAST.LINEAR(
Q32,
INDEX($AI$22:$AI$63,
MATCH(1,
($AE$22:$AE$63&lt;=Q32)*($AI$22:$AI$63&lt;&gt;"x")*($AB$22:$AB$63=R32)*($AC$22:$AC$63=S32),
0)
):
INDEX($AI$22:$AI$63,
MATCH(1,
($AE$22:$AE$63&gt;=Q32)*($AI$22:$AI$63&lt;&gt;"x")*($AB$22:$AB$63=R32)*($AC$22:$AC$63=S32),
0)
),
INDEX($AE$22:$AE$63,
MATCH(1,
($AE$22:$AE$63&lt;=Q32)*($AI$22:$AI$63&lt;&gt;"x")*($AB$22:$AB$63=R32)*($AC$22:$AC$63=S32),
0)
):
INDEX($AE$22:$AE$63,
MATCH(1,
($AE$22:$AE$63&gt;=Q32)*($AI$22:$AI$63&lt;&gt;"x")*($AB$22:$AB$63=R32)*($AC$22:$AC$63=S32),
0)
)
),INDEX($AI$22:$AI$63,
MATCH(
MIN(IF(($AI$22:$AI$63&lt;&gt;"x")*($AB$22:$AB$63=R32)*($AC$22:$AC$63=S32),ABS($AE$22:$AE$63-Q32))),
IF(($AI$22:$AI$63&lt;&gt;"x")*($AB$22:$AB$63=R32)*($AC$22:$AC$63=S32),ABS($AE$22:$AE$63-Q32)),
0
)))</f>
        <v>2.0000000000000001E-4</v>
      </c>
      <c r="X32" s="578">
        <f t="shared" si="8"/>
        <v>1.8963346052965906E-4</v>
      </c>
      <c r="Y32" s="232">
        <f>AJ45</f>
        <v>1.2999999999999999E-3</v>
      </c>
      <c r="AA32" s="188"/>
      <c r="AB32" s="669" t="s">
        <v>663</v>
      </c>
      <c r="AC32" s="188">
        <v>50</v>
      </c>
      <c r="AD32" s="427" t="s">
        <v>39</v>
      </c>
      <c r="AE32" s="192">
        <v>32</v>
      </c>
      <c r="AF32" s="192">
        <v>6.0000000000000001E-3</v>
      </c>
      <c r="AG32" s="660" t="s">
        <v>637</v>
      </c>
      <c r="AH32" s="660" t="s">
        <v>637</v>
      </c>
      <c r="AI32" s="660" t="s">
        <v>637</v>
      </c>
      <c r="AJ32" s="189">
        <v>5.0999999999999997E-2</v>
      </c>
    </row>
    <row r="33" spans="3:36" ht="14.4" x14ac:dyDescent="0.25">
      <c r="C33" s="225" t="s">
        <v>78</v>
      </c>
      <c r="D33" s="225" t="s">
        <v>79</v>
      </c>
      <c r="E33" s="225" t="s">
        <v>10</v>
      </c>
      <c r="F33" s="225" t="s">
        <v>80</v>
      </c>
      <c r="G33" s="225" t="s">
        <v>81</v>
      </c>
      <c r="H33" s="226" t="s">
        <v>82</v>
      </c>
      <c r="I33" s="225" t="s">
        <v>83</v>
      </c>
      <c r="J33" s="225" t="s">
        <v>84</v>
      </c>
      <c r="K33" s="225" t="s">
        <v>85</v>
      </c>
      <c r="L33" s="225" t="s">
        <v>86</v>
      </c>
      <c r="M33" s="225" t="s">
        <v>87</v>
      </c>
      <c r="N33" s="225" t="s">
        <v>542</v>
      </c>
      <c r="O33" s="225" t="s">
        <v>543</v>
      </c>
      <c r="Q33" s="205">
        <f t="shared" si="9"/>
        <v>5</v>
      </c>
      <c r="R33" s="578" t="str">
        <f t="shared" si="10"/>
        <v>A2</v>
      </c>
      <c r="S33" s="232">
        <f t="shared" si="7"/>
        <v>50</v>
      </c>
      <c r="T33" s="206" cm="1">
        <f t="array" ref="T33">IFERROR(
_xlfn.FORECAST.LINEAR(
Q33,
INDEX($AF$22:$AF$63,
MATCH(1,
($AE$22:$AE$63&lt;=Q33)*($AF$22:$AF$63&lt;&gt;"x")*($AB$22:$AB$63=R33)*($AC$22:$AC$63=S33),
0)
):
INDEX($AF$22:$AF$63,
MATCH(1,
($AE$22:$AE$63&gt;=Q33)*($AF$22:$AF$63&lt;&gt;"x")*($AB$22:$AB$63=R33)*($AC$22:$AC$63=S33),
0)
),
INDEX($AE$22:$AE$63,
MATCH(1,
($AE$22:$AE$63&lt;=Q33)*($AF$22:$AF$63&lt;&gt;"x")*($AB$22:$AB$63=R33)*($AC$22:$AC$63=S33),
0)
):
INDEX($AE$22:$AE$63,
MATCH(1,
($AE$22:$AE$63&gt;=Q33)*($AF$22:$AF$63&lt;&gt;"x")*($AB$22:$AB$63=R33)*($AC$22:$AC$63=S33),
0)
)
),INDEX($AF$22:$AF$63,
MATCH(
MIN(IF(($AF$22:$AF$63&lt;&gt;"x")*($AB$22:$AB$63=R33)*($AC$22:$AC$63=S33),ABS($AE$22:$AE$63-Q33))),
IF(($AF$22:$AF$63&lt;&gt;"x")*($AB$22:$AB$63=R33)*($AC$22:$AC$63=S33),ABS($AE$22:$AE$63-Q33)),
0
)))</f>
        <v>-9.1025641025641035E-4</v>
      </c>
      <c r="U33" s="206" cm="1">
        <f t="array" ref="U33">IFERROR(
_xlfn.FORECAST.LINEAR(
Q33,
INDEX($AG$22:$AG$63,
MATCH(1,
($AE$22:$AE$63&lt;=Q33)*($AG$22:$AG$63&lt;&gt;"x")*($AB$22:$AB$63=R33)*($AC$22:$AC$63=S33),
0)
):
INDEX($AG$22:$AG$63,
MATCH(1,
($AE$22:$AE$63&gt;=Q33)*($AG$22:$AG$63&lt;&gt;"x")*($AB$22:$AB$63=R33)*($AC$22:$AC$63=S33),
0)
),
INDEX($AE$22:$AE$63,
MATCH(1,
($AE$22:$AE$63&lt;=Q33)*($AG$22:$AG$63&lt;&gt;"x")*($AB$22:$AB$63=R33)*($AC$22:$AC$63=S33),
0)
):
INDEX($AE$22:$AE$63,
MATCH(1,
($AE$22:$AE$63&gt;=Q33)*($AG$22:$AG$63&lt;&gt;"x")*($AB$22:$AB$63=R33)*($AC$22:$AC$63=S33),
0)
)
),INDEX($AG$22:$AG$63,
MATCH(
MIN(IF(($AG$22:$AG$63&lt;&gt;"x")*($AB$22:$AB$63=R33)*($AC$22:$AC$63=S33),ABS($AE$22:$AE$63-Q33))),
IF(($AG$22:$AG$63&lt;&gt;"x")*($AB$22:$AB$63=R33)*($AC$22:$AC$63=S33),ABS($AE$22:$AE$63-Q33)),
0
)))</f>
        <v>-2E-3</v>
      </c>
      <c r="V33" s="236" cm="1">
        <f t="array" ref="V33">IFERROR(
_xlfn.FORECAST.LINEAR(
Q33,
INDEX($AH$22:$AH$63,
MATCH(1,
($AE$22:$AE$63&lt;=Q33)*($AH$22:$AH$63&lt;&gt;"x")*($AB$22:$AB$63=R33)*($AC$22:$AC$63=S33),
0)
):
INDEX($AH$22:$AH$63,
MATCH(1,
($AE$22:$AE$63&gt;=Q33)*($AH$22:$AH$63&lt;&gt;"x")*($AB$22:$AB$63=R33)*($AC$22:$AC$63=S33),
0)
),
INDEX($AE$22:$AE$63,
MATCH(1,
($AE$22:$AE$63&lt;=Q33)*($AH$22:$AH$63&lt;&gt;"x")*($AB$22:$AB$63=R33)*($AC$22:$AC$63=S33),
0)
):
INDEX($AE$22:$AE$63,
MATCH(1,
($AE$22:$AE$63&gt;=Q33)*($AH$22:$AH$63&lt;&gt;"x")*($AB$22:$AB$63=R33)*($AC$22:$AC$63=S33),
0)
)
),INDEX($AH$22:$AH$63,
MATCH(
MIN(IF(($AH$22:$AH$63&lt;&gt;"x")*($AB$22:$AB$63=R33)*($AC$22:$AC$63=S33),ABS($AE$22:$AE$63-Q33))),
IF(($AH$22:$AH$63&lt;&gt;"x")*($AB$22:$AB$63=R33)*($AC$22:$AC$63=S33),ABS($AE$22:$AE$63-Q33)),
0
)))</f>
        <v>0</v>
      </c>
      <c r="W33" s="236" cm="1">
        <f t="array" ref="W33">IFERROR(
_xlfn.FORECAST.LINEAR(
Q33,
INDEX($AI$22:$AI$63,
MATCH(1,
($AE$22:$AE$63&lt;=Q33)*($AI$22:$AI$63&lt;&gt;"x")*($AB$22:$AB$63=R33)*($AC$22:$AC$63=S33),
0)
):
INDEX($AI$22:$AI$63,
MATCH(1,
($AE$22:$AE$63&gt;=Q33)*($AI$22:$AI$63&lt;&gt;"x")*($AB$22:$AB$63=R33)*($AC$22:$AC$63=S33),
0)
),
INDEX($AE$22:$AE$63,
MATCH(1,
($AE$22:$AE$63&lt;=Q33)*($AI$22:$AI$63&lt;&gt;"x")*($AB$22:$AB$63=R33)*($AC$22:$AC$63=S33),
0)
):
INDEX($AE$22:$AE$63,
MATCH(1,
($AE$22:$AE$63&gt;=Q33)*($AI$22:$AI$63&lt;&gt;"x")*($AB$22:$AB$63=R33)*($AC$22:$AC$63=S33),
0)
)
),INDEX($AI$22:$AI$63,
MATCH(
MIN(IF(($AI$22:$AI$63&lt;&gt;"x")*($AB$22:$AB$63=R33)*($AC$22:$AC$63=S33),ABS($AE$22:$AE$63-Q33))),
IF(($AI$22:$AI$63&lt;&gt;"x")*($AB$22:$AB$63=R33)*($AC$22:$AC$63=S33),ABS($AE$22:$AE$63-Q33)),
0
)))</f>
        <v>-2E-3</v>
      </c>
      <c r="X33" s="578">
        <f t="shared" si="8"/>
        <v>1.7981725057104258E-3</v>
      </c>
      <c r="Y33" s="232">
        <f>AJ52</f>
        <v>1.7000000000000001E-2</v>
      </c>
      <c r="AA33" s="188"/>
      <c r="AB33" s="669" t="s">
        <v>663</v>
      </c>
      <c r="AC33" s="188">
        <v>500</v>
      </c>
      <c r="AD33" s="427" t="s">
        <v>39</v>
      </c>
      <c r="AE33" s="192">
        <v>10</v>
      </c>
      <c r="AF33" s="192">
        <v>6.9999999999999999E-4</v>
      </c>
      <c r="AG33" s="191">
        <v>4.1999999999999997E-3</v>
      </c>
      <c r="AH33" s="191">
        <v>-2.9999999999999997E-4</v>
      </c>
      <c r="AI33" s="189">
        <v>2.3E-3</v>
      </c>
      <c r="AJ33" s="189">
        <v>7.4999999999999997E-3</v>
      </c>
    </row>
    <row r="34" spans="3:36" ht="14.4" x14ac:dyDescent="0.3">
      <c r="C34" s="227" t="s">
        <v>90</v>
      </c>
      <c r="D34" s="228" t="s">
        <v>544</v>
      </c>
      <c r="E34" s="229" t="s">
        <v>42</v>
      </c>
      <c r="F34" s="230" t="str">
        <f>G32</f>
        <v>mA2</v>
      </c>
      <c r="G34" s="608" t="s">
        <v>631</v>
      </c>
      <c r="H34" s="229">
        <f>STDEV(Data!E78:N78)/SQRT(5)</f>
        <v>0</v>
      </c>
      <c r="I34" s="229">
        <v>1</v>
      </c>
      <c r="J34" s="229">
        <f>5-1</f>
        <v>4</v>
      </c>
      <c r="K34" s="229">
        <f>(H34)/I34</f>
        <v>0</v>
      </c>
      <c r="L34" s="229">
        <v>1</v>
      </c>
      <c r="M34" s="229">
        <f t="shared" ref="M34:M36" si="11">K34*L34</f>
        <v>0</v>
      </c>
      <c r="N34" s="229">
        <f t="shared" ref="N34:N36" si="12">M34^2</f>
        <v>0</v>
      </c>
      <c r="O34" s="229">
        <f t="shared" ref="O34:O36" si="13">(M34^4)/J34</f>
        <v>0</v>
      </c>
      <c r="Q34" s="205">
        <f t="shared" si="9"/>
        <v>9</v>
      </c>
      <c r="R34" s="578" t="str">
        <f t="shared" si="10"/>
        <v>A2</v>
      </c>
      <c r="S34" s="232">
        <f t="shared" si="7"/>
        <v>50</v>
      </c>
      <c r="T34" s="206" cm="1">
        <f t="array" ref="T34">IFERROR(
_xlfn.FORECAST.LINEAR(
Q34,
INDEX($AF$22:$AF$63,
MATCH(1,
($AE$22:$AE$63&lt;=Q34)*($AF$22:$AF$63&lt;&gt;"x")*($AB$22:$AB$63=R34)*($AC$22:$AC$63=S34),
0)
):
INDEX($AF$22:$AF$63,
MATCH(1,
($AE$22:$AE$63&gt;=Q34)*($AF$22:$AF$63&lt;&gt;"x")*($AB$22:$AB$63=R34)*($AC$22:$AC$63=S34),
0)
),
INDEX($AE$22:$AE$63,
MATCH(1,
($AE$22:$AE$63&lt;=Q34)*($AF$22:$AF$63&lt;&gt;"x")*($AB$22:$AB$63=R34)*($AC$22:$AC$63=S34),
0)
):
INDEX($AE$22:$AE$63,
MATCH(1,
($AE$22:$AE$63&gt;=Q34)*($AF$22:$AF$63&lt;&gt;"x")*($AB$22:$AB$63=R34)*($AC$22:$AC$63=S34),
0)
)
),INDEX($AF$22:$AF$63,
MATCH(
MIN(IF(($AF$22:$AF$63&lt;&gt;"x")*($AB$22:$AB$63=R34)*($AC$22:$AC$63=S34),ABS($AE$22:$AE$63-Q34))),
IF(($AF$22:$AF$63&lt;&gt;"x")*($AB$22:$AB$63=R34)*($AC$22:$AC$63=S34),ABS($AE$22:$AE$63-Q34)),
0
)))</f>
        <v>-1.7820512820512821E-3</v>
      </c>
      <c r="U34" s="206" cm="1">
        <f t="array" ref="U34">IFERROR(
_xlfn.FORECAST.LINEAR(
Q34,
INDEX($AG$22:$AG$63,
MATCH(1,
($AE$22:$AE$63&lt;=Q34)*($AG$22:$AG$63&lt;&gt;"x")*($AB$22:$AB$63=R34)*($AC$22:$AC$63=S34),
0)
):
INDEX($AG$22:$AG$63,
MATCH(1,
($AE$22:$AE$63&gt;=Q34)*($AG$22:$AG$63&lt;&gt;"x")*($AB$22:$AB$63=R34)*($AC$22:$AC$63=S34),
0)
),
INDEX($AE$22:$AE$63,
MATCH(1,
($AE$22:$AE$63&lt;=Q34)*($AG$22:$AG$63&lt;&gt;"x")*($AB$22:$AB$63=R34)*($AC$22:$AC$63=S34),
0)
):
INDEX($AE$22:$AE$63,
MATCH(1,
($AE$22:$AE$63&gt;=Q34)*($AG$22:$AG$63&lt;&gt;"x")*($AB$22:$AB$63=R34)*($AC$22:$AC$63=S34),
0)
)
),INDEX($AG$22:$AG$63,
MATCH(
MIN(IF(($AG$22:$AG$63&lt;&gt;"x")*($AB$22:$AB$63=R34)*($AC$22:$AC$63=S34),ABS($AE$22:$AE$63-Q34))),
IF(($AG$22:$AG$63&lt;&gt;"x")*($AB$22:$AB$63=R34)*($AC$22:$AC$63=S34),ABS($AE$22:$AE$63-Q34)),
0
)))</f>
        <v>-2E-3</v>
      </c>
      <c r="V34" s="236" cm="1">
        <f t="array" ref="V34">IFERROR(
_xlfn.FORECAST.LINEAR(
Q34,
INDEX($AH$22:$AH$63,
MATCH(1,
($AE$22:$AE$63&lt;=Q34)*($AH$22:$AH$63&lt;&gt;"x")*($AB$22:$AB$63=R34)*($AC$22:$AC$63=S34),
0)
):
INDEX($AH$22:$AH$63,
MATCH(1,
($AE$22:$AE$63&gt;=Q34)*($AH$22:$AH$63&lt;&gt;"x")*($AB$22:$AB$63=R34)*($AC$22:$AC$63=S34),
0)
),
INDEX($AE$22:$AE$63,
MATCH(1,
($AE$22:$AE$63&lt;=Q34)*($AH$22:$AH$63&lt;&gt;"x")*($AB$22:$AB$63=R34)*($AC$22:$AC$63=S34),
0)
):
INDEX($AE$22:$AE$63,
MATCH(1,
($AE$22:$AE$63&gt;=Q34)*($AH$22:$AH$63&lt;&gt;"x")*($AB$22:$AB$63=R34)*($AC$22:$AC$63=S34),
0)
)
),INDEX($AH$22:$AH$63,
MATCH(
MIN(IF(($AH$22:$AH$63&lt;&gt;"x")*($AB$22:$AB$63=R34)*($AC$22:$AC$63=S34),ABS($AE$22:$AE$63-Q34))),
IF(($AH$22:$AH$63&lt;&gt;"x")*($AB$22:$AB$63=R34)*($AC$22:$AC$63=S34),ABS($AE$22:$AE$63-Q34)),
0
)))</f>
        <v>0</v>
      </c>
      <c r="W34" s="236" cm="1">
        <f t="array" ref="W34">IFERROR(
_xlfn.FORECAST.LINEAR(
Q34,
INDEX($AI$22:$AI$63,
MATCH(1,
($AE$22:$AE$63&lt;=Q34)*($AI$22:$AI$63&lt;&gt;"x")*($AB$22:$AB$63=R34)*($AC$22:$AC$63=S34),
0)
):
INDEX($AI$22:$AI$63,
MATCH(1,
($AE$22:$AE$63&gt;=Q34)*($AI$22:$AI$63&lt;&gt;"x")*($AB$22:$AB$63=R34)*($AC$22:$AC$63=S34),
0)
),
INDEX($AE$22:$AE$63,
MATCH(1,
($AE$22:$AE$63&lt;=Q34)*($AI$22:$AI$63&lt;&gt;"x")*($AB$22:$AB$63=R34)*($AC$22:$AC$63=S34),
0)
):
INDEX($AE$22:$AE$63,
MATCH(1,
($AE$22:$AE$63&gt;=Q34)*($AI$22:$AI$63&lt;&gt;"x")*($AB$22:$AB$63=R34)*($AC$22:$AC$63=S34),
0)
)
),INDEX($AI$22:$AI$63,
MATCH(
MIN(IF(($AI$22:$AI$63&lt;&gt;"x")*($AB$22:$AB$63=R34)*($AC$22:$AC$63=S34),ABS($AE$22:$AE$63-Q34))),
IF(($AI$22:$AI$63&lt;&gt;"x")*($AB$22:$AB$63=R34)*($AC$22:$AC$63=S34),ABS($AE$22:$AE$63-Q34)),
0
)))</f>
        <v>-2E-3</v>
      </c>
      <c r="X34" s="578">
        <f t="shared" si="8"/>
        <v>1.5451368613704337E-3</v>
      </c>
      <c r="Y34" s="232">
        <f>AJ52</f>
        <v>1.7000000000000001E-2</v>
      </c>
      <c r="AA34" s="188"/>
      <c r="AB34" s="669" t="s">
        <v>663</v>
      </c>
      <c r="AC34" s="188">
        <v>1000</v>
      </c>
      <c r="AD34" s="427" t="s">
        <v>39</v>
      </c>
      <c r="AE34" s="193">
        <v>10</v>
      </c>
      <c r="AF34" s="191">
        <v>2.2000000000000001E-3</v>
      </c>
      <c r="AG34" s="191">
        <v>2.8999999999999998E-3</v>
      </c>
      <c r="AH34" s="193">
        <v>1.1999999999999999E-3</v>
      </c>
      <c r="AI34" s="194">
        <v>3.5999999999999999E-3</v>
      </c>
      <c r="AJ34" s="189">
        <v>7.4999999999999997E-3</v>
      </c>
    </row>
    <row r="35" spans="3:36" ht="14.4" x14ac:dyDescent="0.3">
      <c r="C35" s="227" t="s">
        <v>93</v>
      </c>
      <c r="D35" s="228" t="s">
        <v>545</v>
      </c>
      <c r="E35" s="229" t="s">
        <v>95</v>
      </c>
      <c r="F35" s="230" t="str">
        <f>F34</f>
        <v>mA2</v>
      </c>
      <c r="G35" s="229" t="s">
        <v>96</v>
      </c>
      <c r="H35" s="229">
        <f>J32/2</f>
        <v>5.0000000000000001E-3</v>
      </c>
      <c r="I35" s="229">
        <f>SQRT(3)</f>
        <v>1.7320508075688772</v>
      </c>
      <c r="J35" s="229">
        <v>50</v>
      </c>
      <c r="K35" s="229">
        <f t="shared" ref="K35:K37" si="14">(H35)/I35</f>
        <v>2.886751345948129E-3</v>
      </c>
      <c r="L35" s="229">
        <v>1</v>
      </c>
      <c r="M35" s="229">
        <f t="shared" si="11"/>
        <v>2.886751345948129E-3</v>
      </c>
      <c r="N35" s="229">
        <f t="shared" si="12"/>
        <v>8.3333333333333337E-6</v>
      </c>
      <c r="O35" s="229">
        <f t="shared" si="13"/>
        <v>1.3888888888888891E-12</v>
      </c>
      <c r="AA35" s="426"/>
      <c r="AB35" s="669" t="s">
        <v>663</v>
      </c>
      <c r="AC35" s="426">
        <v>10000</v>
      </c>
      <c r="AD35" s="427" t="s">
        <v>39</v>
      </c>
      <c r="AE35" s="440">
        <v>10</v>
      </c>
      <c r="AF35" s="433">
        <v>1.6000000000000001E-3</v>
      </c>
      <c r="AG35" s="433">
        <v>1.9E-2</v>
      </c>
      <c r="AH35" s="433">
        <v>1.7999999999999999E-2</v>
      </c>
      <c r="AI35" s="195">
        <v>3.0000000000000001E-3</v>
      </c>
      <c r="AJ35" s="195">
        <v>9.5999999999999992E-3</v>
      </c>
    </row>
    <row r="36" spans="3:36" ht="14.4" x14ac:dyDescent="0.3">
      <c r="C36" s="227" t="s">
        <v>97</v>
      </c>
      <c r="D36" s="228" t="s">
        <v>546</v>
      </c>
      <c r="E36" s="229" t="s">
        <v>95</v>
      </c>
      <c r="F36" s="230" t="str">
        <f>F34</f>
        <v>mA2</v>
      </c>
      <c r="G36" s="229" t="s">
        <v>92</v>
      </c>
      <c r="H36" s="230">
        <f>Y23</f>
        <v>5.1000000000000004E-3</v>
      </c>
      <c r="I36" s="229">
        <v>2</v>
      </c>
      <c r="J36" s="229">
        <v>60</v>
      </c>
      <c r="K36" s="229">
        <f t="shared" si="14"/>
        <v>2.5500000000000002E-3</v>
      </c>
      <c r="L36" s="229">
        <v>1</v>
      </c>
      <c r="M36" s="229">
        <f t="shared" si="11"/>
        <v>2.5500000000000002E-3</v>
      </c>
      <c r="N36" s="229">
        <f t="shared" si="12"/>
        <v>6.5025000000000008E-6</v>
      </c>
      <c r="O36" s="229">
        <f t="shared" si="13"/>
        <v>7.0470843750000024E-13</v>
      </c>
      <c r="AA36" s="187">
        <v>329.99</v>
      </c>
      <c r="AB36" s="668" t="s">
        <v>664</v>
      </c>
      <c r="AC36" s="429">
        <v>40</v>
      </c>
      <c r="AD36" s="422" t="s">
        <v>39</v>
      </c>
      <c r="AE36" s="434">
        <v>100</v>
      </c>
      <c r="AF36" s="431">
        <v>0</v>
      </c>
      <c r="AG36" s="431">
        <v>1.4E-2</v>
      </c>
      <c r="AH36" s="431">
        <v>0</v>
      </c>
      <c r="AI36" s="423">
        <v>1.9E-2</v>
      </c>
      <c r="AJ36" s="423">
        <v>7.4999999999999997E-2</v>
      </c>
    </row>
    <row r="37" spans="3:36" ht="14.4" x14ac:dyDescent="0.3">
      <c r="C37" s="227" t="s">
        <v>99</v>
      </c>
      <c r="D37" s="228" t="s">
        <v>547</v>
      </c>
      <c r="E37" s="229" t="s">
        <v>95</v>
      </c>
      <c r="F37" s="230" t="str">
        <f>F34</f>
        <v>mA2</v>
      </c>
      <c r="G37" s="229" t="s">
        <v>96</v>
      </c>
      <c r="H37" s="229">
        <f>X23</f>
        <v>1.4877047552322091E-3</v>
      </c>
      <c r="I37" s="229">
        <f>SQRT(3)</f>
        <v>1.7320508075688772</v>
      </c>
      <c r="J37" s="229">
        <v>50</v>
      </c>
      <c r="K37" s="229">
        <f t="shared" si="14"/>
        <v>8.5892674090800225E-4</v>
      </c>
      <c r="L37" s="229">
        <v>1</v>
      </c>
      <c r="M37" s="229">
        <f>K37*L37</f>
        <v>8.5892674090800225E-4</v>
      </c>
      <c r="N37" s="229">
        <f>M37^2</f>
        <v>7.3775514624684243E-7</v>
      </c>
      <c r="O37" s="229">
        <f>(M37^4)/J37</f>
        <v>1.0885653116273998E-14</v>
      </c>
      <c r="AA37" s="424"/>
      <c r="AB37" s="668" t="s">
        <v>664</v>
      </c>
      <c r="AC37" s="188">
        <v>50</v>
      </c>
      <c r="AD37" s="427" t="s">
        <v>39</v>
      </c>
      <c r="AE37" s="193">
        <v>33</v>
      </c>
      <c r="AF37" s="193">
        <v>-1E-3</v>
      </c>
      <c r="AG37" s="662" t="s">
        <v>637</v>
      </c>
      <c r="AH37" s="662" t="s">
        <v>637</v>
      </c>
      <c r="AI37" s="662" t="s">
        <v>637</v>
      </c>
      <c r="AJ37" s="189">
        <v>5.0999999999999997E-2</v>
      </c>
    </row>
    <row r="38" spans="3:36" x14ac:dyDescent="0.25">
      <c r="C38" s="232"/>
      <c r="D38" s="232"/>
      <c r="E38" s="232"/>
      <c r="F38" s="232"/>
      <c r="G38" s="232"/>
      <c r="H38" s="232"/>
      <c r="I38" s="232"/>
      <c r="J38" s="232"/>
      <c r="K38" s="232"/>
      <c r="L38" s="232"/>
      <c r="M38" s="232"/>
      <c r="N38" s="232"/>
      <c r="O38" s="232"/>
      <c r="AA38" s="424"/>
      <c r="AB38" s="668" t="s">
        <v>664</v>
      </c>
      <c r="AC38" s="424">
        <v>50</v>
      </c>
      <c r="AD38" s="196" t="s">
        <v>39</v>
      </c>
      <c r="AE38" s="437">
        <v>100</v>
      </c>
      <c r="AF38" s="432">
        <v>1E-3</v>
      </c>
      <c r="AG38" s="193">
        <v>1.4E-2</v>
      </c>
      <c r="AH38" s="193">
        <v>0</v>
      </c>
      <c r="AI38" s="194">
        <v>1.9E-2</v>
      </c>
      <c r="AJ38" s="425">
        <v>7.4999999999999997E-2</v>
      </c>
    </row>
    <row r="39" spans="3:36" x14ac:dyDescent="0.25">
      <c r="C39" s="853" t="s">
        <v>103</v>
      </c>
      <c r="D39" s="854"/>
      <c r="E39" s="854"/>
      <c r="F39" s="854"/>
      <c r="G39" s="854"/>
      <c r="H39" s="854"/>
      <c r="I39" s="854"/>
      <c r="J39" s="854"/>
      <c r="K39" s="854"/>
      <c r="L39" s="855"/>
      <c r="M39" s="856">
        <f>SUM(N34:N37)</f>
        <v>1.5573588479580178E-5</v>
      </c>
      <c r="N39" s="855"/>
      <c r="O39" s="233">
        <f>SUM(O34:O37)</f>
        <v>2.1044829795051637E-12</v>
      </c>
      <c r="AA39" s="188"/>
      <c r="AB39" s="668" t="s">
        <v>664</v>
      </c>
      <c r="AC39" s="188">
        <v>50</v>
      </c>
      <c r="AD39" s="427" t="s">
        <v>39</v>
      </c>
      <c r="AE39" s="193">
        <v>325</v>
      </c>
      <c r="AF39" s="193">
        <v>0.01</v>
      </c>
      <c r="AG39" s="662" t="s">
        <v>637</v>
      </c>
      <c r="AH39" s="662" t="s">
        <v>637</v>
      </c>
      <c r="AI39" s="662" t="s">
        <v>637</v>
      </c>
      <c r="AJ39" s="189">
        <v>0.78</v>
      </c>
    </row>
    <row r="40" spans="3:36" x14ac:dyDescent="0.25">
      <c r="C40" s="849" t="s">
        <v>104</v>
      </c>
      <c r="D40" s="850"/>
      <c r="E40" s="850"/>
      <c r="F40" s="850"/>
      <c r="G40" s="850"/>
      <c r="H40" s="850"/>
      <c r="I40" s="850"/>
      <c r="J40" s="850"/>
      <c r="K40" s="850"/>
      <c r="L40" s="851"/>
      <c r="M40" s="852">
        <f>SQRT(M39)</f>
        <v>3.946338616943581E-3</v>
      </c>
      <c r="N40" s="851"/>
      <c r="O40" s="227"/>
      <c r="U40" s="577"/>
      <c r="AA40" s="188"/>
      <c r="AB40" s="668" t="s">
        <v>664</v>
      </c>
      <c r="AC40" s="188">
        <v>500</v>
      </c>
      <c r="AD40" s="427" t="s">
        <v>39</v>
      </c>
      <c r="AE40" s="193">
        <v>100</v>
      </c>
      <c r="AF40" s="193">
        <v>4.4999999999999998E-2</v>
      </c>
      <c r="AG40" s="193">
        <v>6.2E-2</v>
      </c>
      <c r="AH40" s="191">
        <v>2.8000000000000001E-2</v>
      </c>
      <c r="AI40" s="189">
        <v>0.02</v>
      </c>
      <c r="AJ40" s="189">
        <v>7.4999999999999997E-2</v>
      </c>
    </row>
    <row r="41" spans="3:36" ht="14.4" x14ac:dyDescent="0.3">
      <c r="C41" s="849" t="s">
        <v>548</v>
      </c>
      <c r="D41" s="850"/>
      <c r="E41" s="850"/>
      <c r="F41" s="850"/>
      <c r="G41" s="850"/>
      <c r="H41" s="850"/>
      <c r="I41" s="850"/>
      <c r="J41" s="850"/>
      <c r="K41" s="850"/>
      <c r="L41" s="851"/>
      <c r="M41" s="448">
        <f>(M40^4)/O39</f>
        <v>115.24762162169685</v>
      </c>
      <c r="N41" s="234"/>
      <c r="O41" s="227"/>
      <c r="AA41" s="188"/>
      <c r="AB41" s="668" t="s">
        <v>664</v>
      </c>
      <c r="AC41" s="188">
        <v>1000</v>
      </c>
      <c r="AD41" s="427" t="s">
        <v>39</v>
      </c>
      <c r="AE41" s="443">
        <v>100</v>
      </c>
      <c r="AF41" s="191">
        <v>1.7999999999999999E-2</v>
      </c>
      <c r="AG41" s="443">
        <v>0.03</v>
      </c>
      <c r="AH41" s="191">
        <v>2.7E-2</v>
      </c>
      <c r="AI41" s="189">
        <v>3.2000000000000001E-2</v>
      </c>
      <c r="AJ41" s="189">
        <v>7.4999999999999997E-2</v>
      </c>
    </row>
    <row r="42" spans="3:36" ht="14.4" x14ac:dyDescent="0.3">
      <c r="C42" s="849" t="s">
        <v>549</v>
      </c>
      <c r="D42" s="850"/>
      <c r="E42" s="850"/>
      <c r="F42" s="850"/>
      <c r="G42" s="850"/>
      <c r="H42" s="850"/>
      <c r="I42" s="850"/>
      <c r="J42" s="850"/>
      <c r="K42" s="850"/>
      <c r="L42" s="851"/>
      <c r="M42" s="448">
        <f>1.95996+2.37356/M41+2.818745/M41^2+2.546662/M41^3+1.761829/M41^4+0.245458/M41^5+1.000764/M41^6</f>
        <v>1.9807692021189784</v>
      </c>
      <c r="N42" s="234">
        <v>2</v>
      </c>
      <c r="O42" s="227"/>
      <c r="AA42" s="424"/>
      <c r="AB42" s="668" t="s">
        <v>664</v>
      </c>
      <c r="AC42" s="424">
        <v>10000</v>
      </c>
      <c r="AD42" s="427" t="s">
        <v>39</v>
      </c>
      <c r="AE42" s="436">
        <v>100</v>
      </c>
      <c r="AF42" s="432">
        <v>1.2999999999999999E-2</v>
      </c>
      <c r="AG42" s="432">
        <v>-1.73</v>
      </c>
      <c r="AH42" s="432">
        <v>-1.72</v>
      </c>
      <c r="AI42" s="425">
        <v>0.04</v>
      </c>
      <c r="AJ42" s="425">
        <v>9.1999999999999998E-2</v>
      </c>
    </row>
    <row r="43" spans="3:36" x14ac:dyDescent="0.25">
      <c r="C43" s="849" t="s">
        <v>107</v>
      </c>
      <c r="D43" s="850"/>
      <c r="E43" s="850"/>
      <c r="F43" s="850"/>
      <c r="G43" s="850"/>
      <c r="H43" s="850"/>
      <c r="I43" s="850"/>
      <c r="J43" s="850"/>
      <c r="K43" s="850"/>
      <c r="L43" s="851"/>
      <c r="M43" s="448">
        <f>M42*M40</f>
        <v>7.8167859935746493E-3</v>
      </c>
      <c r="N43" s="234">
        <f>N42*M40</f>
        <v>7.8926772338871621E-3</v>
      </c>
      <c r="O43" s="227"/>
      <c r="AA43" s="187">
        <v>2.1999900000000001</v>
      </c>
      <c r="AB43" s="668" t="s">
        <v>665</v>
      </c>
      <c r="AC43" s="429">
        <v>40</v>
      </c>
      <c r="AD43" s="422" t="s">
        <v>39</v>
      </c>
      <c r="AE43" s="435">
        <v>1</v>
      </c>
      <c r="AF43" s="431">
        <v>-1E-4</v>
      </c>
      <c r="AG43" s="431">
        <v>0</v>
      </c>
      <c r="AH43" s="431">
        <v>-1E-4</v>
      </c>
      <c r="AI43" s="423">
        <v>2.0000000000000001E-4</v>
      </c>
      <c r="AJ43" s="423">
        <v>1.2999999999999999E-3</v>
      </c>
    </row>
    <row r="44" spans="3:36" x14ac:dyDescent="0.25">
      <c r="AA44" s="424"/>
      <c r="AB44" s="668" t="s">
        <v>665</v>
      </c>
      <c r="AC44" s="188">
        <v>50</v>
      </c>
      <c r="AD44" s="427" t="s">
        <v>39</v>
      </c>
      <c r="AE44" s="192">
        <v>0.33</v>
      </c>
      <c r="AF44" s="192">
        <v>-6.0000000000000002E-5</v>
      </c>
      <c r="AG44" s="663" t="s">
        <v>637</v>
      </c>
      <c r="AH44" s="663" t="s">
        <v>637</v>
      </c>
      <c r="AI44" s="663" t="s">
        <v>637</v>
      </c>
      <c r="AJ44" s="189">
        <v>7.7999999999999999E-4</v>
      </c>
    </row>
    <row r="45" spans="3:36" x14ac:dyDescent="0.25">
      <c r="C45" s="207" t="s">
        <v>76</v>
      </c>
      <c r="D45" s="200"/>
      <c r="E45" s="200"/>
      <c r="F45" s="200">
        <f>C$2</f>
        <v>50</v>
      </c>
      <c r="G45" s="217" t="str">
        <f>D$2</f>
        <v>Hz</v>
      </c>
      <c r="H45" s="218">
        <f>C$3</f>
        <v>50</v>
      </c>
      <c r="I45" s="215" t="str">
        <f>D$3</f>
        <v>Hz</v>
      </c>
      <c r="J45" s="199"/>
      <c r="K45" s="199"/>
      <c r="L45" s="199"/>
      <c r="M45" s="199"/>
      <c r="N45" s="199"/>
      <c r="O45" s="289" t="str">
        <f>O$31</f>
        <v>AC Current-Measure</v>
      </c>
      <c r="AA45" s="424"/>
      <c r="AB45" s="668" t="s">
        <v>665</v>
      </c>
      <c r="AC45" s="424">
        <v>50</v>
      </c>
      <c r="AD45" s="196" t="s">
        <v>39</v>
      </c>
      <c r="AE45" s="438">
        <v>1</v>
      </c>
      <c r="AF45" s="432">
        <v>-1E-4</v>
      </c>
      <c r="AG45" s="192">
        <v>0</v>
      </c>
      <c r="AH45" s="192">
        <v>-1E-4</v>
      </c>
      <c r="AI45" s="428">
        <v>2.0000000000000001E-4</v>
      </c>
      <c r="AJ45" s="425">
        <v>1.2999999999999999E-3</v>
      </c>
    </row>
    <row r="46" spans="3:36" x14ac:dyDescent="0.25">
      <c r="C46" s="219" t="s">
        <v>2</v>
      </c>
      <c r="D46" s="220"/>
      <c r="E46" s="220"/>
      <c r="F46" s="221">
        <f>E3</f>
        <v>30</v>
      </c>
      <c r="G46" s="217" t="str">
        <f>F3</f>
        <v>mA2</v>
      </c>
      <c r="H46" s="222"/>
      <c r="I46" s="223"/>
      <c r="J46" s="223">
        <v>0.01</v>
      </c>
      <c r="K46" s="223"/>
      <c r="L46" s="223"/>
      <c r="M46" s="223"/>
      <c r="N46" s="223"/>
      <c r="O46" s="224"/>
      <c r="AA46" s="188"/>
      <c r="AB46" s="668" t="s">
        <v>665</v>
      </c>
      <c r="AC46" s="188">
        <v>50</v>
      </c>
      <c r="AD46" s="427" t="s">
        <v>39</v>
      </c>
      <c r="AE46" s="192">
        <v>2</v>
      </c>
      <c r="AF46" s="192">
        <v>4.0000000000000002E-4</v>
      </c>
      <c r="AG46" s="663" t="s">
        <v>637</v>
      </c>
      <c r="AH46" s="663" t="s">
        <v>637</v>
      </c>
      <c r="AI46" s="663" t="s">
        <v>637</v>
      </c>
      <c r="AJ46" s="189">
        <v>5.8999999999999999E-3</v>
      </c>
    </row>
    <row r="47" spans="3:36" ht="14.4" x14ac:dyDescent="0.25">
      <c r="C47" s="225" t="s">
        <v>78</v>
      </c>
      <c r="D47" s="225" t="s">
        <v>79</v>
      </c>
      <c r="E47" s="225" t="s">
        <v>10</v>
      </c>
      <c r="F47" s="225" t="s">
        <v>80</v>
      </c>
      <c r="G47" s="225" t="s">
        <v>81</v>
      </c>
      <c r="H47" s="226" t="s">
        <v>82</v>
      </c>
      <c r="I47" s="225" t="s">
        <v>83</v>
      </c>
      <c r="J47" s="225" t="s">
        <v>84</v>
      </c>
      <c r="K47" s="225" t="s">
        <v>85</v>
      </c>
      <c r="L47" s="225" t="s">
        <v>86</v>
      </c>
      <c r="M47" s="225" t="s">
        <v>87</v>
      </c>
      <c r="N47" s="225" t="s">
        <v>542</v>
      </c>
      <c r="O47" s="225" t="s">
        <v>543</v>
      </c>
      <c r="AA47" s="188"/>
      <c r="AB47" s="668" t="s">
        <v>665</v>
      </c>
      <c r="AC47" s="188">
        <v>50</v>
      </c>
      <c r="AD47" s="427" t="s">
        <v>39</v>
      </c>
      <c r="AE47" s="192">
        <v>2.1</v>
      </c>
      <c r="AF47" s="192">
        <v>2.9999999999999997E-4</v>
      </c>
      <c r="AG47" s="663" t="s">
        <v>637</v>
      </c>
      <c r="AH47" s="663" t="s">
        <v>637</v>
      </c>
      <c r="AI47" s="663" t="s">
        <v>637</v>
      </c>
      <c r="AJ47" s="189">
        <v>8.3000000000000001E-3</v>
      </c>
    </row>
    <row r="48" spans="3:36" ht="14.4" x14ac:dyDescent="0.3">
      <c r="C48" s="227" t="s">
        <v>90</v>
      </c>
      <c r="D48" s="228" t="s">
        <v>544</v>
      </c>
      <c r="E48" s="229" t="s">
        <v>42</v>
      </c>
      <c r="F48" s="230" t="str">
        <f>G46</f>
        <v>mA2</v>
      </c>
      <c r="G48" s="608" t="s">
        <v>631</v>
      </c>
      <c r="H48" s="229">
        <f>STDEV(Data!E79:N79)/SQRT(5)</f>
        <v>1.7763568394002505E-15</v>
      </c>
      <c r="I48" s="229">
        <v>1</v>
      </c>
      <c r="J48" s="229">
        <f>5-1</f>
        <v>4</v>
      </c>
      <c r="K48" s="229">
        <f>(H48)/I48</f>
        <v>1.7763568394002505E-15</v>
      </c>
      <c r="L48" s="229">
        <v>1</v>
      </c>
      <c r="M48" s="229">
        <f t="shared" ref="M48:M50" si="15">K48*L48</f>
        <v>1.7763568394002505E-15</v>
      </c>
      <c r="N48" s="229">
        <f t="shared" ref="N48:N50" si="16">M48^2</f>
        <v>3.1554436208840472E-30</v>
      </c>
      <c r="O48" s="229">
        <f t="shared" ref="O48:O50" si="17">(M48^4)/J48</f>
        <v>2.4892061111444567E-60</v>
      </c>
      <c r="AA48" s="424"/>
      <c r="AB48" s="668" t="s">
        <v>665</v>
      </c>
      <c r="AC48" s="424">
        <v>500</v>
      </c>
      <c r="AD48" s="196" t="s">
        <v>39</v>
      </c>
      <c r="AE48" s="438">
        <v>1</v>
      </c>
      <c r="AF48" s="432">
        <v>-2.0000000000000001E-4</v>
      </c>
      <c r="AG48" s="432">
        <v>-1E-4</v>
      </c>
      <c r="AH48" s="432">
        <v>-1E-4</v>
      </c>
      <c r="AI48" s="425">
        <v>1E-4</v>
      </c>
      <c r="AJ48" s="425">
        <v>1.2999999999999999E-3</v>
      </c>
    </row>
    <row r="49" spans="3:36" ht="14.4" x14ac:dyDescent="0.3">
      <c r="C49" s="227" t="s">
        <v>93</v>
      </c>
      <c r="D49" s="228" t="s">
        <v>545</v>
      </c>
      <c r="E49" s="229" t="s">
        <v>95</v>
      </c>
      <c r="F49" s="230" t="str">
        <f>F48</f>
        <v>mA2</v>
      </c>
      <c r="G49" s="229" t="s">
        <v>96</v>
      </c>
      <c r="H49" s="229">
        <f>J46/2</f>
        <v>5.0000000000000001E-3</v>
      </c>
      <c r="I49" s="229">
        <f>SQRT(3)</f>
        <v>1.7320508075688772</v>
      </c>
      <c r="J49" s="229">
        <v>50</v>
      </c>
      <c r="K49" s="229">
        <f t="shared" ref="K49:K51" si="18">(H49)/I49</f>
        <v>2.886751345948129E-3</v>
      </c>
      <c r="L49" s="229">
        <v>1</v>
      </c>
      <c r="M49" s="229">
        <f t="shared" si="15"/>
        <v>2.886751345948129E-3</v>
      </c>
      <c r="N49" s="229">
        <f t="shared" si="16"/>
        <v>8.3333333333333337E-6</v>
      </c>
      <c r="O49" s="229">
        <f t="shared" si="17"/>
        <v>1.3888888888888891E-12</v>
      </c>
      <c r="AA49" s="426"/>
      <c r="AB49" s="668" t="s">
        <v>665</v>
      </c>
      <c r="AC49" s="426">
        <v>1000</v>
      </c>
      <c r="AD49" s="427" t="s">
        <v>39</v>
      </c>
      <c r="AE49" s="441">
        <v>1</v>
      </c>
      <c r="AF49" s="433">
        <v>0</v>
      </c>
      <c r="AG49" s="433">
        <v>0</v>
      </c>
      <c r="AH49" s="433">
        <v>0</v>
      </c>
      <c r="AI49" s="195">
        <v>2.0000000000000001E-4</v>
      </c>
      <c r="AJ49" s="195">
        <v>1.2999999999999999E-3</v>
      </c>
    </row>
    <row r="50" spans="3:36" ht="14.4" x14ac:dyDescent="0.3">
      <c r="C50" s="227" t="s">
        <v>97</v>
      </c>
      <c r="D50" s="228" t="s">
        <v>546</v>
      </c>
      <c r="E50" s="229" t="s">
        <v>95</v>
      </c>
      <c r="F50" s="230" t="str">
        <f>F48</f>
        <v>mA2</v>
      </c>
      <c r="G50" s="229" t="s">
        <v>92</v>
      </c>
      <c r="H50" s="583">
        <f>Y24</f>
        <v>9.5999999999999992E-3</v>
      </c>
      <c r="I50" s="229">
        <v>2</v>
      </c>
      <c r="J50" s="229">
        <v>60</v>
      </c>
      <c r="K50" s="229">
        <f t="shared" si="18"/>
        <v>4.7999999999999996E-3</v>
      </c>
      <c r="L50" s="229">
        <v>1</v>
      </c>
      <c r="M50" s="229">
        <f t="shared" si="15"/>
        <v>4.7999999999999996E-3</v>
      </c>
      <c r="N50" s="229">
        <f t="shared" si="16"/>
        <v>2.3039999999999996E-5</v>
      </c>
      <c r="O50" s="229">
        <f t="shared" si="17"/>
        <v>8.8473599999999967E-12</v>
      </c>
      <c r="AA50" s="188">
        <v>11</v>
      </c>
      <c r="AB50" s="669" t="s">
        <v>666</v>
      </c>
      <c r="AC50" s="424">
        <v>45</v>
      </c>
      <c r="AD50" s="196" t="s">
        <v>39</v>
      </c>
      <c r="AE50" s="438">
        <v>10</v>
      </c>
      <c r="AF50" s="432">
        <v>-1E-3</v>
      </c>
      <c r="AG50" s="432">
        <v>-2E-3</v>
      </c>
      <c r="AH50" s="432">
        <v>0</v>
      </c>
      <c r="AI50" s="425">
        <v>-2E-3</v>
      </c>
      <c r="AJ50" s="425">
        <v>1.7000000000000001E-2</v>
      </c>
    </row>
    <row r="51" spans="3:36" ht="14.4" x14ac:dyDescent="0.3">
      <c r="C51" s="227" t="s">
        <v>99</v>
      </c>
      <c r="D51" s="228" t="s">
        <v>547</v>
      </c>
      <c r="E51" s="229" t="s">
        <v>95</v>
      </c>
      <c r="F51" s="230" t="str">
        <f>F48</f>
        <v>mA2</v>
      </c>
      <c r="G51" s="229" t="s">
        <v>96</v>
      </c>
      <c r="H51" s="229">
        <f>X24</f>
        <v>2.8086884016510472E-3</v>
      </c>
      <c r="I51" s="229">
        <f>SQRT(3)</f>
        <v>1.7320508075688772</v>
      </c>
      <c r="J51" s="229">
        <v>50</v>
      </c>
      <c r="K51" s="229">
        <f t="shared" si="18"/>
        <v>1.6215970047630118E-3</v>
      </c>
      <c r="L51" s="229">
        <v>1</v>
      </c>
      <c r="M51" s="229">
        <f>K51*L51</f>
        <v>1.6215970047630118E-3</v>
      </c>
      <c r="N51" s="229">
        <f>M51^2</f>
        <v>2.6295768458563714E-6</v>
      </c>
      <c r="O51" s="229">
        <f>(M51^4)/J51</f>
        <v>1.3829348776527886E-13</v>
      </c>
      <c r="AA51" s="424"/>
      <c r="AB51" s="669" t="s">
        <v>666</v>
      </c>
      <c r="AC51" s="188">
        <v>50</v>
      </c>
      <c r="AD51" s="427" t="s">
        <v>39</v>
      </c>
      <c r="AE51" s="193">
        <v>2.2000000000000002</v>
      </c>
      <c r="AF51" s="193">
        <v>-2.9999999999999997E-4</v>
      </c>
      <c r="AG51" s="662" t="s">
        <v>637</v>
      </c>
      <c r="AH51" s="662" t="s">
        <v>637</v>
      </c>
      <c r="AI51" s="662" t="s">
        <v>637</v>
      </c>
      <c r="AJ51" s="189">
        <v>8.3999999999999995E-3</v>
      </c>
    </row>
    <row r="52" spans="3:36" x14ac:dyDescent="0.25">
      <c r="C52" s="232"/>
      <c r="D52" s="232"/>
      <c r="E52" s="232"/>
      <c r="F52" s="232"/>
      <c r="G52" s="232"/>
      <c r="H52" s="232"/>
      <c r="I52" s="232"/>
      <c r="J52" s="232"/>
      <c r="K52" s="232"/>
      <c r="L52" s="232"/>
      <c r="M52" s="232"/>
      <c r="N52" s="232"/>
      <c r="O52" s="232"/>
      <c r="AA52" s="424"/>
      <c r="AB52" s="669" t="s">
        <v>666</v>
      </c>
      <c r="AC52" s="424">
        <v>50</v>
      </c>
      <c r="AD52" s="196" t="s">
        <v>39</v>
      </c>
      <c r="AE52" s="437">
        <v>10</v>
      </c>
      <c r="AF52" s="432">
        <v>-2E-3</v>
      </c>
      <c r="AG52" s="193">
        <v>-2E-3</v>
      </c>
      <c r="AH52" s="193">
        <v>0</v>
      </c>
      <c r="AI52" s="194">
        <v>-2E-3</v>
      </c>
      <c r="AJ52" s="425">
        <v>1.7000000000000001E-2</v>
      </c>
    </row>
    <row r="53" spans="3:36" x14ac:dyDescent="0.25">
      <c r="C53" s="853" t="s">
        <v>103</v>
      </c>
      <c r="D53" s="854"/>
      <c r="E53" s="854"/>
      <c r="F53" s="854"/>
      <c r="G53" s="854"/>
      <c r="H53" s="854"/>
      <c r="I53" s="854"/>
      <c r="J53" s="854"/>
      <c r="K53" s="854"/>
      <c r="L53" s="855"/>
      <c r="M53" s="856">
        <f>SUM(N48:N51)</f>
        <v>3.4002910179189705E-5</v>
      </c>
      <c r="N53" s="855"/>
      <c r="O53" s="233">
        <f>SUM(O48:O51)</f>
        <v>1.0374542376654165E-11</v>
      </c>
      <c r="AA53" s="188"/>
      <c r="AB53" s="669" t="s">
        <v>666</v>
      </c>
      <c r="AC53" s="188">
        <v>50</v>
      </c>
      <c r="AD53" s="427" t="s">
        <v>39</v>
      </c>
      <c r="AE53" s="193">
        <v>10.9</v>
      </c>
      <c r="AF53" s="193">
        <v>-2E-3</v>
      </c>
      <c r="AG53" s="662" t="s">
        <v>637</v>
      </c>
      <c r="AH53" s="662" t="s">
        <v>637</v>
      </c>
      <c r="AI53" s="662" t="s">
        <v>637</v>
      </c>
      <c r="AJ53" s="189">
        <v>2.3E-2</v>
      </c>
    </row>
    <row r="54" spans="3:36" x14ac:dyDescent="0.25">
      <c r="C54" s="849" t="s">
        <v>104</v>
      </c>
      <c r="D54" s="850"/>
      <c r="E54" s="850"/>
      <c r="F54" s="850"/>
      <c r="G54" s="850"/>
      <c r="H54" s="850"/>
      <c r="I54" s="850"/>
      <c r="J54" s="850"/>
      <c r="K54" s="850"/>
      <c r="L54" s="851"/>
      <c r="M54" s="852">
        <f>SQRT(M53)</f>
        <v>5.831201435312427E-3</v>
      </c>
      <c r="N54" s="851"/>
      <c r="O54" s="227"/>
      <c r="AA54" s="188"/>
      <c r="AB54" s="669" t="s">
        <v>666</v>
      </c>
      <c r="AC54" s="424">
        <v>500</v>
      </c>
      <c r="AD54" s="196" t="s">
        <v>39</v>
      </c>
      <c r="AE54" s="437">
        <v>10</v>
      </c>
      <c r="AF54" s="437">
        <v>0</v>
      </c>
      <c r="AG54" s="432">
        <v>0</v>
      </c>
      <c r="AH54" s="437">
        <v>1E-3</v>
      </c>
      <c r="AI54" s="442">
        <v>-1E-3</v>
      </c>
      <c r="AJ54" s="425">
        <v>1.7000000000000001E-2</v>
      </c>
    </row>
    <row r="55" spans="3:36" ht="14.4" x14ac:dyDescent="0.3">
      <c r="C55" s="849" t="s">
        <v>548</v>
      </c>
      <c r="D55" s="850"/>
      <c r="E55" s="850"/>
      <c r="F55" s="850"/>
      <c r="G55" s="850"/>
      <c r="H55" s="850"/>
      <c r="I55" s="850"/>
      <c r="J55" s="850"/>
      <c r="K55" s="850"/>
      <c r="L55" s="851"/>
      <c r="M55" s="448">
        <f>(M54^4)/O53</f>
        <v>111.445677185322</v>
      </c>
      <c r="N55" s="234"/>
      <c r="O55" s="227"/>
      <c r="AA55" s="426"/>
      <c r="AB55" s="669" t="s">
        <v>666</v>
      </c>
      <c r="AC55" s="426">
        <v>1000</v>
      </c>
      <c r="AD55" s="427" t="s">
        <v>39</v>
      </c>
      <c r="AE55" s="440">
        <v>10</v>
      </c>
      <c r="AF55" s="433">
        <v>1E-3</v>
      </c>
      <c r="AG55" s="433">
        <v>6.7600000000000004E-3</v>
      </c>
      <c r="AH55" s="433">
        <v>0.01</v>
      </c>
      <c r="AI55" s="195">
        <v>-1E-3</v>
      </c>
      <c r="AJ55" s="195">
        <v>1.7000000000000001E-2</v>
      </c>
    </row>
    <row r="56" spans="3:36" ht="14.4" x14ac:dyDescent="0.3">
      <c r="C56" s="849" t="s">
        <v>549</v>
      </c>
      <c r="D56" s="850"/>
      <c r="E56" s="850"/>
      <c r="F56" s="850"/>
      <c r="G56" s="850"/>
      <c r="H56" s="850"/>
      <c r="I56" s="850"/>
      <c r="J56" s="850"/>
      <c r="K56" s="850"/>
      <c r="L56" s="851"/>
      <c r="M56" s="448">
        <f>1.95996+2.37356/M55+2.818745/M55^2+2.546662/M55^3+1.761829/M55^4+0.245458/M55^5+1.000764/M55^6</f>
        <v>1.9814867108135881</v>
      </c>
      <c r="N56" s="234">
        <v>2</v>
      </c>
      <c r="O56" s="227"/>
    </row>
    <row r="57" spans="3:36" x14ac:dyDescent="0.25">
      <c r="C57" s="849" t="s">
        <v>107</v>
      </c>
      <c r="D57" s="850"/>
      <c r="E57" s="850"/>
      <c r="F57" s="850"/>
      <c r="G57" s="850"/>
      <c r="H57" s="850"/>
      <c r="I57" s="850"/>
      <c r="J57" s="850"/>
      <c r="K57" s="850"/>
      <c r="L57" s="851"/>
      <c r="M57" s="448">
        <f>M56*M54</f>
        <v>1.1554448152148695E-2</v>
      </c>
      <c r="N57" s="234">
        <f>N56*M54</f>
        <v>1.1662402870624854E-2</v>
      </c>
      <c r="O57" s="227"/>
    </row>
    <row r="59" spans="3:36" x14ac:dyDescent="0.25">
      <c r="C59" s="207" t="s">
        <v>76</v>
      </c>
      <c r="D59" s="200"/>
      <c r="E59" s="200"/>
      <c r="F59" s="200">
        <f>C$2</f>
        <v>50</v>
      </c>
      <c r="G59" s="217" t="str">
        <f>D$2</f>
        <v>Hz</v>
      </c>
      <c r="H59" s="218">
        <f>C$3</f>
        <v>50</v>
      </c>
      <c r="I59" s="215" t="str">
        <f>D$3</f>
        <v>Hz</v>
      </c>
      <c r="J59" s="199"/>
      <c r="K59" s="199"/>
      <c r="L59" s="199"/>
      <c r="M59" s="199"/>
      <c r="N59" s="199"/>
      <c r="O59" s="289" t="str">
        <f>O$31</f>
        <v>AC Current-Measure</v>
      </c>
    </row>
    <row r="60" spans="3:36" x14ac:dyDescent="0.25">
      <c r="C60" s="219" t="s">
        <v>2</v>
      </c>
      <c r="D60" s="220"/>
      <c r="E60" s="220"/>
      <c r="F60" s="235">
        <f>E4</f>
        <v>54</v>
      </c>
      <c r="G60" s="217" t="str">
        <f>F4</f>
        <v>mA3</v>
      </c>
      <c r="H60" s="222"/>
      <c r="I60" s="223"/>
      <c r="J60" s="223">
        <v>0.01</v>
      </c>
      <c r="K60" s="223"/>
      <c r="L60" s="223"/>
      <c r="M60" s="223"/>
      <c r="N60" s="223"/>
      <c r="O60" s="224"/>
    </row>
    <row r="61" spans="3:36" ht="14.4" x14ac:dyDescent="0.25">
      <c r="C61" s="225" t="s">
        <v>78</v>
      </c>
      <c r="D61" s="225" t="s">
        <v>79</v>
      </c>
      <c r="E61" s="225" t="s">
        <v>10</v>
      </c>
      <c r="F61" s="225" t="s">
        <v>80</v>
      </c>
      <c r="G61" s="225" t="s">
        <v>81</v>
      </c>
      <c r="H61" s="226" t="s">
        <v>82</v>
      </c>
      <c r="I61" s="225" t="s">
        <v>83</v>
      </c>
      <c r="J61" s="225" t="s">
        <v>84</v>
      </c>
      <c r="K61" s="225" t="s">
        <v>85</v>
      </c>
      <c r="L61" s="225" t="s">
        <v>86</v>
      </c>
      <c r="M61" s="225" t="s">
        <v>87</v>
      </c>
      <c r="N61" s="225" t="s">
        <v>542</v>
      </c>
      <c r="O61" s="225" t="s">
        <v>543</v>
      </c>
    </row>
    <row r="62" spans="3:36" ht="14.4" x14ac:dyDescent="0.3">
      <c r="C62" s="227" t="s">
        <v>90</v>
      </c>
      <c r="D62" s="228" t="s">
        <v>544</v>
      </c>
      <c r="E62" s="229" t="s">
        <v>42</v>
      </c>
      <c r="F62" s="230" t="str">
        <f>G60</f>
        <v>mA3</v>
      </c>
      <c r="G62" s="608" t="s">
        <v>631</v>
      </c>
      <c r="H62" s="229">
        <f>STDEV(Data!E80:N80)/SQRT(5)</f>
        <v>0</v>
      </c>
      <c r="I62" s="229">
        <v>1</v>
      </c>
      <c r="J62" s="229">
        <f>5-1</f>
        <v>4</v>
      </c>
      <c r="K62" s="229">
        <f>(H62)/I62</f>
        <v>0</v>
      </c>
      <c r="L62" s="229">
        <v>1</v>
      </c>
      <c r="M62" s="229">
        <f t="shared" ref="M62:M64" si="19">K62*L62</f>
        <v>0</v>
      </c>
      <c r="N62" s="229">
        <f t="shared" ref="N62:N64" si="20">M62^2</f>
        <v>0</v>
      </c>
      <c r="O62" s="229">
        <f t="shared" ref="O62:O64" si="21">(M62^4)/J62</f>
        <v>0</v>
      </c>
    </row>
    <row r="63" spans="3:36" ht="14.4" x14ac:dyDescent="0.3">
      <c r="C63" s="227" t="s">
        <v>93</v>
      </c>
      <c r="D63" s="228" t="s">
        <v>545</v>
      </c>
      <c r="E63" s="229" t="s">
        <v>95</v>
      </c>
      <c r="F63" s="230" t="str">
        <f>F62</f>
        <v>mA3</v>
      </c>
      <c r="G63" s="229" t="s">
        <v>96</v>
      </c>
      <c r="H63" s="229">
        <f>J60/2</f>
        <v>5.0000000000000001E-3</v>
      </c>
      <c r="I63" s="229">
        <f>SQRT(3)</f>
        <v>1.7320508075688772</v>
      </c>
      <c r="J63" s="229">
        <v>50</v>
      </c>
      <c r="K63" s="229">
        <f t="shared" ref="K63:K65" si="22">(H63)/I63</f>
        <v>2.886751345948129E-3</v>
      </c>
      <c r="L63" s="229">
        <v>1</v>
      </c>
      <c r="M63" s="229">
        <f t="shared" si="19"/>
        <v>2.886751345948129E-3</v>
      </c>
      <c r="N63" s="229">
        <f t="shared" si="20"/>
        <v>8.3333333333333337E-6</v>
      </c>
      <c r="O63" s="229">
        <f t="shared" si="21"/>
        <v>1.3888888888888891E-12</v>
      </c>
    </row>
    <row r="64" spans="3:36" ht="14.4" x14ac:dyDescent="0.3">
      <c r="C64" s="227" t="s">
        <v>97</v>
      </c>
      <c r="D64" s="228" t="s">
        <v>546</v>
      </c>
      <c r="E64" s="229" t="s">
        <v>95</v>
      </c>
      <c r="F64" s="230" t="str">
        <f>F62</f>
        <v>mA3</v>
      </c>
      <c r="G64" s="229" t="s">
        <v>92</v>
      </c>
      <c r="H64" s="583">
        <f>Y25</f>
        <v>5.0999999999999997E-2</v>
      </c>
      <c r="I64" s="229">
        <v>2</v>
      </c>
      <c r="J64" s="229">
        <v>60</v>
      </c>
      <c r="K64" s="229">
        <f t="shared" si="22"/>
        <v>2.5499999999999998E-2</v>
      </c>
      <c r="L64" s="229">
        <v>1</v>
      </c>
      <c r="M64" s="229">
        <f t="shared" si="19"/>
        <v>2.5499999999999998E-2</v>
      </c>
      <c r="N64" s="229">
        <f t="shared" si="20"/>
        <v>6.5024999999999989E-4</v>
      </c>
      <c r="O64" s="229">
        <f t="shared" si="21"/>
        <v>7.0470843749999977E-9</v>
      </c>
    </row>
    <row r="65" spans="3:15" ht="14.4" x14ac:dyDescent="0.3">
      <c r="C65" s="227" t="s">
        <v>99</v>
      </c>
      <c r="D65" s="228" t="s">
        <v>547</v>
      </c>
      <c r="E65" s="229" t="s">
        <v>95</v>
      </c>
      <c r="F65" s="230" t="str">
        <f>F62</f>
        <v>mA3</v>
      </c>
      <c r="G65" s="229" t="s">
        <v>96</v>
      </c>
      <c r="H65" s="229">
        <f>X25</f>
        <v>1.6707773598245806E-2</v>
      </c>
      <c r="I65" s="229">
        <f>SQRT(3)</f>
        <v>1.7320508075688772</v>
      </c>
      <c r="J65" s="229">
        <v>50</v>
      </c>
      <c r="K65" s="229">
        <f t="shared" si="22"/>
        <v>9.6462375845065389E-3</v>
      </c>
      <c r="L65" s="229">
        <v>1</v>
      </c>
      <c r="M65" s="229">
        <f>K65*L65</f>
        <v>9.6462375845065389E-3</v>
      </c>
      <c r="N65" s="229">
        <f>M65^2</f>
        <v>9.3049899536746546E-5</v>
      </c>
      <c r="O65" s="229">
        <f>(M65^4)/J65</f>
        <v>1.731656760759725E-10</v>
      </c>
    </row>
    <row r="66" spans="3:15" x14ac:dyDescent="0.25">
      <c r="C66" s="232"/>
      <c r="D66" s="232"/>
      <c r="E66" s="232"/>
      <c r="F66" s="232"/>
      <c r="G66" s="232"/>
      <c r="H66" s="232"/>
      <c r="I66" s="232"/>
      <c r="J66" s="232"/>
      <c r="K66" s="232"/>
      <c r="L66" s="232"/>
      <c r="M66" s="232"/>
      <c r="N66" s="232"/>
      <c r="O66" s="232"/>
    </row>
    <row r="67" spans="3:15" x14ac:dyDescent="0.25">
      <c r="C67" s="853" t="s">
        <v>103</v>
      </c>
      <c r="D67" s="854"/>
      <c r="E67" s="854"/>
      <c r="F67" s="854"/>
      <c r="G67" s="854"/>
      <c r="H67" s="854"/>
      <c r="I67" s="854"/>
      <c r="J67" s="854"/>
      <c r="K67" s="854"/>
      <c r="L67" s="855"/>
      <c r="M67" s="856">
        <f>SUM(N62:N65)</f>
        <v>7.516332328700797E-4</v>
      </c>
      <c r="N67" s="855"/>
      <c r="O67" s="233">
        <f>SUM(O62:O65)</f>
        <v>7.221638939964859E-9</v>
      </c>
    </row>
    <row r="68" spans="3:15" x14ac:dyDescent="0.25">
      <c r="C68" s="849" t="s">
        <v>104</v>
      </c>
      <c r="D68" s="850"/>
      <c r="E68" s="850"/>
      <c r="F68" s="850"/>
      <c r="G68" s="850"/>
      <c r="H68" s="850"/>
      <c r="I68" s="850"/>
      <c r="J68" s="850"/>
      <c r="K68" s="850"/>
      <c r="L68" s="851"/>
      <c r="M68" s="852">
        <f>SQRT(M67)</f>
        <v>2.7415930275481802E-2</v>
      </c>
      <c r="N68" s="851"/>
      <c r="O68" s="227"/>
    </row>
    <row r="69" spans="3:15" ht="14.4" x14ac:dyDescent="0.3">
      <c r="C69" s="849" t="s">
        <v>548</v>
      </c>
      <c r="D69" s="850"/>
      <c r="E69" s="850"/>
      <c r="F69" s="850"/>
      <c r="G69" s="850"/>
      <c r="H69" s="850"/>
      <c r="I69" s="850"/>
      <c r="J69" s="850"/>
      <c r="K69" s="850"/>
      <c r="L69" s="851"/>
      <c r="M69" s="448">
        <f>(M68^4)/O67</f>
        <v>78.230512692659843</v>
      </c>
      <c r="N69" s="234"/>
      <c r="O69" s="227"/>
    </row>
    <row r="70" spans="3:15" ht="14.4" x14ac:dyDescent="0.3">
      <c r="C70" s="849" t="s">
        <v>549</v>
      </c>
      <c r="D70" s="850"/>
      <c r="E70" s="850"/>
      <c r="F70" s="850"/>
      <c r="G70" s="850"/>
      <c r="H70" s="850"/>
      <c r="I70" s="850"/>
      <c r="J70" s="850"/>
      <c r="K70" s="850"/>
      <c r="L70" s="851"/>
      <c r="M70" s="448">
        <f>1.95996+2.37356/M69+2.818745/M69^2+2.546662/M69^3+1.761829/M69^4+0.245458/M69^5+1.000764/M69^6</f>
        <v>1.9907665356815543</v>
      </c>
      <c r="N70" s="234">
        <v>2</v>
      </c>
      <c r="O70" s="227"/>
    </row>
    <row r="71" spans="3:15" x14ac:dyDescent="0.25">
      <c r="C71" s="849" t="s">
        <v>107</v>
      </c>
      <c r="D71" s="850"/>
      <c r="E71" s="850"/>
      <c r="F71" s="850"/>
      <c r="G71" s="850"/>
      <c r="H71" s="850"/>
      <c r="I71" s="850"/>
      <c r="J71" s="850"/>
      <c r="K71" s="850"/>
      <c r="L71" s="851"/>
      <c r="M71" s="448">
        <f>M70*M68</f>
        <v>5.4578716537007944E-2</v>
      </c>
      <c r="N71" s="234">
        <f>N70*M68</f>
        <v>5.4831860550963604E-2</v>
      </c>
      <c r="O71" s="227"/>
    </row>
    <row r="73" spans="3:15" x14ac:dyDescent="0.25">
      <c r="C73" s="207" t="s">
        <v>76</v>
      </c>
      <c r="D73" s="200"/>
      <c r="E73" s="200"/>
      <c r="F73" s="200">
        <f>C$5</f>
        <v>50</v>
      </c>
      <c r="G73" s="216" t="str">
        <f>D$5</f>
        <v>Hz</v>
      </c>
      <c r="H73" s="218">
        <f>C$6</f>
        <v>50</v>
      </c>
      <c r="I73" s="215" t="str">
        <f>D$6</f>
        <v>Hz</v>
      </c>
      <c r="J73" s="199"/>
      <c r="K73" s="199"/>
      <c r="L73" s="199"/>
      <c r="M73" s="199"/>
      <c r="N73" s="199"/>
      <c r="O73" s="289" t="str">
        <f>O$31</f>
        <v>AC Current-Measure</v>
      </c>
    </row>
    <row r="74" spans="3:15" x14ac:dyDescent="0.25">
      <c r="C74" s="219" t="s">
        <v>2</v>
      </c>
      <c r="D74" s="220"/>
      <c r="E74" s="220"/>
      <c r="F74" s="235">
        <f>E5</f>
        <v>60</v>
      </c>
      <c r="G74" s="235" t="str">
        <f>F5</f>
        <v>mA3</v>
      </c>
      <c r="H74" s="222"/>
      <c r="I74" s="223"/>
      <c r="J74" s="223">
        <v>0.1</v>
      </c>
      <c r="K74" s="223"/>
      <c r="L74" s="223"/>
      <c r="M74" s="223"/>
      <c r="N74" s="223"/>
      <c r="O74" s="224"/>
    </row>
    <row r="75" spans="3:15" ht="14.4" x14ac:dyDescent="0.25">
      <c r="C75" s="225" t="s">
        <v>78</v>
      </c>
      <c r="D75" s="225" t="s">
        <v>79</v>
      </c>
      <c r="E75" s="225" t="s">
        <v>10</v>
      </c>
      <c r="F75" s="225" t="s">
        <v>80</v>
      </c>
      <c r="G75" s="225" t="s">
        <v>81</v>
      </c>
      <c r="H75" s="226" t="s">
        <v>82</v>
      </c>
      <c r="I75" s="225" t="s">
        <v>83</v>
      </c>
      <c r="J75" s="225" t="s">
        <v>84</v>
      </c>
      <c r="K75" s="225" t="s">
        <v>85</v>
      </c>
      <c r="L75" s="225" t="s">
        <v>86</v>
      </c>
      <c r="M75" s="225" t="s">
        <v>87</v>
      </c>
      <c r="N75" s="225" t="s">
        <v>542</v>
      </c>
      <c r="O75" s="225" t="s">
        <v>543</v>
      </c>
    </row>
    <row r="76" spans="3:15" ht="14.4" x14ac:dyDescent="0.3">
      <c r="C76" s="227" t="s">
        <v>90</v>
      </c>
      <c r="D76" s="228" t="s">
        <v>544</v>
      </c>
      <c r="E76" s="229" t="s">
        <v>42</v>
      </c>
      <c r="F76" s="230" t="str">
        <f>G74</f>
        <v>mA3</v>
      </c>
      <c r="G76" s="608" t="s">
        <v>631</v>
      </c>
      <c r="H76" s="229">
        <f>STDEV(Data!E82:N82)/SQRT(5)</f>
        <v>0</v>
      </c>
      <c r="I76" s="229">
        <v>1</v>
      </c>
      <c r="J76" s="229">
        <f>5-1</f>
        <v>4</v>
      </c>
      <c r="K76" s="229">
        <f>(H76)/I76</f>
        <v>0</v>
      </c>
      <c r="L76" s="229">
        <v>1</v>
      </c>
      <c r="M76" s="229">
        <f t="shared" ref="M76:M78" si="23">K76*L76</f>
        <v>0</v>
      </c>
      <c r="N76" s="229">
        <f t="shared" ref="N76:N78" si="24">M76^2</f>
        <v>0</v>
      </c>
      <c r="O76" s="229">
        <f t="shared" ref="O76:O78" si="25">(M76^4)/J76</f>
        <v>0</v>
      </c>
    </row>
    <row r="77" spans="3:15" ht="14.4" x14ac:dyDescent="0.3">
      <c r="C77" s="227" t="s">
        <v>93</v>
      </c>
      <c r="D77" s="228" t="s">
        <v>545</v>
      </c>
      <c r="E77" s="229" t="s">
        <v>95</v>
      </c>
      <c r="F77" s="230" t="str">
        <f>F76</f>
        <v>mA3</v>
      </c>
      <c r="G77" s="229" t="s">
        <v>96</v>
      </c>
      <c r="H77" s="229">
        <f>J74/2</f>
        <v>0.05</v>
      </c>
      <c r="I77" s="229">
        <f>SQRT(3)</f>
        <v>1.7320508075688772</v>
      </c>
      <c r="J77" s="229">
        <v>50</v>
      </c>
      <c r="K77" s="229">
        <f t="shared" ref="K77:K79" si="26">(H77)/I77</f>
        <v>2.8867513459481291E-2</v>
      </c>
      <c r="L77" s="229">
        <v>1</v>
      </c>
      <c r="M77" s="229">
        <f t="shared" si="23"/>
        <v>2.8867513459481291E-2</v>
      </c>
      <c r="N77" s="229">
        <f t="shared" si="24"/>
        <v>8.333333333333335E-4</v>
      </c>
      <c r="O77" s="229">
        <f t="shared" si="25"/>
        <v>1.3888888888888894E-8</v>
      </c>
    </row>
    <row r="78" spans="3:15" ht="14.4" x14ac:dyDescent="0.3">
      <c r="C78" s="227" t="s">
        <v>97</v>
      </c>
      <c r="D78" s="228" t="s">
        <v>546</v>
      </c>
      <c r="E78" s="229" t="s">
        <v>95</v>
      </c>
      <c r="F78" s="230" t="str">
        <f>F76</f>
        <v>mA3</v>
      </c>
      <c r="G78" s="229" t="s">
        <v>92</v>
      </c>
      <c r="H78" s="583">
        <f>Y26</f>
        <v>7.4999999999999997E-2</v>
      </c>
      <c r="I78" s="229">
        <v>2</v>
      </c>
      <c r="J78" s="229">
        <v>60</v>
      </c>
      <c r="K78" s="229">
        <f t="shared" si="26"/>
        <v>3.7499999999999999E-2</v>
      </c>
      <c r="L78" s="229">
        <v>1</v>
      </c>
      <c r="M78" s="229">
        <f t="shared" si="23"/>
        <v>3.7499999999999999E-2</v>
      </c>
      <c r="N78" s="229">
        <f t="shared" si="24"/>
        <v>1.4062499999999999E-3</v>
      </c>
      <c r="O78" s="229">
        <f t="shared" si="25"/>
        <v>3.2958984375E-8</v>
      </c>
    </row>
    <row r="79" spans="3:15" ht="14.4" x14ac:dyDescent="0.3">
      <c r="C79" s="227" t="s">
        <v>99</v>
      </c>
      <c r="D79" s="228" t="s">
        <v>547</v>
      </c>
      <c r="E79" s="229" t="s">
        <v>95</v>
      </c>
      <c r="F79" s="230" t="str">
        <f>F76</f>
        <v>mA3</v>
      </c>
      <c r="G79" s="229" t="s">
        <v>96</v>
      </c>
      <c r="H79" s="229">
        <f>X26</f>
        <v>1.6655789102393691E-2</v>
      </c>
      <c r="I79" s="229">
        <f>SQRT(3)</f>
        <v>1.7320508075688772</v>
      </c>
      <c r="J79" s="229">
        <v>50</v>
      </c>
      <c r="K79" s="229">
        <f t="shared" si="26"/>
        <v>9.6162243218326331E-3</v>
      </c>
      <c r="L79" s="229">
        <v>1</v>
      </c>
      <c r="M79" s="229">
        <f>K79*L79</f>
        <v>9.6162243218326331E-3</v>
      </c>
      <c r="N79" s="229">
        <f>M79^2</f>
        <v>9.2471770207805482E-5</v>
      </c>
      <c r="O79" s="229">
        <f>(M79^4)/J79</f>
        <v>1.7102056570730364E-10</v>
      </c>
    </row>
    <row r="80" spans="3:15" x14ac:dyDescent="0.25">
      <c r="C80" s="232"/>
      <c r="D80" s="232"/>
      <c r="E80" s="232"/>
      <c r="F80" s="232"/>
      <c r="G80" s="232"/>
      <c r="H80" s="232"/>
      <c r="I80" s="232"/>
      <c r="J80" s="232"/>
      <c r="K80" s="232"/>
      <c r="L80" s="232"/>
      <c r="M80" s="232"/>
      <c r="N80" s="232"/>
      <c r="O80" s="232"/>
    </row>
    <row r="81" spans="3:15" x14ac:dyDescent="0.25">
      <c r="C81" s="853" t="s">
        <v>103</v>
      </c>
      <c r="D81" s="854"/>
      <c r="E81" s="854"/>
      <c r="F81" s="854"/>
      <c r="G81" s="854"/>
      <c r="H81" s="854"/>
      <c r="I81" s="854"/>
      <c r="J81" s="854"/>
      <c r="K81" s="854"/>
      <c r="L81" s="855"/>
      <c r="M81" s="856">
        <f>SUM(N76:N79)</f>
        <v>2.3320551035411387E-3</v>
      </c>
      <c r="N81" s="855"/>
      <c r="O81" s="233">
        <f>SUM(O76:O79)</f>
        <v>4.7018893829596193E-8</v>
      </c>
    </row>
    <row r="82" spans="3:15" x14ac:dyDescent="0.25">
      <c r="C82" s="849" t="s">
        <v>104</v>
      </c>
      <c r="D82" s="850"/>
      <c r="E82" s="850"/>
      <c r="F82" s="850"/>
      <c r="G82" s="850"/>
      <c r="H82" s="850"/>
      <c r="I82" s="850"/>
      <c r="J82" s="850"/>
      <c r="K82" s="850"/>
      <c r="L82" s="851"/>
      <c r="M82" s="852">
        <f>SQRT(M81)</f>
        <v>4.8291356406101688E-2</v>
      </c>
      <c r="N82" s="851"/>
      <c r="O82" s="227"/>
    </row>
    <row r="83" spans="3:15" ht="14.4" x14ac:dyDescent="0.3">
      <c r="C83" s="849" t="s">
        <v>548</v>
      </c>
      <c r="D83" s="850"/>
      <c r="E83" s="850"/>
      <c r="F83" s="850"/>
      <c r="G83" s="850"/>
      <c r="H83" s="850"/>
      <c r="I83" s="850"/>
      <c r="J83" s="850"/>
      <c r="K83" s="850"/>
      <c r="L83" s="851"/>
      <c r="M83" s="448">
        <f>(M82^4)/O81</f>
        <v>115.66586457057397</v>
      </c>
      <c r="N83" s="234"/>
      <c r="O83" s="227"/>
    </row>
    <row r="84" spans="3:15" ht="14.4" x14ac:dyDescent="0.3">
      <c r="C84" s="849" t="s">
        <v>549</v>
      </c>
      <c r="D84" s="850"/>
      <c r="E84" s="850"/>
      <c r="F84" s="850"/>
      <c r="G84" s="850"/>
      <c r="H84" s="850"/>
      <c r="I84" s="850"/>
      <c r="J84" s="850"/>
      <c r="K84" s="850"/>
      <c r="L84" s="851"/>
      <c r="M84" s="448">
        <f>1.95996+2.37356/M83+2.818745/M83^2+2.546662/M83^3+1.761829/M83^4+0.245458/M83^5+1.000764/M83^6</f>
        <v>1.9806931802228822</v>
      </c>
      <c r="N84" s="234">
        <v>2</v>
      </c>
      <c r="O84" s="227"/>
    </row>
    <row r="85" spans="3:15" x14ac:dyDescent="0.25">
      <c r="C85" s="849" t="s">
        <v>107</v>
      </c>
      <c r="D85" s="850"/>
      <c r="E85" s="850"/>
      <c r="F85" s="850"/>
      <c r="G85" s="850"/>
      <c r="H85" s="850"/>
      <c r="I85" s="850"/>
      <c r="J85" s="850"/>
      <c r="K85" s="850"/>
      <c r="L85" s="851"/>
      <c r="M85" s="448">
        <f>M84*M82</f>
        <v>9.5650360297278206E-2</v>
      </c>
      <c r="N85" s="234">
        <f>N84*M82</f>
        <v>9.6582712812203375E-2</v>
      </c>
      <c r="O85" s="227"/>
    </row>
    <row r="87" spans="3:15" x14ac:dyDescent="0.25">
      <c r="C87" s="207" t="s">
        <v>76</v>
      </c>
      <c r="D87" s="200"/>
      <c r="E87" s="200"/>
      <c r="F87" s="200">
        <f>C$5</f>
        <v>50</v>
      </c>
      <c r="G87" s="216" t="str">
        <f>D$5</f>
        <v>Hz</v>
      </c>
      <c r="H87" s="218">
        <f>C$6</f>
        <v>50</v>
      </c>
      <c r="I87" s="215" t="str">
        <f>D$6</f>
        <v>Hz</v>
      </c>
      <c r="J87" s="199"/>
      <c r="K87" s="199"/>
      <c r="L87" s="199"/>
      <c r="M87" s="199"/>
      <c r="N87" s="199"/>
      <c r="O87" s="289" t="str">
        <f>O$31</f>
        <v>AC Current-Measure</v>
      </c>
    </row>
    <row r="88" spans="3:15" x14ac:dyDescent="0.25">
      <c r="C88" s="219" t="s">
        <v>2</v>
      </c>
      <c r="D88" s="220"/>
      <c r="E88" s="220"/>
      <c r="F88" s="235">
        <f>E6</f>
        <v>300</v>
      </c>
      <c r="G88" s="235" t="str">
        <f>F6</f>
        <v>mA3</v>
      </c>
      <c r="H88" s="222"/>
      <c r="I88" s="223"/>
      <c r="J88" s="223">
        <v>0.1</v>
      </c>
      <c r="K88" s="223"/>
      <c r="L88" s="223"/>
      <c r="M88" s="223"/>
      <c r="N88" s="223"/>
      <c r="O88" s="224"/>
    </row>
    <row r="89" spans="3:15" ht="14.4" x14ac:dyDescent="0.25">
      <c r="C89" s="225" t="s">
        <v>78</v>
      </c>
      <c r="D89" s="225" t="s">
        <v>79</v>
      </c>
      <c r="E89" s="225" t="s">
        <v>10</v>
      </c>
      <c r="F89" s="225" t="s">
        <v>80</v>
      </c>
      <c r="G89" s="225" t="s">
        <v>81</v>
      </c>
      <c r="H89" s="226" t="s">
        <v>82</v>
      </c>
      <c r="I89" s="225" t="s">
        <v>83</v>
      </c>
      <c r="J89" s="225" t="s">
        <v>84</v>
      </c>
      <c r="K89" s="225" t="s">
        <v>85</v>
      </c>
      <c r="L89" s="225" t="s">
        <v>86</v>
      </c>
      <c r="M89" s="225" t="s">
        <v>87</v>
      </c>
      <c r="N89" s="225" t="s">
        <v>542</v>
      </c>
      <c r="O89" s="225" t="s">
        <v>543</v>
      </c>
    </row>
    <row r="90" spans="3:15" ht="14.4" x14ac:dyDescent="0.3">
      <c r="C90" s="227" t="s">
        <v>90</v>
      </c>
      <c r="D90" s="228" t="s">
        <v>544</v>
      </c>
      <c r="E90" s="229" t="s">
        <v>42</v>
      </c>
      <c r="F90" s="230" t="str">
        <f>G88</f>
        <v>mA3</v>
      </c>
      <c r="G90" s="608" t="s">
        <v>631</v>
      </c>
      <c r="H90" s="229">
        <f>STDEV(Data!E83:N83)/SQRT(5)</f>
        <v>0</v>
      </c>
      <c r="I90" s="229">
        <v>1</v>
      </c>
      <c r="J90" s="229">
        <f>5-1</f>
        <v>4</v>
      </c>
      <c r="K90" s="229">
        <f>(H90)/I90</f>
        <v>0</v>
      </c>
      <c r="L90" s="229">
        <v>1</v>
      </c>
      <c r="M90" s="229">
        <f t="shared" ref="M90:M92" si="27">K90*L90</f>
        <v>0</v>
      </c>
      <c r="N90" s="229">
        <f t="shared" ref="N90:N92" si="28">M90^2</f>
        <v>0</v>
      </c>
      <c r="O90" s="229">
        <f t="shared" ref="O90:O92" si="29">(M90^4)/J90</f>
        <v>0</v>
      </c>
    </row>
    <row r="91" spans="3:15" ht="14.4" x14ac:dyDescent="0.3">
      <c r="C91" s="227" t="s">
        <v>93</v>
      </c>
      <c r="D91" s="228" t="s">
        <v>545</v>
      </c>
      <c r="E91" s="229" t="s">
        <v>95</v>
      </c>
      <c r="F91" s="230" t="str">
        <f>F90</f>
        <v>mA3</v>
      </c>
      <c r="G91" s="229" t="s">
        <v>96</v>
      </c>
      <c r="H91" s="229">
        <f>J88/2</f>
        <v>0.05</v>
      </c>
      <c r="I91" s="229">
        <f>SQRT(3)</f>
        <v>1.7320508075688772</v>
      </c>
      <c r="J91" s="229">
        <v>50</v>
      </c>
      <c r="K91" s="229">
        <f t="shared" ref="K91:K93" si="30">(H91)/I91</f>
        <v>2.8867513459481291E-2</v>
      </c>
      <c r="L91" s="229">
        <v>1</v>
      </c>
      <c r="M91" s="229">
        <f t="shared" si="27"/>
        <v>2.8867513459481291E-2</v>
      </c>
      <c r="N91" s="229">
        <f t="shared" si="28"/>
        <v>8.333333333333335E-4</v>
      </c>
      <c r="O91" s="229">
        <f t="shared" si="29"/>
        <v>1.3888888888888894E-8</v>
      </c>
    </row>
    <row r="92" spans="3:15" ht="14.4" x14ac:dyDescent="0.3">
      <c r="C92" s="227" t="s">
        <v>97</v>
      </c>
      <c r="D92" s="228" t="s">
        <v>546</v>
      </c>
      <c r="E92" s="229" t="s">
        <v>95</v>
      </c>
      <c r="F92" s="230" t="str">
        <f>F90</f>
        <v>mA3</v>
      </c>
      <c r="G92" s="229" t="s">
        <v>92</v>
      </c>
      <c r="H92" s="231">
        <f>Y27</f>
        <v>9.1999999999999998E-2</v>
      </c>
      <c r="I92" s="229">
        <v>2</v>
      </c>
      <c r="J92" s="229">
        <v>60</v>
      </c>
      <c r="K92" s="229">
        <f t="shared" si="30"/>
        <v>4.5999999999999999E-2</v>
      </c>
      <c r="L92" s="229">
        <v>1</v>
      </c>
      <c r="M92" s="229">
        <f t="shared" si="27"/>
        <v>4.5999999999999999E-2</v>
      </c>
      <c r="N92" s="229">
        <f t="shared" si="28"/>
        <v>2.1159999999999998E-3</v>
      </c>
      <c r="O92" s="229">
        <f t="shared" si="29"/>
        <v>7.4624266666666657E-8</v>
      </c>
    </row>
    <row r="93" spans="3:15" ht="14.4" x14ac:dyDescent="0.3">
      <c r="C93" s="227" t="s">
        <v>99</v>
      </c>
      <c r="D93" s="228" t="s">
        <v>547</v>
      </c>
      <c r="E93" s="229" t="s">
        <v>95</v>
      </c>
      <c r="F93" s="230" t="str">
        <f>F90</f>
        <v>mA3</v>
      </c>
      <c r="G93" s="229" t="s">
        <v>96</v>
      </c>
      <c r="H93" s="229">
        <f>X27</f>
        <v>1.3995828089374515E-2</v>
      </c>
      <c r="I93" s="229">
        <f>SQRT(3)</f>
        <v>1.7320508075688772</v>
      </c>
      <c r="J93" s="229">
        <v>50</v>
      </c>
      <c r="K93" s="229">
        <f t="shared" si="30"/>
        <v>8.0804951149321021E-3</v>
      </c>
      <c r="L93" s="229">
        <v>1</v>
      </c>
      <c r="M93" s="229">
        <f>K93*L93</f>
        <v>8.0804951149321021E-3</v>
      </c>
      <c r="N93" s="229">
        <f>M93^2</f>
        <v>6.5294401302441569E-5</v>
      </c>
      <c r="O93" s="229">
        <f>(M93^4)/J93</f>
        <v>8.5267176828885669E-11</v>
      </c>
    </row>
    <row r="94" spans="3:15" x14ac:dyDescent="0.25">
      <c r="C94" s="232"/>
      <c r="D94" s="232"/>
      <c r="E94" s="232"/>
      <c r="F94" s="232"/>
      <c r="G94" s="232"/>
      <c r="H94" s="232"/>
      <c r="I94" s="232"/>
      <c r="J94" s="232"/>
      <c r="K94" s="232"/>
      <c r="L94" s="232"/>
      <c r="M94" s="232"/>
      <c r="N94" s="232"/>
      <c r="O94" s="232"/>
    </row>
    <row r="95" spans="3:15" x14ac:dyDescent="0.25">
      <c r="C95" s="853" t="s">
        <v>103</v>
      </c>
      <c r="D95" s="854"/>
      <c r="E95" s="854"/>
      <c r="F95" s="854"/>
      <c r="G95" s="854"/>
      <c r="H95" s="854"/>
      <c r="I95" s="854"/>
      <c r="J95" s="854"/>
      <c r="K95" s="854"/>
      <c r="L95" s="855"/>
      <c r="M95" s="856">
        <f>SUM(N90:N93)</f>
        <v>3.0146277346357747E-3</v>
      </c>
      <c r="N95" s="855"/>
      <c r="O95" s="233">
        <f>SUM(O90:O93)</f>
        <v>8.8598422732384436E-8</v>
      </c>
    </row>
    <row r="96" spans="3:15" x14ac:dyDescent="0.25">
      <c r="C96" s="849" t="s">
        <v>104</v>
      </c>
      <c r="D96" s="850"/>
      <c r="E96" s="850"/>
      <c r="F96" s="850"/>
      <c r="G96" s="850"/>
      <c r="H96" s="850"/>
      <c r="I96" s="850"/>
      <c r="J96" s="850"/>
      <c r="K96" s="850"/>
      <c r="L96" s="851"/>
      <c r="M96" s="852">
        <f>SQRT(M95)</f>
        <v>5.4905625710265561E-2</v>
      </c>
      <c r="N96" s="851"/>
      <c r="O96" s="227"/>
    </row>
    <row r="97" spans="3:15" ht="14.4" x14ac:dyDescent="0.3">
      <c r="C97" s="849" t="s">
        <v>548</v>
      </c>
      <c r="D97" s="850"/>
      <c r="E97" s="850"/>
      <c r="F97" s="850"/>
      <c r="G97" s="850"/>
      <c r="H97" s="850"/>
      <c r="I97" s="850"/>
      <c r="J97" s="850"/>
      <c r="K97" s="850"/>
      <c r="L97" s="851"/>
      <c r="M97" s="448">
        <f>(M96^4)/O95</f>
        <v>102.57496802043396</v>
      </c>
      <c r="N97" s="234"/>
      <c r="O97" s="227"/>
    </row>
    <row r="98" spans="3:15" ht="14.4" x14ac:dyDescent="0.3">
      <c r="C98" s="849" t="s">
        <v>549</v>
      </c>
      <c r="D98" s="850"/>
      <c r="E98" s="850"/>
      <c r="F98" s="850"/>
      <c r="G98" s="850"/>
      <c r="H98" s="850"/>
      <c r="I98" s="850"/>
      <c r="J98" s="850"/>
      <c r="K98" s="850"/>
      <c r="L98" s="851"/>
      <c r="M98" s="448">
        <f>1.95996+2.37356/M97+2.818745/M97^2+2.546662/M97^3+1.761829/M97^4+0.245458/M97^5+1.000764/M97^6</f>
        <v>1.983370034382177</v>
      </c>
      <c r="N98" s="234">
        <v>2</v>
      </c>
      <c r="O98" s="227"/>
    </row>
    <row r="99" spans="3:15" x14ac:dyDescent="0.25">
      <c r="C99" s="849" t="s">
        <v>107</v>
      </c>
      <c r="D99" s="850"/>
      <c r="E99" s="850"/>
      <c r="F99" s="850"/>
      <c r="G99" s="850"/>
      <c r="H99" s="850"/>
      <c r="I99" s="850"/>
      <c r="J99" s="850"/>
      <c r="K99" s="850"/>
      <c r="L99" s="851"/>
      <c r="M99" s="448">
        <f>M98*M96</f>
        <v>0.10889817275274434</v>
      </c>
      <c r="N99" s="234">
        <f>N98*M96</f>
        <v>0.10981125142053112</v>
      </c>
      <c r="O99" s="227"/>
    </row>
    <row r="101" spans="3:15" x14ac:dyDescent="0.25">
      <c r="C101" s="207" t="s">
        <v>76</v>
      </c>
      <c r="D101" s="200"/>
      <c r="E101" s="200"/>
      <c r="F101" s="200">
        <f>C$5</f>
        <v>50</v>
      </c>
      <c r="G101" s="216" t="str">
        <f>D$5</f>
        <v>Hz</v>
      </c>
      <c r="H101" s="218">
        <f>C$6</f>
        <v>50</v>
      </c>
      <c r="I101" s="215" t="str">
        <f>D$6</f>
        <v>Hz</v>
      </c>
      <c r="J101" s="199"/>
      <c r="K101" s="199"/>
      <c r="L101" s="199"/>
      <c r="M101" s="199"/>
      <c r="N101" s="199"/>
      <c r="O101" s="289" t="str">
        <f>O$31</f>
        <v>AC Current-Measure</v>
      </c>
    </row>
    <row r="102" spans="3:15" x14ac:dyDescent="0.25">
      <c r="C102" s="219" t="s">
        <v>2</v>
      </c>
      <c r="D102" s="220"/>
      <c r="E102" s="220"/>
      <c r="F102" s="237">
        <f>E7</f>
        <v>0.54</v>
      </c>
      <c r="G102" s="235" t="str">
        <f>F7</f>
        <v>A1</v>
      </c>
      <c r="H102" s="253">
        <f>H7</f>
        <v>540.1</v>
      </c>
      <c r="I102" s="253" t="str">
        <f>I7</f>
        <v>mA</v>
      </c>
      <c r="J102" s="223">
        <v>0.1</v>
      </c>
      <c r="K102" s="223"/>
      <c r="L102" s="223"/>
      <c r="M102" s="223"/>
      <c r="N102" s="223"/>
      <c r="O102" s="224"/>
    </row>
    <row r="103" spans="3:15" ht="14.4" x14ac:dyDescent="0.25">
      <c r="C103" s="225" t="s">
        <v>78</v>
      </c>
      <c r="D103" s="225" t="s">
        <v>79</v>
      </c>
      <c r="E103" s="225" t="s">
        <v>10</v>
      </c>
      <c r="F103" s="225" t="s">
        <v>80</v>
      </c>
      <c r="G103" s="225" t="s">
        <v>81</v>
      </c>
      <c r="H103" s="226" t="s">
        <v>82</v>
      </c>
      <c r="I103" s="225" t="s">
        <v>83</v>
      </c>
      <c r="J103" s="225" t="s">
        <v>84</v>
      </c>
      <c r="K103" s="225" t="s">
        <v>85</v>
      </c>
      <c r="L103" s="225" t="s">
        <v>86</v>
      </c>
      <c r="M103" s="225" t="s">
        <v>87</v>
      </c>
      <c r="N103" s="225" t="s">
        <v>542</v>
      </c>
      <c r="O103" s="225" t="s">
        <v>543</v>
      </c>
    </row>
    <row r="104" spans="3:15" ht="14.4" x14ac:dyDescent="0.3">
      <c r="C104" s="227" t="s">
        <v>90</v>
      </c>
      <c r="D104" s="228" t="s">
        <v>544</v>
      </c>
      <c r="E104" s="229" t="s">
        <v>42</v>
      </c>
      <c r="F104" s="230" t="str">
        <f>I102</f>
        <v>mA</v>
      </c>
      <c r="G104" s="608" t="s">
        <v>631</v>
      </c>
      <c r="H104" s="229">
        <f>STDEV(Data!E84:N84)/SQRT(5)</f>
        <v>0</v>
      </c>
      <c r="I104" s="229">
        <v>1</v>
      </c>
      <c r="J104" s="229">
        <f>5-1</f>
        <v>4</v>
      </c>
      <c r="K104" s="229">
        <f>(H104)/I104</f>
        <v>0</v>
      </c>
      <c r="L104" s="229">
        <v>1</v>
      </c>
      <c r="M104" s="229">
        <f t="shared" ref="M104:M106" si="31">K104*L104</f>
        <v>0</v>
      </c>
      <c r="N104" s="229">
        <f t="shared" ref="N104:N106" si="32">M104^2</f>
        <v>0</v>
      </c>
      <c r="O104" s="229">
        <f t="shared" ref="O104:O106" si="33">(M104^4)/J104</f>
        <v>0</v>
      </c>
    </row>
    <row r="105" spans="3:15" ht="14.4" x14ac:dyDescent="0.3">
      <c r="C105" s="227" t="s">
        <v>93</v>
      </c>
      <c r="D105" s="228" t="s">
        <v>545</v>
      </c>
      <c r="E105" s="229" t="s">
        <v>95</v>
      </c>
      <c r="F105" s="230" t="str">
        <f>F104</f>
        <v>mA</v>
      </c>
      <c r="G105" s="229" t="s">
        <v>96</v>
      </c>
      <c r="H105" s="229">
        <f>J102/2</f>
        <v>0.05</v>
      </c>
      <c r="I105" s="229">
        <f>SQRT(3)</f>
        <v>1.7320508075688772</v>
      </c>
      <c r="J105" s="229">
        <v>50</v>
      </c>
      <c r="K105" s="229">
        <f t="shared" ref="K105:K107" si="34">(H105)/I105</f>
        <v>2.8867513459481291E-2</v>
      </c>
      <c r="L105" s="229">
        <v>1</v>
      </c>
      <c r="M105" s="229">
        <f t="shared" si="31"/>
        <v>2.8867513459481291E-2</v>
      </c>
      <c r="N105" s="229">
        <f t="shared" si="32"/>
        <v>8.333333333333335E-4</v>
      </c>
      <c r="O105" s="229">
        <f t="shared" si="33"/>
        <v>1.3888888888888894E-8</v>
      </c>
    </row>
    <row r="106" spans="3:15" ht="14.4" x14ac:dyDescent="0.3">
      <c r="C106" s="227" t="s">
        <v>97</v>
      </c>
      <c r="D106" s="228" t="s">
        <v>546</v>
      </c>
      <c r="E106" s="229" t="s">
        <v>95</v>
      </c>
      <c r="F106" s="230" t="str">
        <f>F104</f>
        <v>mA</v>
      </c>
      <c r="G106" s="229" t="s">
        <v>92</v>
      </c>
      <c r="H106" s="231">
        <f>Y28*10^3</f>
        <v>0.78</v>
      </c>
      <c r="I106" s="229">
        <v>2</v>
      </c>
      <c r="J106" s="229">
        <v>60</v>
      </c>
      <c r="K106" s="229">
        <f t="shared" si="34"/>
        <v>0.39</v>
      </c>
      <c r="L106" s="229">
        <v>1</v>
      </c>
      <c r="M106" s="229">
        <f t="shared" si="31"/>
        <v>0.39</v>
      </c>
      <c r="N106" s="229">
        <f t="shared" si="32"/>
        <v>0.15210000000000001</v>
      </c>
      <c r="O106" s="229">
        <f t="shared" si="33"/>
        <v>3.8557350000000007E-4</v>
      </c>
    </row>
    <row r="107" spans="3:15" ht="14.4" x14ac:dyDescent="0.3">
      <c r="C107" s="227" t="s">
        <v>99</v>
      </c>
      <c r="D107" s="228" t="s">
        <v>547</v>
      </c>
      <c r="E107" s="229" t="s">
        <v>95</v>
      </c>
      <c r="F107" s="230" t="str">
        <f>F104</f>
        <v>mA</v>
      </c>
      <c r="G107" s="229" t="s">
        <v>96</v>
      </c>
      <c r="H107" s="229">
        <f>X28*1000</f>
        <v>0.18166250449900156</v>
      </c>
      <c r="I107" s="229">
        <f>SQRT(3)</f>
        <v>1.7320508075688772</v>
      </c>
      <c r="J107" s="229">
        <v>50</v>
      </c>
      <c r="K107" s="229">
        <f t="shared" si="34"/>
        <v>0.10488289587416016</v>
      </c>
      <c r="L107" s="229">
        <v>1</v>
      </c>
      <c r="M107" s="229">
        <f>K107*L107</f>
        <v>0.10488289587416016</v>
      </c>
      <c r="N107" s="229">
        <f>M107^2</f>
        <v>1.1000421846949923E-2</v>
      </c>
      <c r="O107" s="229">
        <f>(M107^4)/J107</f>
        <v>2.4201856162170633E-6</v>
      </c>
    </row>
    <row r="108" spans="3:15" x14ac:dyDescent="0.25">
      <c r="C108" s="232"/>
      <c r="D108" s="232"/>
      <c r="E108" s="232"/>
      <c r="F108" s="232"/>
      <c r="G108" s="232"/>
      <c r="H108" s="232"/>
      <c r="I108" s="232"/>
      <c r="J108" s="232"/>
      <c r="K108" s="232"/>
      <c r="L108" s="232"/>
      <c r="M108" s="232"/>
      <c r="N108" s="232"/>
      <c r="O108" s="232"/>
    </row>
    <row r="109" spans="3:15" x14ac:dyDescent="0.25">
      <c r="C109" s="853" t="s">
        <v>103</v>
      </c>
      <c r="D109" s="854"/>
      <c r="E109" s="854"/>
      <c r="F109" s="854"/>
      <c r="G109" s="854"/>
      <c r="H109" s="854"/>
      <c r="I109" s="854"/>
      <c r="J109" s="854"/>
      <c r="K109" s="854"/>
      <c r="L109" s="855"/>
      <c r="M109" s="856">
        <f>SUM(N104:N107)</f>
        <v>0.16393375518028325</v>
      </c>
      <c r="N109" s="855"/>
      <c r="O109" s="233">
        <f>SUM(O104:O107)</f>
        <v>3.8800757450510603E-4</v>
      </c>
    </row>
    <row r="110" spans="3:15" x14ac:dyDescent="0.25">
      <c r="C110" s="849" t="s">
        <v>104</v>
      </c>
      <c r="D110" s="850"/>
      <c r="E110" s="850"/>
      <c r="F110" s="850"/>
      <c r="G110" s="850"/>
      <c r="H110" s="850"/>
      <c r="I110" s="850"/>
      <c r="J110" s="850"/>
      <c r="K110" s="850"/>
      <c r="L110" s="851"/>
      <c r="M110" s="852">
        <f>SQRT(M109)</f>
        <v>0.40488733640394736</v>
      </c>
      <c r="N110" s="851"/>
      <c r="O110" s="227"/>
    </row>
    <row r="111" spans="3:15" ht="14.4" x14ac:dyDescent="0.3">
      <c r="C111" s="849" t="s">
        <v>548</v>
      </c>
      <c r="D111" s="850"/>
      <c r="E111" s="850"/>
      <c r="F111" s="850"/>
      <c r="G111" s="850"/>
      <c r="H111" s="850"/>
      <c r="I111" s="850"/>
      <c r="J111" s="850"/>
      <c r="K111" s="850"/>
      <c r="L111" s="851"/>
      <c r="M111" s="448">
        <f>(M110^4)/O109</f>
        <v>69.26224603163098</v>
      </c>
      <c r="N111" s="234"/>
      <c r="O111" s="227"/>
    </row>
    <row r="112" spans="3:15" ht="14.4" x14ac:dyDescent="0.3">
      <c r="C112" s="849" t="s">
        <v>549</v>
      </c>
      <c r="D112" s="850"/>
      <c r="E112" s="850"/>
      <c r="F112" s="850"/>
      <c r="G112" s="850"/>
      <c r="H112" s="850"/>
      <c r="I112" s="850"/>
      <c r="J112" s="850"/>
      <c r="K112" s="850"/>
      <c r="L112" s="851"/>
      <c r="M112" s="448">
        <f>1.95996+2.37356/M111+2.818745/M111^2+2.546662/M111^3+1.761829/M111^4+0.245458/M111^5+1.000764/M111^6</f>
        <v>1.9948244898486087</v>
      </c>
      <c r="N112" s="234">
        <v>2</v>
      </c>
      <c r="O112" s="227"/>
    </row>
    <row r="113" spans="3:15" x14ac:dyDescent="0.25">
      <c r="C113" s="849" t="s">
        <v>107</v>
      </c>
      <c r="D113" s="850"/>
      <c r="E113" s="850"/>
      <c r="F113" s="850"/>
      <c r="G113" s="850"/>
      <c r="H113" s="850"/>
      <c r="I113" s="850"/>
      <c r="J113" s="850"/>
      <c r="K113" s="850"/>
      <c r="L113" s="851"/>
      <c r="M113" s="448">
        <f>M112*M110</f>
        <v>0.80767917428816627</v>
      </c>
      <c r="N113" s="234">
        <f>N112*M110</f>
        <v>0.80977467280789472</v>
      </c>
      <c r="O113" s="227"/>
    </row>
    <row r="115" spans="3:15" x14ac:dyDescent="0.25">
      <c r="C115" s="207" t="s">
        <v>76</v>
      </c>
      <c r="D115" s="200"/>
      <c r="E115" s="200"/>
      <c r="F115" s="200" t="e">
        <f>Data!#REF!</f>
        <v>#REF!</v>
      </c>
      <c r="G115" s="200" t="e">
        <f>Data!#REF!</f>
        <v>#REF!</v>
      </c>
      <c r="H115" s="218">
        <f>C$6</f>
        <v>50</v>
      </c>
      <c r="I115" s="215" t="str">
        <f>D$6</f>
        <v>Hz</v>
      </c>
      <c r="J115" s="199"/>
      <c r="K115" s="199"/>
      <c r="L115" s="199"/>
      <c r="M115" s="199"/>
      <c r="N115" s="199"/>
      <c r="O115" s="289" t="str">
        <f>O$31</f>
        <v>AC Current-Measure</v>
      </c>
    </row>
    <row r="116" spans="3:15" x14ac:dyDescent="0.25">
      <c r="C116" s="219" t="s">
        <v>2</v>
      </c>
      <c r="D116" s="220"/>
      <c r="E116" s="220"/>
      <c r="F116" s="237" t="e">
        <f>Data!#REF!</f>
        <v>#REF!</v>
      </c>
      <c r="G116" s="237" t="e">
        <f>Data!#REF!</f>
        <v>#REF!</v>
      </c>
      <c r="H116" s="253"/>
      <c r="I116" s="253"/>
      <c r="J116" s="223">
        <v>0.01</v>
      </c>
      <c r="K116" s="223"/>
      <c r="L116" s="223"/>
      <c r="M116" s="223"/>
      <c r="N116" s="223"/>
      <c r="O116" s="224"/>
    </row>
    <row r="117" spans="3:15" ht="14.4" x14ac:dyDescent="0.25">
      <c r="C117" s="225" t="s">
        <v>78</v>
      </c>
      <c r="D117" s="225" t="s">
        <v>79</v>
      </c>
      <c r="E117" s="225" t="s">
        <v>10</v>
      </c>
      <c r="F117" s="225" t="s">
        <v>80</v>
      </c>
      <c r="G117" s="225" t="s">
        <v>81</v>
      </c>
      <c r="H117" s="226" t="s">
        <v>82</v>
      </c>
      <c r="I117" s="225" t="s">
        <v>83</v>
      </c>
      <c r="J117" s="225" t="s">
        <v>84</v>
      </c>
      <c r="K117" s="225" t="s">
        <v>85</v>
      </c>
      <c r="L117" s="225" t="s">
        <v>86</v>
      </c>
      <c r="M117" s="225" t="s">
        <v>87</v>
      </c>
      <c r="N117" s="225" t="s">
        <v>542</v>
      </c>
      <c r="O117" s="225" t="s">
        <v>543</v>
      </c>
    </row>
    <row r="118" spans="3:15" ht="14.4" x14ac:dyDescent="0.3">
      <c r="C118" s="227" t="s">
        <v>90</v>
      </c>
      <c r="D118" s="228" t="s">
        <v>544</v>
      </c>
      <c r="E118" s="229" t="s">
        <v>42</v>
      </c>
      <c r="F118" s="230" t="e">
        <f>G116</f>
        <v>#REF!</v>
      </c>
      <c r="G118" s="608" t="s">
        <v>631</v>
      </c>
      <c r="H118" s="229">
        <f>STDEV(Data!E86:N86)/SQRT(5)</f>
        <v>0</v>
      </c>
      <c r="I118" s="229">
        <v>1</v>
      </c>
      <c r="J118" s="229">
        <f>5-1</f>
        <v>4</v>
      </c>
      <c r="K118" s="229">
        <f>(H118)/I118</f>
        <v>0</v>
      </c>
      <c r="L118" s="229">
        <v>1</v>
      </c>
      <c r="M118" s="229">
        <f t="shared" ref="M118:M120" si="35">K118*L118</f>
        <v>0</v>
      </c>
      <c r="N118" s="229">
        <f t="shared" ref="N118:N120" si="36">M118^2</f>
        <v>0</v>
      </c>
      <c r="O118" s="229">
        <f t="shared" ref="O118:O120" si="37">(M118^4)/J118</f>
        <v>0</v>
      </c>
    </row>
    <row r="119" spans="3:15" ht="14.4" x14ac:dyDescent="0.3">
      <c r="C119" s="227" t="s">
        <v>93</v>
      </c>
      <c r="D119" s="228" t="s">
        <v>545</v>
      </c>
      <c r="E119" s="229" t="s">
        <v>95</v>
      </c>
      <c r="F119" s="230" t="e">
        <f>F118</f>
        <v>#REF!</v>
      </c>
      <c r="G119" s="229" t="s">
        <v>96</v>
      </c>
      <c r="H119" s="229">
        <f>J116/2</f>
        <v>5.0000000000000001E-3</v>
      </c>
      <c r="I119" s="229">
        <f>SQRT(3)</f>
        <v>1.7320508075688772</v>
      </c>
      <c r="J119" s="229">
        <v>50</v>
      </c>
      <c r="K119" s="229">
        <f t="shared" ref="K119:K121" si="38">(H119)/I119</f>
        <v>2.886751345948129E-3</v>
      </c>
      <c r="L119" s="229">
        <v>1</v>
      </c>
      <c r="M119" s="229">
        <f t="shared" si="35"/>
        <v>2.886751345948129E-3</v>
      </c>
      <c r="N119" s="229">
        <f t="shared" si="36"/>
        <v>8.3333333333333337E-6</v>
      </c>
      <c r="O119" s="229">
        <f t="shared" si="37"/>
        <v>1.3888888888888891E-12</v>
      </c>
    </row>
    <row r="120" spans="3:15" ht="14.4" x14ac:dyDescent="0.3">
      <c r="C120" s="227" t="s">
        <v>97</v>
      </c>
      <c r="D120" s="228" t="s">
        <v>546</v>
      </c>
      <c r="E120" s="229" t="s">
        <v>95</v>
      </c>
      <c r="F120" s="230" t="e">
        <f>F118</f>
        <v>#REF!</v>
      </c>
      <c r="G120" s="229" t="s">
        <v>92</v>
      </c>
      <c r="H120" s="231">
        <f>Y29</f>
        <v>1.2999999999999999E-3</v>
      </c>
      <c r="I120" s="229">
        <v>2</v>
      </c>
      <c r="J120" s="229">
        <v>60</v>
      </c>
      <c r="K120" s="229">
        <f t="shared" si="38"/>
        <v>6.4999999999999997E-4</v>
      </c>
      <c r="L120" s="229">
        <v>1</v>
      </c>
      <c r="M120" s="229">
        <f t="shared" si="35"/>
        <v>6.4999999999999997E-4</v>
      </c>
      <c r="N120" s="229">
        <f t="shared" si="36"/>
        <v>4.2249999999999998E-7</v>
      </c>
      <c r="O120" s="229">
        <f t="shared" si="37"/>
        <v>2.9751041666666661E-15</v>
      </c>
    </row>
    <row r="121" spans="3:15" ht="14.4" x14ac:dyDescent="0.3">
      <c r="C121" s="227" t="s">
        <v>99</v>
      </c>
      <c r="D121" s="228" t="s">
        <v>547</v>
      </c>
      <c r="E121" s="229" t="s">
        <v>95</v>
      </c>
      <c r="F121" s="230" t="e">
        <f>F118</f>
        <v>#REF!</v>
      </c>
      <c r="G121" s="229" t="s">
        <v>96</v>
      </c>
      <c r="H121" s="229">
        <f>X29</f>
        <v>1.8270219441604384E-4</v>
      </c>
      <c r="I121" s="229">
        <f>SQRT(3)</f>
        <v>1.7320508075688772</v>
      </c>
      <c r="J121" s="229">
        <v>50</v>
      </c>
      <c r="K121" s="229">
        <f t="shared" si="38"/>
        <v>1.0548316112763826E-4</v>
      </c>
      <c r="L121" s="229">
        <v>1</v>
      </c>
      <c r="M121" s="229">
        <f>K121*L121</f>
        <v>1.0548316112763826E-4</v>
      </c>
      <c r="N121" s="229">
        <f>M121^2</f>
        <v>1.1126697281479294E-8</v>
      </c>
      <c r="O121" s="229">
        <f>(M121^4)/J121</f>
        <v>2.4760678478735744E-18</v>
      </c>
    </row>
    <row r="122" spans="3:15" x14ac:dyDescent="0.25">
      <c r="C122" s="232"/>
      <c r="D122" s="232"/>
      <c r="E122" s="232"/>
      <c r="F122" s="232"/>
      <c r="G122" s="232"/>
      <c r="H122" s="232"/>
      <c r="I122" s="232"/>
      <c r="J122" s="232"/>
      <c r="K122" s="232"/>
      <c r="L122" s="232"/>
      <c r="M122" s="232"/>
      <c r="N122" s="232"/>
      <c r="O122" s="232"/>
    </row>
    <row r="123" spans="3:15" x14ac:dyDescent="0.25">
      <c r="C123" s="853" t="s">
        <v>103</v>
      </c>
      <c r="D123" s="854"/>
      <c r="E123" s="854"/>
      <c r="F123" s="854"/>
      <c r="G123" s="854"/>
      <c r="H123" s="854"/>
      <c r="I123" s="854"/>
      <c r="J123" s="854"/>
      <c r="K123" s="854"/>
      <c r="L123" s="855"/>
      <c r="M123" s="856">
        <f>SUM(N118:N121)</f>
        <v>8.7669600306148131E-6</v>
      </c>
      <c r="N123" s="855"/>
      <c r="O123" s="233">
        <f>SUM(O118:O121)</f>
        <v>1.3918664691234036E-12</v>
      </c>
    </row>
    <row r="124" spans="3:15" x14ac:dyDescent="0.25">
      <c r="C124" s="849" t="s">
        <v>104</v>
      </c>
      <c r="D124" s="850"/>
      <c r="E124" s="850"/>
      <c r="F124" s="850"/>
      <c r="G124" s="850"/>
      <c r="H124" s="850"/>
      <c r="I124" s="850"/>
      <c r="J124" s="850"/>
      <c r="K124" s="850"/>
      <c r="L124" s="851"/>
      <c r="M124" s="852">
        <f>SQRT(M123)</f>
        <v>2.96090527214479E-3</v>
      </c>
      <c r="N124" s="851"/>
      <c r="O124" s="227"/>
    </row>
    <row r="125" spans="3:15" ht="14.4" x14ac:dyDescent="0.3">
      <c r="C125" s="849" t="s">
        <v>548</v>
      </c>
      <c r="D125" s="850"/>
      <c r="E125" s="850"/>
      <c r="F125" s="850"/>
      <c r="G125" s="850"/>
      <c r="H125" s="850"/>
      <c r="I125" s="850"/>
      <c r="J125" s="850"/>
      <c r="K125" s="850"/>
      <c r="L125" s="851"/>
      <c r="M125" s="448">
        <f>(M124^4)/O123</f>
        <v>55.220518550751343</v>
      </c>
      <c r="N125" s="234"/>
      <c r="O125" s="227"/>
    </row>
    <row r="126" spans="3:15" ht="14.4" x14ac:dyDescent="0.3">
      <c r="C126" s="849" t="s">
        <v>549</v>
      </c>
      <c r="D126" s="850"/>
      <c r="E126" s="850"/>
      <c r="F126" s="850"/>
      <c r="G126" s="850"/>
      <c r="H126" s="850"/>
      <c r="I126" s="850"/>
      <c r="J126" s="850"/>
      <c r="K126" s="850"/>
      <c r="L126" s="851"/>
      <c r="M126" s="448">
        <f>1.95996+2.37356/M125+2.818745/M125^2+2.546662/M125^3+1.761829/M125^4+0.245458/M125^5+1.000764/M125^6</f>
        <v>2.0038830011463116</v>
      </c>
      <c r="N126" s="234">
        <v>2</v>
      </c>
      <c r="O126" s="227"/>
    </row>
    <row r="127" spans="3:15" x14ac:dyDescent="0.25">
      <c r="C127" s="849" t="s">
        <v>107</v>
      </c>
      <c r="D127" s="850"/>
      <c r="E127" s="850"/>
      <c r="F127" s="850"/>
      <c r="G127" s="850"/>
      <c r="H127" s="850"/>
      <c r="I127" s="850"/>
      <c r="J127" s="850"/>
      <c r="K127" s="850"/>
      <c r="L127" s="851"/>
      <c r="M127" s="448">
        <f>M126*M124</f>
        <v>5.9333077428554383E-3</v>
      </c>
      <c r="N127" s="234">
        <f>N126*M124</f>
        <v>5.92181054428958E-3</v>
      </c>
      <c r="O127" s="227"/>
    </row>
    <row r="129" spans="3:15" x14ac:dyDescent="0.25">
      <c r="C129" s="207" t="s">
        <v>76</v>
      </c>
      <c r="D129" s="200"/>
      <c r="E129" s="200"/>
      <c r="F129" s="200" t="e">
        <f>F115</f>
        <v>#REF!</v>
      </c>
      <c r="G129" s="200" t="e">
        <f>G115</f>
        <v>#REF!</v>
      </c>
      <c r="H129" s="218">
        <f>C$6</f>
        <v>50</v>
      </c>
      <c r="I129" s="215" t="str">
        <f>D$6</f>
        <v>Hz</v>
      </c>
      <c r="J129" s="199"/>
      <c r="K129" s="199"/>
      <c r="L129" s="199"/>
      <c r="M129" s="199"/>
      <c r="N129" s="199"/>
      <c r="O129" s="289" t="str">
        <f>O$31</f>
        <v>AC Current-Measure</v>
      </c>
    </row>
    <row r="130" spans="3:15" x14ac:dyDescent="0.25">
      <c r="C130" s="219" t="s">
        <v>2</v>
      </c>
      <c r="D130" s="220"/>
      <c r="E130" s="220"/>
      <c r="F130" s="221" t="e">
        <f>Data!#REF!</f>
        <v>#REF!</v>
      </c>
      <c r="G130" s="237" t="e">
        <f>Data!#REF!</f>
        <v>#REF!</v>
      </c>
      <c r="H130" s="253"/>
      <c r="I130" s="253"/>
      <c r="J130" s="223">
        <v>0.01</v>
      </c>
      <c r="K130" s="223"/>
      <c r="L130" s="223"/>
      <c r="M130" s="223"/>
      <c r="N130" s="223"/>
      <c r="O130" s="224"/>
    </row>
    <row r="131" spans="3:15" ht="14.4" x14ac:dyDescent="0.25">
      <c r="C131" s="225" t="s">
        <v>78</v>
      </c>
      <c r="D131" s="225" t="s">
        <v>79</v>
      </c>
      <c r="E131" s="225" t="s">
        <v>10</v>
      </c>
      <c r="F131" s="225" t="s">
        <v>80</v>
      </c>
      <c r="G131" s="225" t="s">
        <v>81</v>
      </c>
      <c r="H131" s="226" t="s">
        <v>82</v>
      </c>
      <c r="I131" s="225" t="s">
        <v>83</v>
      </c>
      <c r="J131" s="225" t="s">
        <v>84</v>
      </c>
      <c r="K131" s="225" t="s">
        <v>85</v>
      </c>
      <c r="L131" s="225" t="s">
        <v>86</v>
      </c>
      <c r="M131" s="225" t="s">
        <v>87</v>
      </c>
      <c r="N131" s="225" t="s">
        <v>542</v>
      </c>
      <c r="O131" s="225" t="s">
        <v>543</v>
      </c>
    </row>
    <row r="132" spans="3:15" ht="14.4" x14ac:dyDescent="0.3">
      <c r="C132" s="227" t="s">
        <v>90</v>
      </c>
      <c r="D132" s="228" t="s">
        <v>544</v>
      </c>
      <c r="E132" s="229" t="s">
        <v>42</v>
      </c>
      <c r="F132" s="230" t="e">
        <f>G130</f>
        <v>#REF!</v>
      </c>
      <c r="G132" s="608" t="s">
        <v>631</v>
      </c>
      <c r="H132" s="229">
        <f>STDEV(Data!E87:N87)/SQRT(5)</f>
        <v>0</v>
      </c>
      <c r="I132" s="229">
        <v>1</v>
      </c>
      <c r="J132" s="229">
        <f>5-1</f>
        <v>4</v>
      </c>
      <c r="K132" s="229">
        <f>(H132)/I132</f>
        <v>0</v>
      </c>
      <c r="L132" s="229">
        <v>1</v>
      </c>
      <c r="M132" s="229">
        <f t="shared" ref="M132:M134" si="39">K132*L132</f>
        <v>0</v>
      </c>
      <c r="N132" s="229">
        <f t="shared" ref="N132:N134" si="40">M132^2</f>
        <v>0</v>
      </c>
      <c r="O132" s="229">
        <f t="shared" ref="O132:O134" si="41">(M132^4)/J132</f>
        <v>0</v>
      </c>
    </row>
    <row r="133" spans="3:15" ht="14.4" x14ac:dyDescent="0.3">
      <c r="C133" s="227" t="s">
        <v>93</v>
      </c>
      <c r="D133" s="228" t="s">
        <v>545</v>
      </c>
      <c r="E133" s="229" t="s">
        <v>95</v>
      </c>
      <c r="F133" s="230" t="e">
        <f>F132</f>
        <v>#REF!</v>
      </c>
      <c r="G133" s="229" t="s">
        <v>96</v>
      </c>
      <c r="H133" s="229">
        <f>J130/2</f>
        <v>5.0000000000000001E-3</v>
      </c>
      <c r="I133" s="229">
        <f>SQRT(3)</f>
        <v>1.7320508075688772</v>
      </c>
      <c r="J133" s="229">
        <v>50</v>
      </c>
      <c r="K133" s="229">
        <f t="shared" ref="K133:K135" si="42">(H133)/I133</f>
        <v>2.886751345948129E-3</v>
      </c>
      <c r="L133" s="229">
        <v>1</v>
      </c>
      <c r="M133" s="229">
        <f t="shared" si="39"/>
        <v>2.886751345948129E-3</v>
      </c>
      <c r="N133" s="229">
        <f t="shared" si="40"/>
        <v>8.3333333333333337E-6</v>
      </c>
      <c r="O133" s="229">
        <f t="shared" si="41"/>
        <v>1.3888888888888891E-12</v>
      </c>
    </row>
    <row r="134" spans="3:15" ht="14.4" x14ac:dyDescent="0.3">
      <c r="C134" s="227" t="s">
        <v>97</v>
      </c>
      <c r="D134" s="228" t="s">
        <v>546</v>
      </c>
      <c r="E134" s="229" t="s">
        <v>95</v>
      </c>
      <c r="F134" s="230" t="e">
        <f>F132</f>
        <v>#REF!</v>
      </c>
      <c r="G134" s="229" t="s">
        <v>92</v>
      </c>
      <c r="H134" s="231">
        <f>Y30</f>
        <v>8.3999999999999995E-3</v>
      </c>
      <c r="I134" s="229">
        <v>2</v>
      </c>
      <c r="J134" s="229">
        <v>60</v>
      </c>
      <c r="K134" s="229">
        <f t="shared" si="42"/>
        <v>4.1999999999999997E-3</v>
      </c>
      <c r="L134" s="229">
        <v>1</v>
      </c>
      <c r="M134" s="229">
        <f t="shared" si="39"/>
        <v>4.1999999999999997E-3</v>
      </c>
      <c r="N134" s="229">
        <f t="shared" si="40"/>
        <v>1.7639999999999997E-5</v>
      </c>
      <c r="O134" s="229">
        <f t="shared" si="41"/>
        <v>5.1861599999999986E-12</v>
      </c>
    </row>
    <row r="135" spans="3:15" ht="14.4" x14ac:dyDescent="0.3">
      <c r="C135" s="227" t="s">
        <v>99</v>
      </c>
      <c r="D135" s="228" t="s">
        <v>547</v>
      </c>
      <c r="E135" s="229" t="s">
        <v>95</v>
      </c>
      <c r="F135" s="230" t="e">
        <f>F132</f>
        <v>#REF!</v>
      </c>
      <c r="G135" s="229" t="s">
        <v>96</v>
      </c>
      <c r="H135" s="229">
        <f>X30</f>
        <v>1.9246903278804218E-3</v>
      </c>
      <c r="I135" s="229">
        <f>SQRT(3)</f>
        <v>1.7320508075688772</v>
      </c>
      <c r="J135" s="229">
        <v>50</v>
      </c>
      <c r="K135" s="229">
        <f t="shared" si="42"/>
        <v>1.1112204789084307E-3</v>
      </c>
      <c r="L135" s="229">
        <v>1</v>
      </c>
      <c r="M135" s="229">
        <f>K135*L135</f>
        <v>1.1112204789084307E-3</v>
      </c>
      <c r="N135" s="229">
        <f>M135^2</f>
        <v>1.2348109527454821E-6</v>
      </c>
      <c r="O135" s="229">
        <f>(M135^4)/J135</f>
        <v>3.0495161780404105E-14</v>
      </c>
    </row>
    <row r="136" spans="3:15" x14ac:dyDescent="0.25">
      <c r="C136" s="232"/>
      <c r="D136" s="232"/>
      <c r="E136" s="232"/>
      <c r="F136" s="232"/>
      <c r="G136" s="232"/>
      <c r="H136" s="232"/>
      <c r="I136" s="232"/>
      <c r="J136" s="232"/>
      <c r="K136" s="232"/>
      <c r="L136" s="232"/>
      <c r="M136" s="232"/>
      <c r="N136" s="232"/>
      <c r="O136" s="232"/>
    </row>
    <row r="137" spans="3:15" x14ac:dyDescent="0.25">
      <c r="C137" s="853" t="s">
        <v>103</v>
      </c>
      <c r="D137" s="854"/>
      <c r="E137" s="854"/>
      <c r="F137" s="854"/>
      <c r="G137" s="854"/>
      <c r="H137" s="854"/>
      <c r="I137" s="854"/>
      <c r="J137" s="854"/>
      <c r="K137" s="854"/>
      <c r="L137" s="855"/>
      <c r="M137" s="856">
        <f>SUM(N132:N135)</f>
        <v>2.7208144286078813E-5</v>
      </c>
      <c r="N137" s="855"/>
      <c r="O137" s="233">
        <f>SUM(O132:O135)</f>
        <v>6.6055440506692918E-12</v>
      </c>
    </row>
    <row r="138" spans="3:15" x14ac:dyDescent="0.25">
      <c r="C138" s="849" t="s">
        <v>104</v>
      </c>
      <c r="D138" s="850"/>
      <c r="E138" s="850"/>
      <c r="F138" s="850"/>
      <c r="G138" s="850"/>
      <c r="H138" s="850"/>
      <c r="I138" s="850"/>
      <c r="J138" s="850"/>
      <c r="K138" s="850"/>
      <c r="L138" s="851"/>
      <c r="M138" s="852">
        <f>SQRT(M137)</f>
        <v>5.2161426635090047E-3</v>
      </c>
      <c r="N138" s="851"/>
      <c r="O138" s="227"/>
    </row>
    <row r="139" spans="3:15" ht="14.4" x14ac:dyDescent="0.3">
      <c r="C139" s="849" t="s">
        <v>548</v>
      </c>
      <c r="D139" s="850"/>
      <c r="E139" s="850"/>
      <c r="F139" s="850"/>
      <c r="G139" s="850"/>
      <c r="H139" s="850"/>
      <c r="I139" s="850"/>
      <c r="J139" s="850"/>
      <c r="K139" s="850"/>
      <c r="L139" s="851"/>
      <c r="M139" s="448">
        <f>(M138^4)/O137</f>
        <v>112.06996877374176</v>
      </c>
      <c r="N139" s="234"/>
      <c r="O139" s="227"/>
    </row>
    <row r="140" spans="3:15" ht="14.4" x14ac:dyDescent="0.3">
      <c r="C140" s="849" t="s">
        <v>549</v>
      </c>
      <c r="D140" s="850"/>
      <c r="E140" s="850"/>
      <c r="F140" s="850"/>
      <c r="G140" s="850"/>
      <c r="H140" s="850"/>
      <c r="I140" s="850"/>
      <c r="J140" s="850"/>
      <c r="K140" s="850"/>
      <c r="L140" s="851"/>
      <c r="M140" s="448">
        <f>1.95996+2.37356/M139+2.818745/M139^2+2.546662/M139^3+1.761829/M139^4+0.245458/M139^5+1.000764/M139^6</f>
        <v>1.9813655174438154</v>
      </c>
      <c r="N140" s="234">
        <v>2</v>
      </c>
      <c r="O140" s="227"/>
    </row>
    <row r="141" spans="3:15" x14ac:dyDescent="0.25">
      <c r="C141" s="849" t="s">
        <v>107</v>
      </c>
      <c r="D141" s="850"/>
      <c r="E141" s="850"/>
      <c r="F141" s="850"/>
      <c r="G141" s="850"/>
      <c r="H141" s="850"/>
      <c r="I141" s="850"/>
      <c r="J141" s="850"/>
      <c r="K141" s="850"/>
      <c r="L141" s="851"/>
      <c r="M141" s="448">
        <f>M140*M138</f>
        <v>1.0335085207544281E-2</v>
      </c>
      <c r="N141" s="234">
        <f>N140*M138</f>
        <v>1.0432285327018009E-2</v>
      </c>
      <c r="O141" s="227"/>
    </row>
    <row r="143" spans="3:15" x14ac:dyDescent="0.25">
      <c r="C143" s="207" t="s">
        <v>76</v>
      </c>
      <c r="D143" s="200"/>
      <c r="E143" s="200"/>
      <c r="F143" s="200" t="e">
        <f>F129</f>
        <v>#REF!</v>
      </c>
      <c r="G143" s="200" t="e">
        <f>G129</f>
        <v>#REF!</v>
      </c>
      <c r="H143" s="218">
        <f>C$6</f>
        <v>50</v>
      </c>
      <c r="I143" s="215" t="str">
        <f>D$6</f>
        <v>Hz</v>
      </c>
      <c r="J143" s="199"/>
      <c r="K143" s="199"/>
      <c r="L143" s="199"/>
      <c r="M143" s="199"/>
      <c r="N143" s="199"/>
      <c r="O143" s="289" t="str">
        <f>O$31</f>
        <v>AC Current-Measure</v>
      </c>
    </row>
    <row r="144" spans="3:15" x14ac:dyDescent="0.25">
      <c r="C144" s="219" t="s">
        <v>2</v>
      </c>
      <c r="D144" s="220"/>
      <c r="E144" s="220"/>
      <c r="F144" s="221" t="e">
        <f>Data!#REF!</f>
        <v>#REF!</v>
      </c>
      <c r="G144" s="237" t="e">
        <f>Data!#REF!</f>
        <v>#REF!</v>
      </c>
      <c r="H144" s="253"/>
      <c r="I144" s="253"/>
      <c r="J144" s="223">
        <v>0.01</v>
      </c>
      <c r="K144" s="223"/>
      <c r="L144" s="223"/>
      <c r="M144" s="223"/>
      <c r="N144" s="223"/>
      <c r="O144" s="224"/>
    </row>
    <row r="145" spans="3:15" ht="14.4" x14ac:dyDescent="0.25">
      <c r="C145" s="225" t="s">
        <v>78</v>
      </c>
      <c r="D145" s="225" t="s">
        <v>79</v>
      </c>
      <c r="E145" s="225" t="s">
        <v>10</v>
      </c>
      <c r="F145" s="225" t="s">
        <v>80</v>
      </c>
      <c r="G145" s="225" t="s">
        <v>81</v>
      </c>
      <c r="H145" s="226" t="s">
        <v>82</v>
      </c>
      <c r="I145" s="225" t="s">
        <v>83</v>
      </c>
      <c r="J145" s="225" t="s">
        <v>84</v>
      </c>
      <c r="K145" s="225" t="s">
        <v>85</v>
      </c>
      <c r="L145" s="225" t="s">
        <v>86</v>
      </c>
      <c r="M145" s="225" t="s">
        <v>87</v>
      </c>
      <c r="N145" s="225" t="s">
        <v>542</v>
      </c>
      <c r="O145" s="225" t="s">
        <v>543</v>
      </c>
    </row>
    <row r="146" spans="3:15" ht="14.4" x14ac:dyDescent="0.3">
      <c r="C146" s="227" t="s">
        <v>90</v>
      </c>
      <c r="D146" s="228" t="s">
        <v>544</v>
      </c>
      <c r="E146" s="229" t="s">
        <v>42</v>
      </c>
      <c r="F146" s="230" t="e">
        <f>G144</f>
        <v>#REF!</v>
      </c>
      <c r="G146" s="608" t="s">
        <v>631</v>
      </c>
      <c r="H146" s="229">
        <f>STDEV(Data!E88:N88)/SQRT(5)</f>
        <v>0</v>
      </c>
      <c r="I146" s="229">
        <v>1</v>
      </c>
      <c r="J146" s="229">
        <f>5-1</f>
        <v>4</v>
      </c>
      <c r="K146" s="229">
        <f>(H146)/I146</f>
        <v>0</v>
      </c>
      <c r="L146" s="229">
        <v>1</v>
      </c>
      <c r="M146" s="229">
        <f t="shared" ref="M146:M148" si="43">K146*L146</f>
        <v>0</v>
      </c>
      <c r="N146" s="229">
        <f t="shared" ref="N146:N148" si="44">M146^2</f>
        <v>0</v>
      </c>
      <c r="O146" s="229">
        <f t="shared" ref="O146:O148" si="45">(M146^4)/J146</f>
        <v>0</v>
      </c>
    </row>
    <row r="147" spans="3:15" ht="14.4" x14ac:dyDescent="0.3">
      <c r="C147" s="227" t="s">
        <v>93</v>
      </c>
      <c r="D147" s="228" t="s">
        <v>545</v>
      </c>
      <c r="E147" s="229" t="s">
        <v>95</v>
      </c>
      <c r="F147" s="230" t="e">
        <f>F146</f>
        <v>#REF!</v>
      </c>
      <c r="G147" s="229" t="s">
        <v>96</v>
      </c>
      <c r="H147" s="229">
        <f>J144/2</f>
        <v>5.0000000000000001E-3</v>
      </c>
      <c r="I147" s="229">
        <f>SQRT(3)</f>
        <v>1.7320508075688772</v>
      </c>
      <c r="J147" s="229">
        <v>50</v>
      </c>
      <c r="K147" s="229">
        <f t="shared" ref="K147:K149" si="46">(H147)/I147</f>
        <v>2.886751345948129E-3</v>
      </c>
      <c r="L147" s="229">
        <v>1</v>
      </c>
      <c r="M147" s="229">
        <f t="shared" si="43"/>
        <v>2.886751345948129E-3</v>
      </c>
      <c r="N147" s="229">
        <f t="shared" si="44"/>
        <v>8.3333333333333337E-6</v>
      </c>
      <c r="O147" s="229">
        <f t="shared" si="45"/>
        <v>1.3888888888888891E-12</v>
      </c>
    </row>
    <row r="148" spans="3:15" ht="14.4" x14ac:dyDescent="0.3">
      <c r="C148" s="227" t="s">
        <v>97</v>
      </c>
      <c r="D148" s="228" t="s">
        <v>546</v>
      </c>
      <c r="E148" s="229" t="s">
        <v>95</v>
      </c>
      <c r="F148" s="230" t="e">
        <f>F146</f>
        <v>#REF!</v>
      </c>
      <c r="G148" s="229" t="s">
        <v>92</v>
      </c>
      <c r="H148" s="231">
        <f>Y31</f>
        <v>1.7000000000000001E-2</v>
      </c>
      <c r="I148" s="229">
        <v>2</v>
      </c>
      <c r="J148" s="229">
        <v>60</v>
      </c>
      <c r="K148" s="229">
        <f t="shared" si="46"/>
        <v>8.5000000000000006E-3</v>
      </c>
      <c r="L148" s="229">
        <v>1</v>
      </c>
      <c r="M148" s="229">
        <f t="shared" si="43"/>
        <v>8.5000000000000006E-3</v>
      </c>
      <c r="N148" s="229">
        <f t="shared" si="44"/>
        <v>7.2250000000000008E-5</v>
      </c>
      <c r="O148" s="229">
        <f t="shared" si="45"/>
        <v>8.700104166666669E-11</v>
      </c>
    </row>
    <row r="149" spans="3:15" ht="14.4" x14ac:dyDescent="0.3">
      <c r="C149" s="227" t="s">
        <v>99</v>
      </c>
      <c r="D149" s="228" t="s">
        <v>547</v>
      </c>
      <c r="E149" s="229" t="s">
        <v>95</v>
      </c>
      <c r="F149" s="230" t="e">
        <f>F146</f>
        <v>#REF!</v>
      </c>
      <c r="G149" s="229" t="s">
        <v>96</v>
      </c>
      <c r="H149" s="229">
        <f>X31</f>
        <v>1.7728689412764265E-3</v>
      </c>
      <c r="I149" s="229">
        <f>SQRT(3)</f>
        <v>1.7320508075688772</v>
      </c>
      <c r="J149" s="229">
        <v>50</v>
      </c>
      <c r="K149" s="229">
        <f t="shared" si="46"/>
        <v>1.0235663604838718E-3</v>
      </c>
      <c r="L149" s="229">
        <v>1</v>
      </c>
      <c r="M149" s="229">
        <f>K149*L149</f>
        <v>1.0235663604838718E-3</v>
      </c>
      <c r="N149" s="229">
        <f>M149^2</f>
        <v>1.0476880943141994E-6</v>
      </c>
      <c r="O149" s="229">
        <f>(M149^4)/J149</f>
        <v>2.1953006859354376E-14</v>
      </c>
    </row>
    <row r="150" spans="3:15" x14ac:dyDescent="0.25">
      <c r="C150" s="232"/>
      <c r="D150" s="232"/>
      <c r="E150" s="232"/>
      <c r="F150" s="232"/>
      <c r="G150" s="232"/>
      <c r="H150" s="232"/>
      <c r="I150" s="232"/>
      <c r="J150" s="232"/>
      <c r="K150" s="232"/>
      <c r="L150" s="232"/>
      <c r="M150" s="232"/>
      <c r="N150" s="232"/>
      <c r="O150" s="232"/>
    </row>
    <row r="151" spans="3:15" x14ac:dyDescent="0.25">
      <c r="C151" s="853" t="s">
        <v>103</v>
      </c>
      <c r="D151" s="854"/>
      <c r="E151" s="854"/>
      <c r="F151" s="854"/>
      <c r="G151" s="854"/>
      <c r="H151" s="854"/>
      <c r="I151" s="854"/>
      <c r="J151" s="854"/>
      <c r="K151" s="854"/>
      <c r="L151" s="855"/>
      <c r="M151" s="856">
        <f>SUM(N146:N149)</f>
        <v>8.1631021427647544E-5</v>
      </c>
      <c r="N151" s="855"/>
      <c r="O151" s="233">
        <f>SUM(O146:O149)</f>
        <v>8.8411883562414939E-11</v>
      </c>
    </row>
    <row r="152" spans="3:15" x14ac:dyDescent="0.25">
      <c r="C152" s="849" t="s">
        <v>104</v>
      </c>
      <c r="D152" s="850"/>
      <c r="E152" s="850"/>
      <c r="F152" s="850"/>
      <c r="G152" s="850"/>
      <c r="H152" s="850"/>
      <c r="I152" s="850"/>
      <c r="J152" s="850"/>
      <c r="K152" s="850"/>
      <c r="L152" s="851"/>
      <c r="M152" s="852">
        <f>SQRT(M151)</f>
        <v>9.0349887342291435E-3</v>
      </c>
      <c r="N152" s="851"/>
      <c r="O152" s="227"/>
    </row>
    <row r="153" spans="3:15" ht="14.4" x14ac:dyDescent="0.3">
      <c r="C153" s="849" t="s">
        <v>548</v>
      </c>
      <c r="D153" s="850"/>
      <c r="E153" s="850"/>
      <c r="F153" s="850"/>
      <c r="G153" s="850"/>
      <c r="H153" s="850"/>
      <c r="I153" s="850"/>
      <c r="J153" s="850"/>
      <c r="K153" s="850"/>
      <c r="L153" s="851"/>
      <c r="M153" s="448">
        <f>(M152^4)/O151</f>
        <v>75.370226159889739</v>
      </c>
      <c r="N153" s="234"/>
      <c r="O153" s="227"/>
    </row>
    <row r="154" spans="3:15" ht="14.4" x14ac:dyDescent="0.3">
      <c r="C154" s="849" t="s">
        <v>549</v>
      </c>
      <c r="D154" s="850"/>
      <c r="E154" s="850"/>
      <c r="F154" s="850"/>
      <c r="G154" s="850"/>
      <c r="H154" s="850"/>
      <c r="I154" s="850"/>
      <c r="J154" s="850"/>
      <c r="K154" s="850"/>
      <c r="L154" s="851"/>
      <c r="M154" s="448">
        <f>1.95996+2.37356/M153+2.818745/M153^2+2.546662/M153^3+1.761829/M153^4+0.245458/M153^5+1.000764/M153^6</f>
        <v>1.9919542131358772</v>
      </c>
      <c r="N154" s="234">
        <v>2</v>
      </c>
      <c r="O154" s="227"/>
    </row>
    <row r="155" spans="3:15" x14ac:dyDescent="0.25">
      <c r="C155" s="849" t="s">
        <v>107</v>
      </c>
      <c r="D155" s="850"/>
      <c r="E155" s="850"/>
      <c r="F155" s="850"/>
      <c r="G155" s="850"/>
      <c r="H155" s="850"/>
      <c r="I155" s="850"/>
      <c r="J155" s="850"/>
      <c r="K155" s="850"/>
      <c r="L155" s="851"/>
      <c r="M155" s="448">
        <f>M154*M152</f>
        <v>1.7997283874782929E-2</v>
      </c>
      <c r="N155" s="234">
        <f>N154*M152</f>
        <v>1.8069977468458287E-2</v>
      </c>
      <c r="O155" s="227"/>
    </row>
    <row r="157" spans="3:15" x14ac:dyDescent="0.25">
      <c r="C157" s="207" t="s">
        <v>76</v>
      </c>
      <c r="D157" s="200"/>
      <c r="E157" s="200"/>
      <c r="F157" s="200" t="e">
        <f>Data!#REF!</f>
        <v>#REF!</v>
      </c>
      <c r="G157" s="200" t="e">
        <f>Data!#REF!</f>
        <v>#REF!</v>
      </c>
      <c r="H157" s="218">
        <f>C$6</f>
        <v>50</v>
      </c>
      <c r="I157" s="215" t="str">
        <f>D$6</f>
        <v>Hz</v>
      </c>
      <c r="J157" s="199"/>
      <c r="K157" s="199"/>
      <c r="L157" s="199"/>
      <c r="M157" s="199"/>
      <c r="N157" s="199"/>
      <c r="O157" s="289" t="str">
        <f>O$31</f>
        <v>AC Current-Measure</v>
      </c>
    </row>
    <row r="158" spans="3:15" x14ac:dyDescent="0.25">
      <c r="C158" s="219" t="s">
        <v>2</v>
      </c>
      <c r="D158" s="220"/>
      <c r="E158" s="220"/>
      <c r="F158" s="237" t="e">
        <f>Data!#REF!</f>
        <v>#REF!</v>
      </c>
      <c r="G158" s="237" t="e">
        <f>Data!#REF!</f>
        <v>#REF!</v>
      </c>
      <c r="H158" s="253"/>
      <c r="I158" s="253"/>
      <c r="J158" s="223">
        <v>1E-3</v>
      </c>
      <c r="K158" s="223"/>
      <c r="L158" s="223"/>
      <c r="M158" s="223"/>
      <c r="N158" s="223"/>
      <c r="O158" s="224"/>
    </row>
    <row r="159" spans="3:15" ht="14.4" x14ac:dyDescent="0.25">
      <c r="C159" s="225" t="s">
        <v>78</v>
      </c>
      <c r="D159" s="225" t="s">
        <v>79</v>
      </c>
      <c r="E159" s="225" t="s">
        <v>10</v>
      </c>
      <c r="F159" s="225" t="s">
        <v>80</v>
      </c>
      <c r="G159" s="225" t="s">
        <v>81</v>
      </c>
      <c r="H159" s="226" t="s">
        <v>82</v>
      </c>
      <c r="I159" s="225" t="s">
        <v>83</v>
      </c>
      <c r="J159" s="225" t="s">
        <v>84</v>
      </c>
      <c r="K159" s="225" t="s">
        <v>85</v>
      </c>
      <c r="L159" s="225" t="s">
        <v>86</v>
      </c>
      <c r="M159" s="225" t="s">
        <v>87</v>
      </c>
      <c r="N159" s="225" t="s">
        <v>542</v>
      </c>
      <c r="O159" s="225" t="s">
        <v>543</v>
      </c>
    </row>
    <row r="160" spans="3:15" ht="14.4" x14ac:dyDescent="0.3">
      <c r="C160" s="227" t="s">
        <v>90</v>
      </c>
      <c r="D160" s="228" t="s">
        <v>544</v>
      </c>
      <c r="E160" s="229" t="s">
        <v>42</v>
      </c>
      <c r="F160" s="230" t="e">
        <f>G158</f>
        <v>#REF!</v>
      </c>
      <c r="G160" s="608" t="s">
        <v>631</v>
      </c>
      <c r="H160" s="229">
        <f>STDEV(Data!E90:N90)/SQRT(5)</f>
        <v>0</v>
      </c>
      <c r="I160" s="229">
        <v>1</v>
      </c>
      <c r="J160" s="229">
        <f>5-1</f>
        <v>4</v>
      </c>
      <c r="K160" s="229">
        <f>(H160)/I160</f>
        <v>0</v>
      </c>
      <c r="L160" s="229">
        <v>1</v>
      </c>
      <c r="M160" s="229">
        <f t="shared" ref="M160:M162" si="47">K160*L160</f>
        <v>0</v>
      </c>
      <c r="N160" s="229">
        <f t="shared" ref="N160:N162" si="48">M160^2</f>
        <v>0</v>
      </c>
      <c r="O160" s="229">
        <f t="shared" ref="O160:O162" si="49">(M160^4)/J160</f>
        <v>0</v>
      </c>
    </row>
    <row r="161" spans="3:15" ht="14.4" x14ac:dyDescent="0.3">
      <c r="C161" s="227" t="s">
        <v>93</v>
      </c>
      <c r="D161" s="228" t="s">
        <v>545</v>
      </c>
      <c r="E161" s="229" t="s">
        <v>95</v>
      </c>
      <c r="F161" s="230" t="e">
        <f>F160</f>
        <v>#REF!</v>
      </c>
      <c r="G161" s="229" t="s">
        <v>96</v>
      </c>
      <c r="H161" s="229">
        <f>J158/2</f>
        <v>5.0000000000000001E-4</v>
      </c>
      <c r="I161" s="229">
        <f>SQRT(3)</f>
        <v>1.7320508075688772</v>
      </c>
      <c r="J161" s="229">
        <v>50</v>
      </c>
      <c r="K161" s="229">
        <f t="shared" ref="K161:K163" si="50">(H161)/I161</f>
        <v>2.886751345948129E-4</v>
      </c>
      <c r="L161" s="229">
        <v>1</v>
      </c>
      <c r="M161" s="229">
        <f t="shared" si="47"/>
        <v>2.886751345948129E-4</v>
      </c>
      <c r="N161" s="229">
        <f t="shared" si="48"/>
        <v>8.3333333333333338E-8</v>
      </c>
      <c r="O161" s="229">
        <f t="shared" si="49"/>
        <v>1.388888888888889E-16</v>
      </c>
    </row>
    <row r="162" spans="3:15" ht="14.4" x14ac:dyDescent="0.3">
      <c r="C162" s="227" t="s">
        <v>97</v>
      </c>
      <c r="D162" s="228" t="s">
        <v>546</v>
      </c>
      <c r="E162" s="229" t="s">
        <v>95</v>
      </c>
      <c r="F162" s="230" t="e">
        <f>F160</f>
        <v>#REF!</v>
      </c>
      <c r="G162" s="229" t="s">
        <v>92</v>
      </c>
      <c r="H162" s="231">
        <f>Y32</f>
        <v>1.2999999999999999E-3</v>
      </c>
      <c r="I162" s="229">
        <v>2</v>
      </c>
      <c r="J162" s="229">
        <v>60</v>
      </c>
      <c r="K162" s="229">
        <f t="shared" si="50"/>
        <v>6.4999999999999997E-4</v>
      </c>
      <c r="L162" s="229">
        <v>1</v>
      </c>
      <c r="M162" s="229">
        <f t="shared" si="47"/>
        <v>6.4999999999999997E-4</v>
      </c>
      <c r="N162" s="229">
        <f t="shared" si="48"/>
        <v>4.2249999999999998E-7</v>
      </c>
      <c r="O162" s="229">
        <f t="shared" si="49"/>
        <v>2.9751041666666661E-15</v>
      </c>
    </row>
    <row r="163" spans="3:15" ht="14.4" x14ac:dyDescent="0.3">
      <c r="C163" s="227" t="s">
        <v>99</v>
      </c>
      <c r="D163" s="228" t="s">
        <v>547</v>
      </c>
      <c r="E163" s="229" t="s">
        <v>95</v>
      </c>
      <c r="F163" s="230" t="e">
        <f>F160</f>
        <v>#REF!</v>
      </c>
      <c r="G163" s="229" t="s">
        <v>96</v>
      </c>
      <c r="H163" s="229">
        <f>X32</f>
        <v>1.8963346052965906E-4</v>
      </c>
      <c r="I163" s="229">
        <f>SQRT(3)</f>
        <v>1.7320508075688772</v>
      </c>
      <c r="J163" s="229">
        <v>50</v>
      </c>
      <c r="K163" s="229">
        <f t="shared" si="50"/>
        <v>1.0948492948415894E-4</v>
      </c>
      <c r="L163" s="229">
        <v>1</v>
      </c>
      <c r="M163" s="229">
        <f>K163*L163</f>
        <v>1.0948492948415894E-4</v>
      </c>
      <c r="N163" s="229">
        <f>M163^2</f>
        <v>1.1986949784151255E-8</v>
      </c>
      <c r="O163" s="229">
        <f>(M163^4)/J163</f>
        <v>2.8737393025552764E-18</v>
      </c>
    </row>
    <row r="164" spans="3:15" x14ac:dyDescent="0.25">
      <c r="C164" s="232"/>
      <c r="D164" s="232"/>
      <c r="E164" s="232"/>
      <c r="F164" s="232"/>
      <c r="G164" s="232"/>
      <c r="H164" s="232"/>
      <c r="I164" s="232"/>
      <c r="J164" s="232"/>
      <c r="K164" s="232"/>
      <c r="L164" s="232"/>
      <c r="M164" s="232"/>
      <c r="N164" s="232"/>
      <c r="O164" s="232"/>
    </row>
    <row r="165" spans="3:15" x14ac:dyDescent="0.25">
      <c r="C165" s="853" t="s">
        <v>103</v>
      </c>
      <c r="D165" s="854"/>
      <c r="E165" s="854"/>
      <c r="F165" s="854"/>
      <c r="G165" s="854"/>
      <c r="H165" s="854"/>
      <c r="I165" s="854"/>
      <c r="J165" s="854"/>
      <c r="K165" s="854"/>
      <c r="L165" s="855"/>
      <c r="M165" s="856">
        <f>SUM(N160:N163)</f>
        <v>5.1782028311748456E-7</v>
      </c>
      <c r="N165" s="855"/>
      <c r="O165" s="233">
        <f>SUM(O160:O163)</f>
        <v>3.1168667948581102E-15</v>
      </c>
    </row>
    <row r="166" spans="3:15" x14ac:dyDescent="0.25">
      <c r="C166" s="849" t="s">
        <v>104</v>
      </c>
      <c r="D166" s="850"/>
      <c r="E166" s="850"/>
      <c r="F166" s="850"/>
      <c r="G166" s="850"/>
      <c r="H166" s="850"/>
      <c r="I166" s="850"/>
      <c r="J166" s="850"/>
      <c r="K166" s="850"/>
      <c r="L166" s="851"/>
      <c r="M166" s="852">
        <f>SQRT(M165)</f>
        <v>7.1959730621889116E-4</v>
      </c>
      <c r="N166" s="851"/>
      <c r="O166" s="227"/>
    </row>
    <row r="167" spans="3:15" ht="14.4" x14ac:dyDescent="0.3">
      <c r="C167" s="849" t="s">
        <v>548</v>
      </c>
      <c r="D167" s="850"/>
      <c r="E167" s="850"/>
      <c r="F167" s="850"/>
      <c r="G167" s="850"/>
      <c r="H167" s="850"/>
      <c r="I167" s="850"/>
      <c r="J167" s="850"/>
      <c r="K167" s="850"/>
      <c r="L167" s="851"/>
      <c r="M167" s="448">
        <f>(M166^4)/O165</f>
        <v>86.028009297740411</v>
      </c>
      <c r="N167" s="234"/>
      <c r="O167" s="227"/>
    </row>
    <row r="168" spans="3:15" ht="14.4" x14ac:dyDescent="0.3">
      <c r="C168" s="849" t="s">
        <v>549</v>
      </c>
      <c r="D168" s="850"/>
      <c r="E168" s="850"/>
      <c r="F168" s="850"/>
      <c r="G168" s="850"/>
      <c r="H168" s="850"/>
      <c r="I168" s="850"/>
      <c r="J168" s="850"/>
      <c r="K168" s="850"/>
      <c r="L168" s="851"/>
      <c r="M168" s="448">
        <f>1.95996+2.37356/M167+2.818745/M167^2+2.546662/M167^3+1.761829/M167^4+0.245458/M167^5+1.000764/M167^6</f>
        <v>1.9879354504412465</v>
      </c>
      <c r="N168" s="234">
        <v>2</v>
      </c>
      <c r="O168" s="227"/>
    </row>
    <row r="169" spans="3:15" x14ac:dyDescent="0.25">
      <c r="C169" s="849" t="s">
        <v>107</v>
      </c>
      <c r="D169" s="850"/>
      <c r="E169" s="850"/>
      <c r="F169" s="850"/>
      <c r="G169" s="850"/>
      <c r="H169" s="850"/>
      <c r="I169" s="850"/>
      <c r="J169" s="850"/>
      <c r="K169" s="850"/>
      <c r="L169" s="851"/>
      <c r="M169" s="448">
        <f>M168*M166</f>
        <v>1.4305129950745591E-3</v>
      </c>
      <c r="N169" s="234">
        <f>N168*M166</f>
        <v>1.4391946124377823E-3</v>
      </c>
      <c r="O169" s="227"/>
    </row>
    <row r="171" spans="3:15" x14ac:dyDescent="0.25">
      <c r="C171" s="207" t="s">
        <v>76</v>
      </c>
      <c r="D171" s="200"/>
      <c r="E171" s="200"/>
      <c r="F171" s="200" t="e">
        <f>F157</f>
        <v>#REF!</v>
      </c>
      <c r="G171" s="200" t="e">
        <f>G157</f>
        <v>#REF!</v>
      </c>
      <c r="H171" s="218">
        <f>C$6</f>
        <v>50</v>
      </c>
      <c r="I171" s="215" t="str">
        <f>D$6</f>
        <v>Hz</v>
      </c>
      <c r="J171" s="199"/>
      <c r="K171" s="199"/>
      <c r="L171" s="199"/>
      <c r="M171" s="199"/>
      <c r="N171" s="199"/>
      <c r="O171" s="289" t="str">
        <f>O$31</f>
        <v>AC Current-Measure</v>
      </c>
    </row>
    <row r="172" spans="3:15" x14ac:dyDescent="0.25">
      <c r="C172" s="219" t="s">
        <v>2</v>
      </c>
      <c r="D172" s="220"/>
      <c r="E172" s="220"/>
      <c r="F172" s="221" t="e">
        <f>Data!#REF!</f>
        <v>#REF!</v>
      </c>
      <c r="G172" s="237" t="e">
        <f>Data!#REF!</f>
        <v>#REF!</v>
      </c>
      <c r="H172" s="253"/>
      <c r="I172" s="253"/>
      <c r="J172" s="223">
        <v>1E-3</v>
      </c>
      <c r="K172" s="223"/>
      <c r="L172" s="223"/>
      <c r="M172" s="223"/>
      <c r="N172" s="223"/>
      <c r="O172" s="224"/>
    </row>
    <row r="173" spans="3:15" ht="14.4" x14ac:dyDescent="0.25">
      <c r="C173" s="225" t="s">
        <v>78</v>
      </c>
      <c r="D173" s="225" t="s">
        <v>79</v>
      </c>
      <c r="E173" s="225" t="s">
        <v>10</v>
      </c>
      <c r="F173" s="225" t="s">
        <v>80</v>
      </c>
      <c r="G173" s="225" t="s">
        <v>81</v>
      </c>
      <c r="H173" s="226" t="s">
        <v>82</v>
      </c>
      <c r="I173" s="225" t="s">
        <v>83</v>
      </c>
      <c r="J173" s="225" t="s">
        <v>84</v>
      </c>
      <c r="K173" s="225" t="s">
        <v>85</v>
      </c>
      <c r="L173" s="225" t="s">
        <v>86</v>
      </c>
      <c r="M173" s="225" t="s">
        <v>87</v>
      </c>
      <c r="N173" s="225" t="s">
        <v>542</v>
      </c>
      <c r="O173" s="225" t="s">
        <v>543</v>
      </c>
    </row>
    <row r="174" spans="3:15" ht="14.4" x14ac:dyDescent="0.3">
      <c r="C174" s="227" t="s">
        <v>90</v>
      </c>
      <c r="D174" s="228" t="s">
        <v>544</v>
      </c>
      <c r="E174" s="229" t="s">
        <v>42</v>
      </c>
      <c r="F174" s="230" t="e">
        <f>G172</f>
        <v>#REF!</v>
      </c>
      <c r="G174" s="608" t="s">
        <v>631</v>
      </c>
      <c r="H174" s="229">
        <f>STDEV(Data!E91:N91)/SQRT(5)</f>
        <v>0</v>
      </c>
      <c r="I174" s="229">
        <v>1</v>
      </c>
      <c r="J174" s="229">
        <f>5-1</f>
        <v>4</v>
      </c>
      <c r="K174" s="229">
        <f>(H174)/I174</f>
        <v>0</v>
      </c>
      <c r="L174" s="229">
        <v>1</v>
      </c>
      <c r="M174" s="229">
        <f t="shared" ref="M174:M176" si="51">K174*L174</f>
        <v>0</v>
      </c>
      <c r="N174" s="229">
        <f t="shared" ref="N174:N176" si="52">M174^2</f>
        <v>0</v>
      </c>
      <c r="O174" s="229">
        <f t="shared" ref="O174:O176" si="53">(M174^4)/J174</f>
        <v>0</v>
      </c>
    </row>
    <row r="175" spans="3:15" ht="14.4" x14ac:dyDescent="0.3">
      <c r="C175" s="227" t="s">
        <v>93</v>
      </c>
      <c r="D175" s="228" t="s">
        <v>545</v>
      </c>
      <c r="E175" s="229" t="s">
        <v>95</v>
      </c>
      <c r="F175" s="230" t="e">
        <f>F174</f>
        <v>#REF!</v>
      </c>
      <c r="G175" s="229" t="s">
        <v>96</v>
      </c>
      <c r="H175" s="229">
        <f>J172/2</f>
        <v>5.0000000000000001E-4</v>
      </c>
      <c r="I175" s="229">
        <f>SQRT(3)</f>
        <v>1.7320508075688772</v>
      </c>
      <c r="J175" s="229">
        <v>50</v>
      </c>
      <c r="K175" s="229">
        <f t="shared" ref="K175:K177" si="54">(H175)/I175</f>
        <v>2.886751345948129E-4</v>
      </c>
      <c r="L175" s="229">
        <v>1</v>
      </c>
      <c r="M175" s="229">
        <f t="shared" si="51"/>
        <v>2.886751345948129E-4</v>
      </c>
      <c r="N175" s="229">
        <f t="shared" si="52"/>
        <v>8.3333333333333338E-8</v>
      </c>
      <c r="O175" s="229">
        <f t="shared" si="53"/>
        <v>1.388888888888889E-16</v>
      </c>
    </row>
    <row r="176" spans="3:15" ht="14.4" x14ac:dyDescent="0.3">
      <c r="C176" s="227" t="s">
        <v>97</v>
      </c>
      <c r="D176" s="228" t="s">
        <v>546</v>
      </c>
      <c r="E176" s="229" t="s">
        <v>95</v>
      </c>
      <c r="F176" s="230" t="e">
        <f>F174</f>
        <v>#REF!</v>
      </c>
      <c r="G176" s="229" t="s">
        <v>92</v>
      </c>
      <c r="H176" s="231">
        <f>Y33</f>
        <v>1.7000000000000001E-2</v>
      </c>
      <c r="I176" s="229">
        <v>2</v>
      </c>
      <c r="J176" s="229">
        <v>60</v>
      </c>
      <c r="K176" s="229">
        <f t="shared" si="54"/>
        <v>8.5000000000000006E-3</v>
      </c>
      <c r="L176" s="229">
        <v>1</v>
      </c>
      <c r="M176" s="229">
        <f t="shared" si="51"/>
        <v>8.5000000000000006E-3</v>
      </c>
      <c r="N176" s="229">
        <f t="shared" si="52"/>
        <v>7.2250000000000008E-5</v>
      </c>
      <c r="O176" s="229">
        <f t="shared" si="53"/>
        <v>8.700104166666669E-11</v>
      </c>
    </row>
    <row r="177" spans="3:15" ht="14.4" x14ac:dyDescent="0.3">
      <c r="C177" s="227" t="s">
        <v>99</v>
      </c>
      <c r="D177" s="228" t="s">
        <v>547</v>
      </c>
      <c r="E177" s="229" t="s">
        <v>95</v>
      </c>
      <c r="F177" s="230" t="e">
        <f>F174</f>
        <v>#REF!</v>
      </c>
      <c r="G177" s="229" t="s">
        <v>96</v>
      </c>
      <c r="H177" s="229">
        <f>X33</f>
        <v>1.7981725057104258E-3</v>
      </c>
      <c r="I177" s="229">
        <f>SQRT(3)</f>
        <v>1.7320508075688772</v>
      </c>
      <c r="J177" s="229">
        <v>50</v>
      </c>
      <c r="K177" s="229">
        <f t="shared" si="54"/>
        <v>1.0381753802212984E-3</v>
      </c>
      <c r="L177" s="229">
        <v>1</v>
      </c>
      <c r="M177" s="229">
        <f>K177*L177</f>
        <v>1.0381753802212984E-3</v>
      </c>
      <c r="N177" s="229">
        <f>M177^2</f>
        <v>1.0778081200976374E-6</v>
      </c>
      <c r="O177" s="229">
        <f>(M177^4)/J177</f>
        <v>2.3233406874968059E-14</v>
      </c>
    </row>
    <row r="178" spans="3:15" x14ac:dyDescent="0.25">
      <c r="C178" s="232"/>
      <c r="D178" s="232"/>
      <c r="E178" s="232"/>
      <c r="F178" s="232"/>
      <c r="G178" s="232"/>
      <c r="H178" s="232"/>
      <c r="I178" s="232"/>
      <c r="J178" s="232"/>
      <c r="K178" s="232"/>
      <c r="L178" s="232"/>
      <c r="M178" s="232"/>
      <c r="N178" s="232"/>
      <c r="O178" s="232"/>
    </row>
    <row r="179" spans="3:15" x14ac:dyDescent="0.25">
      <c r="C179" s="853" t="s">
        <v>103</v>
      </c>
      <c r="D179" s="854"/>
      <c r="E179" s="854"/>
      <c r="F179" s="854"/>
      <c r="G179" s="854"/>
      <c r="H179" s="854"/>
      <c r="I179" s="854"/>
      <c r="J179" s="854"/>
      <c r="K179" s="854"/>
      <c r="L179" s="855"/>
      <c r="M179" s="856">
        <f>SUM(N174:N177)</f>
        <v>7.3411141453430978E-5</v>
      </c>
      <c r="N179" s="855"/>
      <c r="O179" s="233">
        <f>SUM(O174:O177)</f>
        <v>8.7024413962430545E-11</v>
      </c>
    </row>
    <row r="180" spans="3:15" x14ac:dyDescent="0.25">
      <c r="C180" s="849" t="s">
        <v>104</v>
      </c>
      <c r="D180" s="850"/>
      <c r="E180" s="850"/>
      <c r="F180" s="850"/>
      <c r="G180" s="850"/>
      <c r="H180" s="850"/>
      <c r="I180" s="850"/>
      <c r="J180" s="850"/>
      <c r="K180" s="850"/>
      <c r="L180" s="851"/>
      <c r="M180" s="852">
        <f>SQRT(M179)</f>
        <v>8.5680301968090056E-3</v>
      </c>
      <c r="N180" s="851"/>
      <c r="O180" s="227"/>
    </row>
    <row r="181" spans="3:15" ht="14.4" x14ac:dyDescent="0.3">
      <c r="C181" s="849" t="s">
        <v>548</v>
      </c>
      <c r="D181" s="850"/>
      <c r="E181" s="850"/>
      <c r="F181" s="850"/>
      <c r="G181" s="850"/>
      <c r="H181" s="850"/>
      <c r="I181" s="850"/>
      <c r="J181" s="850"/>
      <c r="K181" s="850"/>
      <c r="L181" s="851"/>
      <c r="M181" s="448">
        <f>(M180^4)/O179</f>
        <v>61.927399957237625</v>
      </c>
      <c r="N181" s="234"/>
      <c r="O181" s="227"/>
    </row>
    <row r="182" spans="3:15" ht="14.4" x14ac:dyDescent="0.3">
      <c r="C182" s="849" t="s">
        <v>549</v>
      </c>
      <c r="D182" s="850"/>
      <c r="E182" s="850"/>
      <c r="F182" s="850"/>
      <c r="G182" s="850"/>
      <c r="H182" s="850"/>
      <c r="I182" s="850"/>
      <c r="J182" s="850"/>
      <c r="K182" s="850"/>
      <c r="L182" s="851"/>
      <c r="M182" s="448">
        <f>1.95996+2.37356/M181+2.818745/M181^2+2.546662/M181^3+1.761829/M181^4+0.245458/M181^5+1.000764/M181^6</f>
        <v>1.9990339547155831</v>
      </c>
      <c r="N182" s="234">
        <v>2</v>
      </c>
      <c r="O182" s="227"/>
    </row>
    <row r="183" spans="3:15" x14ac:dyDescent="0.25">
      <c r="C183" s="849" t="s">
        <v>107</v>
      </c>
      <c r="D183" s="850"/>
      <c r="E183" s="850"/>
      <c r="F183" s="850"/>
      <c r="G183" s="850"/>
      <c r="H183" s="850"/>
      <c r="I183" s="850"/>
      <c r="J183" s="850"/>
      <c r="K183" s="850"/>
      <c r="L183" s="851"/>
      <c r="M183" s="448">
        <f>M182*M180</f>
        <v>1.7127783288449643E-2</v>
      </c>
      <c r="N183" s="234">
        <f>N182*M180</f>
        <v>1.7136060393618011E-2</v>
      </c>
      <c r="O183" s="227"/>
    </row>
    <row r="185" spans="3:15" x14ac:dyDescent="0.25">
      <c r="C185" s="207" t="s">
        <v>76</v>
      </c>
      <c r="D185" s="200"/>
      <c r="E185" s="200"/>
      <c r="F185" s="200" t="e">
        <f>F171</f>
        <v>#REF!</v>
      </c>
      <c r="G185" s="200" t="e">
        <f>G171</f>
        <v>#REF!</v>
      </c>
      <c r="H185" s="218">
        <f>C$6</f>
        <v>50</v>
      </c>
      <c r="I185" s="215" t="str">
        <f>D$6</f>
        <v>Hz</v>
      </c>
      <c r="J185" s="199"/>
      <c r="K185" s="199"/>
      <c r="L185" s="199"/>
      <c r="M185" s="199"/>
      <c r="N185" s="199"/>
      <c r="O185" s="289" t="str">
        <f>O$31</f>
        <v>AC Current-Measure</v>
      </c>
    </row>
    <row r="186" spans="3:15" x14ac:dyDescent="0.25">
      <c r="C186" s="219" t="s">
        <v>2</v>
      </c>
      <c r="D186" s="220"/>
      <c r="E186" s="220"/>
      <c r="F186" s="221" t="e">
        <f>Data!#REF!</f>
        <v>#REF!</v>
      </c>
      <c r="G186" s="237" t="e">
        <f>Data!#REF!</f>
        <v>#REF!</v>
      </c>
      <c r="H186" s="253"/>
      <c r="I186" s="253"/>
      <c r="J186" s="223">
        <v>1E-3</v>
      </c>
      <c r="K186" s="223"/>
      <c r="L186" s="223"/>
      <c r="M186" s="223"/>
      <c r="N186" s="223"/>
      <c r="O186" s="224"/>
    </row>
    <row r="187" spans="3:15" ht="14.4" x14ac:dyDescent="0.25">
      <c r="C187" s="225" t="s">
        <v>78</v>
      </c>
      <c r="D187" s="225" t="s">
        <v>79</v>
      </c>
      <c r="E187" s="225" t="s">
        <v>10</v>
      </c>
      <c r="F187" s="225" t="s">
        <v>80</v>
      </c>
      <c r="G187" s="225" t="s">
        <v>81</v>
      </c>
      <c r="H187" s="226" t="s">
        <v>82</v>
      </c>
      <c r="I187" s="225" t="s">
        <v>83</v>
      </c>
      <c r="J187" s="225" t="s">
        <v>84</v>
      </c>
      <c r="K187" s="225" t="s">
        <v>85</v>
      </c>
      <c r="L187" s="225" t="s">
        <v>86</v>
      </c>
      <c r="M187" s="225" t="s">
        <v>87</v>
      </c>
      <c r="N187" s="225" t="s">
        <v>542</v>
      </c>
      <c r="O187" s="225" t="s">
        <v>543</v>
      </c>
    </row>
    <row r="188" spans="3:15" ht="14.4" x14ac:dyDescent="0.3">
      <c r="C188" s="227" t="s">
        <v>90</v>
      </c>
      <c r="D188" s="228" t="s">
        <v>544</v>
      </c>
      <c r="E188" s="229" t="s">
        <v>42</v>
      </c>
      <c r="F188" s="230" t="e">
        <f>G186</f>
        <v>#REF!</v>
      </c>
      <c r="G188" s="608" t="s">
        <v>631</v>
      </c>
      <c r="H188" s="229">
        <f>STDEV(Data!E92:N92)/SQRT(5)</f>
        <v>0</v>
      </c>
      <c r="I188" s="229">
        <v>1</v>
      </c>
      <c r="J188" s="229">
        <f>5-1</f>
        <v>4</v>
      </c>
      <c r="K188" s="229">
        <f>(H188)/I188</f>
        <v>0</v>
      </c>
      <c r="L188" s="229">
        <v>1</v>
      </c>
      <c r="M188" s="229">
        <f t="shared" ref="M188:M190" si="55">K188*L188</f>
        <v>0</v>
      </c>
      <c r="N188" s="229">
        <f t="shared" ref="N188:N190" si="56">M188^2</f>
        <v>0</v>
      </c>
      <c r="O188" s="229">
        <f t="shared" ref="O188:O190" si="57">(M188^4)/J188</f>
        <v>0</v>
      </c>
    </row>
    <row r="189" spans="3:15" ht="14.4" x14ac:dyDescent="0.3">
      <c r="C189" s="227" t="s">
        <v>93</v>
      </c>
      <c r="D189" s="228" t="s">
        <v>545</v>
      </c>
      <c r="E189" s="229" t="s">
        <v>95</v>
      </c>
      <c r="F189" s="230" t="e">
        <f>F188</f>
        <v>#REF!</v>
      </c>
      <c r="G189" s="229" t="s">
        <v>96</v>
      </c>
      <c r="H189" s="229">
        <f>J186/2</f>
        <v>5.0000000000000001E-4</v>
      </c>
      <c r="I189" s="229">
        <f>SQRT(3)</f>
        <v>1.7320508075688772</v>
      </c>
      <c r="J189" s="229">
        <v>50</v>
      </c>
      <c r="K189" s="229">
        <f t="shared" ref="K189:K191" si="58">(H189)/I189</f>
        <v>2.886751345948129E-4</v>
      </c>
      <c r="L189" s="229">
        <v>1</v>
      </c>
      <c r="M189" s="229">
        <f t="shared" si="55"/>
        <v>2.886751345948129E-4</v>
      </c>
      <c r="N189" s="229">
        <f t="shared" si="56"/>
        <v>8.3333333333333338E-8</v>
      </c>
      <c r="O189" s="229">
        <f t="shared" si="57"/>
        <v>1.388888888888889E-16</v>
      </c>
    </row>
    <row r="190" spans="3:15" ht="14.4" x14ac:dyDescent="0.3">
      <c r="C190" s="227" t="s">
        <v>97</v>
      </c>
      <c r="D190" s="228" t="s">
        <v>546</v>
      </c>
      <c r="E190" s="229" t="s">
        <v>95</v>
      </c>
      <c r="F190" s="230" t="e">
        <f>F188</f>
        <v>#REF!</v>
      </c>
      <c r="G190" s="229" t="s">
        <v>92</v>
      </c>
      <c r="H190" s="231">
        <f>Y34</f>
        <v>1.7000000000000001E-2</v>
      </c>
      <c r="I190" s="229">
        <v>2</v>
      </c>
      <c r="J190" s="229">
        <v>60</v>
      </c>
      <c r="K190" s="229">
        <f t="shared" si="58"/>
        <v>8.5000000000000006E-3</v>
      </c>
      <c r="L190" s="229">
        <v>1</v>
      </c>
      <c r="M190" s="229">
        <f t="shared" si="55"/>
        <v>8.5000000000000006E-3</v>
      </c>
      <c r="N190" s="229">
        <f t="shared" si="56"/>
        <v>7.2250000000000008E-5</v>
      </c>
      <c r="O190" s="229">
        <f t="shared" si="57"/>
        <v>8.700104166666669E-11</v>
      </c>
    </row>
    <row r="191" spans="3:15" ht="14.4" x14ac:dyDescent="0.3">
      <c r="C191" s="227" t="s">
        <v>99</v>
      </c>
      <c r="D191" s="228" t="s">
        <v>547</v>
      </c>
      <c r="E191" s="229" t="s">
        <v>95</v>
      </c>
      <c r="F191" s="230" t="e">
        <f>F188</f>
        <v>#REF!</v>
      </c>
      <c r="G191" s="229" t="s">
        <v>96</v>
      </c>
      <c r="H191" s="229">
        <f>X34</f>
        <v>1.5451368613704337E-3</v>
      </c>
      <c r="I191" s="229">
        <f>SQRT(3)</f>
        <v>1.7320508075688772</v>
      </c>
      <c r="J191" s="229">
        <v>50</v>
      </c>
      <c r="K191" s="229">
        <f t="shared" si="58"/>
        <v>8.9208518284703334E-4</v>
      </c>
      <c r="L191" s="229">
        <v>1</v>
      </c>
      <c r="M191" s="229">
        <f>K191*L191</f>
        <v>8.9208518284703334E-4</v>
      </c>
      <c r="N191" s="229">
        <f>M191^2</f>
        <v>7.9581597345522493E-7</v>
      </c>
      <c r="O191" s="229">
        <f>(M191^4)/J191</f>
        <v>1.2666461272129745E-14</v>
      </c>
    </row>
    <row r="192" spans="3:15" x14ac:dyDescent="0.25">
      <c r="C192" s="232"/>
      <c r="D192" s="232"/>
      <c r="E192" s="232"/>
      <c r="F192" s="232"/>
      <c r="G192" s="232"/>
      <c r="H192" s="232"/>
      <c r="I192" s="232"/>
      <c r="J192" s="232"/>
      <c r="K192" s="232"/>
      <c r="L192" s="232"/>
      <c r="M192" s="232"/>
      <c r="N192" s="232"/>
      <c r="O192" s="232"/>
    </row>
    <row r="193" spans="3:15" x14ac:dyDescent="0.25">
      <c r="C193" s="853" t="s">
        <v>103</v>
      </c>
      <c r="D193" s="854"/>
      <c r="E193" s="854"/>
      <c r="F193" s="854"/>
      <c r="G193" s="854"/>
      <c r="H193" s="854"/>
      <c r="I193" s="854"/>
      <c r="J193" s="854"/>
      <c r="K193" s="854"/>
      <c r="L193" s="855"/>
      <c r="M193" s="856">
        <f>SUM(N188:N191)</f>
        <v>7.3129149306788569E-5</v>
      </c>
      <c r="N193" s="855"/>
      <c r="O193" s="233">
        <f>SUM(O188:O191)</f>
        <v>8.7013847016827706E-11</v>
      </c>
    </row>
    <row r="194" spans="3:15" x14ac:dyDescent="0.25">
      <c r="C194" s="849" t="s">
        <v>104</v>
      </c>
      <c r="D194" s="850"/>
      <c r="E194" s="850"/>
      <c r="F194" s="850"/>
      <c r="G194" s="850"/>
      <c r="H194" s="850"/>
      <c r="I194" s="850"/>
      <c r="J194" s="850"/>
      <c r="K194" s="850"/>
      <c r="L194" s="851"/>
      <c r="M194" s="852">
        <f>SQRT(M193)</f>
        <v>8.551558296988249E-3</v>
      </c>
      <c r="N194" s="851"/>
      <c r="O194" s="227"/>
    </row>
    <row r="195" spans="3:15" ht="14.4" x14ac:dyDescent="0.3">
      <c r="C195" s="849" t="s">
        <v>548</v>
      </c>
      <c r="D195" s="850"/>
      <c r="E195" s="850"/>
      <c r="F195" s="850"/>
      <c r="G195" s="850"/>
      <c r="H195" s="850"/>
      <c r="I195" s="850"/>
      <c r="J195" s="850"/>
      <c r="K195" s="850"/>
      <c r="L195" s="851"/>
      <c r="M195" s="448">
        <f>(M194^4)/O193</f>
        <v>61.460016556908947</v>
      </c>
      <c r="N195" s="234"/>
      <c r="O195" s="227"/>
    </row>
    <row r="196" spans="3:15" ht="14.4" x14ac:dyDescent="0.3">
      <c r="C196" s="849" t="s">
        <v>549</v>
      </c>
      <c r="D196" s="850"/>
      <c r="E196" s="850"/>
      <c r="F196" s="850"/>
      <c r="G196" s="850"/>
      <c r="H196" s="850"/>
      <c r="I196" s="850"/>
      <c r="J196" s="850"/>
      <c r="K196" s="850"/>
      <c r="L196" s="851"/>
      <c r="M196" s="448">
        <f>1.95996+2.37356/M195+2.818745/M195^2+2.546662/M195^3+1.761829/M195^4+0.245458/M195^5+1.000764/M195^6</f>
        <v>1.9993368991279565</v>
      </c>
      <c r="N196" s="234">
        <v>2</v>
      </c>
      <c r="O196" s="227"/>
    </row>
    <row r="197" spans="3:15" x14ac:dyDescent="0.25">
      <c r="C197" s="849" t="s">
        <v>107</v>
      </c>
      <c r="D197" s="850"/>
      <c r="E197" s="850"/>
      <c r="F197" s="850"/>
      <c r="G197" s="850"/>
      <c r="H197" s="850"/>
      <c r="I197" s="850"/>
      <c r="J197" s="850"/>
      <c r="K197" s="850"/>
      <c r="L197" s="851"/>
      <c r="M197" s="448">
        <f>M196*M194</f>
        <v>1.7097446048212436E-2</v>
      </c>
      <c r="N197" s="234">
        <f>N196*M194</f>
        <v>1.7103116593976498E-2</v>
      </c>
      <c r="O197" s="227"/>
    </row>
  </sheetData>
  <mergeCells count="95">
    <mergeCell ref="A1:B1"/>
    <mergeCell ref="C194:L194"/>
    <mergeCell ref="M194:N194"/>
    <mergeCell ref="C195:L195"/>
    <mergeCell ref="C196:L196"/>
    <mergeCell ref="M193:N193"/>
    <mergeCell ref="C168:L168"/>
    <mergeCell ref="C169:L169"/>
    <mergeCell ref="C179:L179"/>
    <mergeCell ref="M179:N179"/>
    <mergeCell ref="C180:L180"/>
    <mergeCell ref="M180:N180"/>
    <mergeCell ref="C165:L165"/>
    <mergeCell ref="M165:N165"/>
    <mergeCell ref="C166:L166"/>
    <mergeCell ref="M166:N166"/>
    <mergeCell ref="C197:L197"/>
    <mergeCell ref="C181:L181"/>
    <mergeCell ref="C182:L182"/>
    <mergeCell ref="C183:L183"/>
    <mergeCell ref="C193:L193"/>
    <mergeCell ref="C167:L167"/>
    <mergeCell ref="C152:L152"/>
    <mergeCell ref="M152:N152"/>
    <mergeCell ref="C153:L153"/>
    <mergeCell ref="C154:L154"/>
    <mergeCell ref="C155:L155"/>
    <mergeCell ref="C139:L139"/>
    <mergeCell ref="C140:L140"/>
    <mergeCell ref="C141:L141"/>
    <mergeCell ref="C151:L151"/>
    <mergeCell ref="M151:N151"/>
    <mergeCell ref="C126:L126"/>
    <mergeCell ref="C127:L127"/>
    <mergeCell ref="C137:L137"/>
    <mergeCell ref="M137:N137"/>
    <mergeCell ref="C138:L138"/>
    <mergeCell ref="M138:N138"/>
    <mergeCell ref="C123:L123"/>
    <mergeCell ref="M123:N123"/>
    <mergeCell ref="C124:L124"/>
    <mergeCell ref="M124:N124"/>
    <mergeCell ref="C125:L125"/>
    <mergeCell ref="C1:D1"/>
    <mergeCell ref="E1:F1"/>
    <mergeCell ref="H1:I1"/>
    <mergeCell ref="M1:N1"/>
    <mergeCell ref="C21:F21"/>
    <mergeCell ref="C53:L53"/>
    <mergeCell ref="M53:N53"/>
    <mergeCell ref="C39:L39"/>
    <mergeCell ref="M39:N39"/>
    <mergeCell ref="AC21:AD21"/>
    <mergeCell ref="C22:F22"/>
    <mergeCell ref="Q22:R22"/>
    <mergeCell ref="C23:F23"/>
    <mergeCell ref="AA21:AB21"/>
    <mergeCell ref="C40:L40"/>
    <mergeCell ref="M40:N40"/>
    <mergeCell ref="C41:L41"/>
    <mergeCell ref="C42:L42"/>
    <mergeCell ref="C43:L43"/>
    <mergeCell ref="C81:L81"/>
    <mergeCell ref="M81:N81"/>
    <mergeCell ref="C54:L54"/>
    <mergeCell ref="M54:N54"/>
    <mergeCell ref="C55:L55"/>
    <mergeCell ref="C56:L56"/>
    <mergeCell ref="C57:L57"/>
    <mergeCell ref="C67:L67"/>
    <mergeCell ref="M67:N67"/>
    <mergeCell ref="C68:L68"/>
    <mergeCell ref="M68:N68"/>
    <mergeCell ref="C69:L69"/>
    <mergeCell ref="C70:L70"/>
    <mergeCell ref="C71:L71"/>
    <mergeCell ref="C109:L109"/>
    <mergeCell ref="M109:N109"/>
    <mergeCell ref="C82:L82"/>
    <mergeCell ref="M82:N82"/>
    <mergeCell ref="C83:L83"/>
    <mergeCell ref="C84:L84"/>
    <mergeCell ref="C85:L85"/>
    <mergeCell ref="C95:L95"/>
    <mergeCell ref="M95:N95"/>
    <mergeCell ref="C96:L96"/>
    <mergeCell ref="M96:N96"/>
    <mergeCell ref="C97:L97"/>
    <mergeCell ref="C98:L98"/>
    <mergeCell ref="C99:L99"/>
    <mergeCell ref="C110:L110"/>
    <mergeCell ref="M110:N110"/>
    <mergeCell ref="C111:L111"/>
    <mergeCell ref="C112:L112"/>
    <mergeCell ref="C113:L113"/>
  </mergeCells>
  <phoneticPr fontId="61" type="noConversion"/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D1017"/>
  <sheetViews>
    <sheetView topLeftCell="A15" zoomScaleNormal="100" workbookViewId="0">
      <selection activeCell="O31" sqref="O31"/>
    </sheetView>
  </sheetViews>
  <sheetFormatPr defaultColWidth="14.44140625" defaultRowHeight="15" customHeight="1" x14ac:dyDescent="0.3"/>
  <cols>
    <col min="1" max="1" width="11.33203125" customWidth="1"/>
    <col min="2" max="2" width="8.109375" customWidth="1"/>
    <col min="3" max="4" width="8.6640625" customWidth="1"/>
    <col min="5" max="10" width="9.109375" customWidth="1"/>
    <col min="11" max="13" width="11.33203125" customWidth="1"/>
    <col min="14" max="14" width="4.109375" customWidth="1"/>
    <col min="15" max="15" width="8.6640625" customWidth="1"/>
    <col min="16" max="16" width="3.88671875" bestFit="1" customWidth="1"/>
    <col min="17" max="20" width="10.6640625" customWidth="1"/>
    <col min="21" max="21" width="9" customWidth="1"/>
    <col min="22" max="22" width="4.33203125" customWidth="1"/>
    <col min="23" max="23" width="9" customWidth="1"/>
    <col min="24" max="24" width="3.88671875" bestFit="1" customWidth="1"/>
    <col min="25" max="25" width="8.88671875" bestFit="1" customWidth="1"/>
    <col min="26" max="26" width="9" customWidth="1"/>
    <col min="27" max="27" width="10.109375" bestFit="1" customWidth="1"/>
    <col min="28" max="29" width="9" customWidth="1"/>
    <col min="30" max="30" width="9.44140625" customWidth="1"/>
  </cols>
  <sheetData>
    <row r="1" spans="1:30" ht="15.75" customHeight="1" thickBot="1" x14ac:dyDescent="0.35">
      <c r="A1" s="838" t="s">
        <v>1</v>
      </c>
      <c r="B1" s="837"/>
      <c r="C1" s="838" t="s">
        <v>558</v>
      </c>
      <c r="D1" s="837"/>
      <c r="E1" s="53" t="s">
        <v>559</v>
      </c>
      <c r="F1" s="838" t="s">
        <v>560</v>
      </c>
      <c r="G1" s="837"/>
      <c r="H1" s="52" t="s">
        <v>561</v>
      </c>
      <c r="I1" s="53" t="s">
        <v>535</v>
      </c>
      <c r="J1" s="54" t="s">
        <v>46</v>
      </c>
      <c r="K1" s="838" t="s">
        <v>47</v>
      </c>
      <c r="L1" s="839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12.75" customHeight="1" x14ac:dyDescent="0.3">
      <c r="A2" s="446">
        <f>Data!A157</f>
        <v>600</v>
      </c>
      <c r="B2" s="113" t="str">
        <f>Data!B157</f>
        <v>Ω</v>
      </c>
      <c r="C2" s="149">
        <f>Data!C157</f>
        <v>60</v>
      </c>
      <c r="D2" s="113" t="str">
        <f>Data!D157</f>
        <v>Ω</v>
      </c>
      <c r="E2" s="240">
        <f>Q28</f>
        <v>7.0898876404494366E-4</v>
      </c>
      <c r="F2" s="239">
        <f>AVERAGE(Data!E157:N157)</f>
        <v>60.1</v>
      </c>
      <c r="G2" s="294" t="s">
        <v>44</v>
      </c>
      <c r="H2" s="116">
        <f>(C2+E2)-F2</f>
        <v>-9.9291011235955295E-2</v>
      </c>
      <c r="I2" s="609">
        <f>L49</f>
        <v>5.7831066841197064E-2</v>
      </c>
      <c r="J2" s="292">
        <f>K48</f>
        <v>2.0082499355943471</v>
      </c>
      <c r="K2" s="609">
        <f>C2/10^3*1.1</f>
        <v>6.6000000000000003E-2</v>
      </c>
      <c r="L2" s="294" t="str">
        <f>G2</f>
        <v>Ω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12.75" customHeight="1" x14ac:dyDescent="0.3">
      <c r="A3" s="447"/>
      <c r="B3" s="124"/>
      <c r="C3" s="6">
        <f>Data!C158</f>
        <v>300</v>
      </c>
      <c r="D3" s="124" t="str">
        <f>Data!D158</f>
        <v>Ω</v>
      </c>
      <c r="E3" s="241">
        <f t="shared" ref="E3:E17" si="0">Q29</f>
        <v>-1.2134831460674158E-3</v>
      </c>
      <c r="F3" s="5">
        <f>AVERAGE(Data!E158:N158)</f>
        <v>301.10000000000002</v>
      </c>
      <c r="G3" s="124" t="s">
        <v>44</v>
      </c>
      <c r="H3" s="143">
        <f t="shared" ref="H3:H17" si="1">(C3+E3)-F3</f>
        <v>-1.1012134831460685</v>
      </c>
      <c r="I3" s="1">
        <f>L63</f>
        <v>6.1007487647707567E-2</v>
      </c>
      <c r="J3" s="293">
        <f>K62</f>
        <v>1.9990707430608936</v>
      </c>
      <c r="K3" s="1">
        <f>C3/10^3*0.28</f>
        <v>8.4000000000000005E-2</v>
      </c>
      <c r="L3" s="124" t="str">
        <f t="shared" ref="L3:L17" si="2">G3</f>
        <v>Ω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12.75" customHeight="1" thickBot="1" x14ac:dyDescent="0.35">
      <c r="A4" s="295"/>
      <c r="B4" s="120"/>
      <c r="C4" s="296">
        <f>Data!C159</f>
        <v>0.54</v>
      </c>
      <c r="D4" s="120" t="str">
        <f>Data!D159</f>
        <v>kΩ</v>
      </c>
      <c r="E4" s="297">
        <f t="shared" si="0"/>
        <v>-3.883146067415731E-6</v>
      </c>
      <c r="F4" s="298">
        <f>AVERAGE(Data!E159:N159)</f>
        <v>541</v>
      </c>
      <c r="G4" s="120" t="s">
        <v>44</v>
      </c>
      <c r="H4" s="299">
        <f>(C4+E4)*10^3-F4</f>
        <v>-1.0038831460673237</v>
      </c>
      <c r="I4" s="312">
        <f>L77</f>
        <v>6.0773696976573637E-2</v>
      </c>
      <c r="J4" s="301">
        <f>K76</f>
        <v>1.9996357638692168</v>
      </c>
      <c r="K4" s="312">
        <f>C4*0.28</f>
        <v>0.15120000000000003</v>
      </c>
      <c r="L4" s="120" t="str">
        <f t="shared" si="2"/>
        <v>Ω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12.75" customHeight="1" x14ac:dyDescent="0.3">
      <c r="A5" s="446">
        <f>Data!A161</f>
        <v>6</v>
      </c>
      <c r="B5" s="113" t="str">
        <f>Data!B161</f>
        <v>kΩ</v>
      </c>
      <c r="C5" s="304">
        <f>Data!C161</f>
        <v>0.60000000000000009</v>
      </c>
      <c r="D5" s="113" t="str">
        <f>Data!D161</f>
        <v>kΩ</v>
      </c>
      <c r="E5" s="240">
        <f t="shared" si="0"/>
        <v>-4.5505617977528102E-6</v>
      </c>
      <c r="F5" s="149">
        <f>AVERAGE(Data!E161:N161)</f>
        <v>0.60099999999999998</v>
      </c>
      <c r="G5" s="294" t="s">
        <v>43</v>
      </c>
      <c r="H5" s="305">
        <f t="shared" si="1"/>
        <v>-1.0045505617976014E-3</v>
      </c>
      <c r="I5" s="609">
        <f>L91</f>
        <v>5.7765610408672769E-4</v>
      </c>
      <c r="J5" s="292">
        <f>K90</f>
        <v>2.0084740324379147</v>
      </c>
      <c r="K5" s="609">
        <f>C5/10^3*0.28</f>
        <v>1.6800000000000004E-4</v>
      </c>
      <c r="L5" s="294" t="str">
        <f t="shared" si="2"/>
        <v>kΩ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ht="12.75" customHeight="1" x14ac:dyDescent="0.3">
      <c r="A6" s="447"/>
      <c r="B6" s="124"/>
      <c r="C6" s="86">
        <f>Data!C162</f>
        <v>3</v>
      </c>
      <c r="D6" s="124" t="str">
        <f>Data!D162</f>
        <v>kΩ</v>
      </c>
      <c r="E6" s="241">
        <f t="shared" si="0"/>
        <v>-3.752808988764046E-5</v>
      </c>
      <c r="F6" s="6">
        <f>AVERAGE(Data!E162:N162)</f>
        <v>3.0009999999999999</v>
      </c>
      <c r="G6" s="306" t="s">
        <v>43</v>
      </c>
      <c r="H6" s="248">
        <f t="shared" si="1"/>
        <v>-1.0375280898875516E-3</v>
      </c>
      <c r="I6" s="1">
        <f>L105</f>
        <v>6.0944113295309955E-4</v>
      </c>
      <c r="J6" s="293">
        <f>K104</f>
        <v>1.9992490507461644</v>
      </c>
      <c r="K6" s="1">
        <f>C6/10^3*0.18</f>
        <v>5.4000000000000001E-4</v>
      </c>
      <c r="L6" s="306" t="str">
        <f t="shared" si="2"/>
        <v>kΩ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ht="12.75" customHeight="1" thickBot="1" x14ac:dyDescent="0.35">
      <c r="A7" s="295"/>
      <c r="B7" s="120"/>
      <c r="C7" s="307">
        <f>Data!C163</f>
        <v>5.4</v>
      </c>
      <c r="D7" s="120" t="str">
        <f>Data!D163</f>
        <v>kΩ</v>
      </c>
      <c r="E7" s="297">
        <f t="shared" si="0"/>
        <v>-1.0008988764044946E-4</v>
      </c>
      <c r="F7" s="300">
        <f>AVERAGE(Data!E163:N163)</f>
        <v>5.4</v>
      </c>
      <c r="G7" s="308" t="s">
        <v>43</v>
      </c>
      <c r="H7" s="309">
        <f t="shared" si="1"/>
        <v>-1.0008988764020899E-4</v>
      </c>
      <c r="I7" s="312">
        <f>L119</f>
        <v>6.0401192822154509E-4</v>
      </c>
      <c r="J7" s="301">
        <f>K118</f>
        <v>2.0005884765582485</v>
      </c>
      <c r="K7" s="312">
        <f>C7/10^3*0.18</f>
        <v>9.7199999999999999E-4</v>
      </c>
      <c r="L7" s="308" t="str">
        <f t="shared" si="2"/>
        <v>kΩ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30" ht="12.75" customHeight="1" x14ac:dyDescent="0.3">
      <c r="A8" s="446">
        <f>Data!A165</f>
        <v>60</v>
      </c>
      <c r="B8" s="113" t="str">
        <f>Data!B165</f>
        <v>kΩ</v>
      </c>
      <c r="C8" s="310">
        <f>Data!C165</f>
        <v>6</v>
      </c>
      <c r="D8" s="113" t="str">
        <f>Data!D165</f>
        <v>kΩ</v>
      </c>
      <c r="E8" s="240">
        <f t="shared" si="0"/>
        <v>-1.157303370786517E-4</v>
      </c>
      <c r="F8" s="584">
        <f>AVERAGE(Data!E165:N165)</f>
        <v>6</v>
      </c>
      <c r="G8" s="294" t="s">
        <v>43</v>
      </c>
      <c r="H8" s="179">
        <f t="shared" si="1"/>
        <v>-1.157303370789009E-4</v>
      </c>
      <c r="I8" s="609">
        <f>L133</f>
        <v>5.7760990966224009E-3</v>
      </c>
      <c r="J8" s="292">
        <f>K132</f>
        <v>2.0084899185281935</v>
      </c>
      <c r="K8" s="609">
        <f>C8/10^3*0.18</f>
        <v>1.08E-3</v>
      </c>
      <c r="L8" s="294" t="str">
        <f t="shared" si="2"/>
        <v>kΩ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0" ht="12.75" customHeight="1" x14ac:dyDescent="0.3">
      <c r="A9" s="447"/>
      <c r="B9" s="124"/>
      <c r="C9" s="80">
        <f>Data!C166</f>
        <v>30</v>
      </c>
      <c r="D9" s="124" t="str">
        <f>Data!D166</f>
        <v>kΩ</v>
      </c>
      <c r="E9" s="241">
        <f t="shared" si="0"/>
        <v>-4.5505617977528105E-4</v>
      </c>
      <c r="F9" s="2">
        <f>AVERAGE(Data!E166:N166)</f>
        <v>30</v>
      </c>
      <c r="G9" s="124" t="s">
        <v>43</v>
      </c>
      <c r="H9" s="142">
        <f t="shared" si="1"/>
        <v>-4.5505617977426027E-4</v>
      </c>
      <c r="I9" s="1">
        <f>L147</f>
        <v>4.6287110907195193E-2</v>
      </c>
      <c r="J9" s="293">
        <f>K146</f>
        <v>2.0069781876035342</v>
      </c>
      <c r="K9" s="1">
        <f>C9/10^3*0.81</f>
        <v>2.4300000000000002E-2</v>
      </c>
      <c r="L9" s="124" t="str">
        <f t="shared" si="2"/>
        <v>kΩ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0" ht="12.75" customHeight="1" thickBot="1" x14ac:dyDescent="0.35">
      <c r="A10" s="295"/>
      <c r="B10" s="120"/>
      <c r="C10" s="300">
        <f>Data!C167</f>
        <v>54</v>
      </c>
      <c r="D10" s="120" t="str">
        <f>Data!D167</f>
        <v>kΩ</v>
      </c>
      <c r="E10" s="297">
        <f t="shared" si="0"/>
        <v>-9.1617977528089887E-4</v>
      </c>
      <c r="F10" s="302">
        <f>AVERAGE(Data!E167:N167)</f>
        <v>53.989999999999995</v>
      </c>
      <c r="G10" s="120" t="s">
        <v>43</v>
      </c>
      <c r="H10" s="180">
        <f t="shared" si="1"/>
        <v>9.0838202247240929E-3</v>
      </c>
      <c r="I10" s="312">
        <f>L161</f>
        <v>4.613383881569922E-2</v>
      </c>
      <c r="J10" s="301">
        <f>K160</f>
        <v>2.0069677087539031</v>
      </c>
      <c r="K10" s="312">
        <f>C10/10^3*0.81</f>
        <v>4.3740000000000001E-2</v>
      </c>
      <c r="L10" s="120" t="str">
        <f t="shared" si="2"/>
        <v>kΩ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0" ht="12.75" customHeight="1" x14ac:dyDescent="0.3">
      <c r="A11" s="446">
        <f>Data!A169</f>
        <v>600</v>
      </c>
      <c r="B11" s="113" t="str">
        <f>Data!B169</f>
        <v>kΩ</v>
      </c>
      <c r="C11" s="149">
        <f>Data!C169</f>
        <v>60</v>
      </c>
      <c r="D11" s="113" t="str">
        <f>Data!D169</f>
        <v>kΩ</v>
      </c>
      <c r="E11" s="240">
        <f t="shared" si="0"/>
        <v>-1.0314606741573034E-3</v>
      </c>
      <c r="F11" s="585">
        <f>AVERAGE(Data!E169:N169)</f>
        <v>60</v>
      </c>
      <c r="G11" s="294" t="s">
        <v>43</v>
      </c>
      <c r="H11" s="179">
        <f t="shared" si="1"/>
        <v>-1.0314606741559373E-3</v>
      </c>
      <c r="I11" s="609">
        <f>L175</f>
        <v>7.3653222329896642E-2</v>
      </c>
      <c r="J11" s="292">
        <f>K174</f>
        <v>1.985242998125315</v>
      </c>
      <c r="K11" s="609">
        <f>C11/10^3*0.81</f>
        <v>4.8600000000000004E-2</v>
      </c>
      <c r="L11" s="294" t="str">
        <f t="shared" si="2"/>
        <v>kΩ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0" ht="12.75" customHeight="1" x14ac:dyDescent="0.3">
      <c r="A12" s="447"/>
      <c r="B12" s="124"/>
      <c r="C12" s="6">
        <f>Data!C170</f>
        <v>300</v>
      </c>
      <c r="D12" s="124" t="str">
        <f>Data!D170</f>
        <v>kΩ</v>
      </c>
      <c r="E12" s="241">
        <f t="shared" si="0"/>
        <v>-1.8426966292134832E-3</v>
      </c>
      <c r="F12" s="5">
        <f>AVERAGE(Data!E170:N170)</f>
        <v>299.89999999999998</v>
      </c>
      <c r="G12" s="124" t="s">
        <v>43</v>
      </c>
      <c r="H12" s="143">
        <f t="shared" si="1"/>
        <v>9.8157303370783211E-2</v>
      </c>
      <c r="I12" s="1">
        <f>L189</f>
        <v>8.4836770860450453E-2</v>
      </c>
      <c r="J12" s="293">
        <f>K188</f>
        <v>1.982161509838958</v>
      </c>
      <c r="K12" s="1">
        <f>C12/10^3*0.81</f>
        <v>0.24299999999999999</v>
      </c>
      <c r="L12" s="124" t="str">
        <f t="shared" si="2"/>
        <v>kΩ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0" ht="12.75" customHeight="1" thickBot="1" x14ac:dyDescent="0.35">
      <c r="A13" s="295"/>
      <c r="B13" s="120"/>
      <c r="C13" s="296">
        <f>Data!C171</f>
        <v>0.54</v>
      </c>
      <c r="D13" s="120" t="str">
        <f>Data!D171</f>
        <v>MΩ</v>
      </c>
      <c r="E13" s="297">
        <f t="shared" si="0"/>
        <v>-4.2966292134831472E-6</v>
      </c>
      <c r="F13" s="298">
        <f>AVERAGE(Data!E171:N171)</f>
        <v>539.79999999999995</v>
      </c>
      <c r="G13" s="120" t="s">
        <v>43</v>
      </c>
      <c r="H13" s="299">
        <f>(C13+E13)*1000-F13</f>
        <v>0.1957033707865321</v>
      </c>
      <c r="I13" s="312">
        <f>L203</f>
        <v>8.5418392292031395E-2</v>
      </c>
      <c r="J13" s="301">
        <f>K202</f>
        <v>1.9822106854545656</v>
      </c>
      <c r="K13" s="312">
        <f>C13/10^0*0.81</f>
        <v>0.43740000000000007</v>
      </c>
      <c r="L13" s="120" t="str">
        <f t="shared" si="2"/>
        <v>kΩ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0" ht="12.75" customHeight="1" x14ac:dyDescent="0.3">
      <c r="A14" s="446">
        <f>Data!A173</f>
        <v>6</v>
      </c>
      <c r="B14" s="115" t="str">
        <f>Data!B173</f>
        <v>MΩ</v>
      </c>
      <c r="C14" s="304">
        <f>Data!C173</f>
        <v>0.60000000000000009</v>
      </c>
      <c r="D14" s="115" t="str">
        <f>Data!D173</f>
        <v>MΩ</v>
      </c>
      <c r="E14" s="240">
        <f t="shared" si="0"/>
        <v>-4.9101123595505632E-6</v>
      </c>
      <c r="F14" s="149">
        <f>AVERAGE(Data!E173:N173)</f>
        <v>0.6</v>
      </c>
      <c r="G14" s="311" t="s">
        <v>45</v>
      </c>
      <c r="H14" s="305">
        <f t="shared" si="1"/>
        <v>-4.9101123594796903E-6</v>
      </c>
      <c r="I14" s="609">
        <f>L217</f>
        <v>5.8079365451711034E-4</v>
      </c>
      <c r="J14" s="292">
        <f>K216</f>
        <v>2.0074157461627404</v>
      </c>
      <c r="K14" s="609">
        <f>C14/10^3*0.81</f>
        <v>4.860000000000001E-4</v>
      </c>
      <c r="L14" s="311" t="str">
        <f t="shared" si="2"/>
        <v>MΩ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0" ht="12.75" customHeight="1" x14ac:dyDescent="0.3">
      <c r="A15" s="447"/>
      <c r="B15" s="126"/>
      <c r="C15" s="86">
        <f>Data!C174</f>
        <v>3</v>
      </c>
      <c r="D15" s="1" t="str">
        <f>Data!D174</f>
        <v>MΩ</v>
      </c>
      <c r="E15" s="241">
        <f t="shared" si="0"/>
        <v>-1.3959550561797752E-3</v>
      </c>
      <c r="F15" s="6">
        <f>AVERAGE(Data!E174:N174)</f>
        <v>2.9969999999999999</v>
      </c>
      <c r="G15" s="1" t="s">
        <v>45</v>
      </c>
      <c r="H15" s="248">
        <f t="shared" si="1"/>
        <v>1.6040449438201598E-3</v>
      </c>
      <c r="I15" s="1">
        <f>L231</f>
        <v>9.2557796477289959E-3</v>
      </c>
      <c r="J15" s="293">
        <f>K230</f>
        <v>2.0080437092283745</v>
      </c>
      <c r="K15" s="1">
        <f>C15/10^3*2.2</f>
        <v>6.6000000000000008E-3</v>
      </c>
      <c r="L15" s="126" t="str">
        <f t="shared" si="2"/>
        <v>MΩ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0" ht="12.75" customHeight="1" thickBot="1" x14ac:dyDescent="0.35">
      <c r="A16" s="295"/>
      <c r="B16" s="122"/>
      <c r="C16" s="307">
        <f>Data!C175</f>
        <v>5.4</v>
      </c>
      <c r="D16" s="312" t="str">
        <f>Data!D175</f>
        <v>MΩ</v>
      </c>
      <c r="E16" s="297">
        <f t="shared" si="0"/>
        <v>-1.795056179775281E-3</v>
      </c>
      <c r="F16" s="300">
        <f>AVERAGE(Data!E175:N175)</f>
        <v>5.3929999999999998</v>
      </c>
      <c r="G16" s="312" t="s">
        <v>45</v>
      </c>
      <c r="H16" s="309">
        <f t="shared" si="1"/>
        <v>5.204943820225516E-3</v>
      </c>
      <c r="I16" s="312">
        <f>L245</f>
        <v>9.3891808948213043E-3</v>
      </c>
      <c r="J16" s="301">
        <f>K244</f>
        <v>2.0080587550780882</v>
      </c>
      <c r="K16" s="312">
        <f>C16/10^3*2.2</f>
        <v>1.1880000000000002E-2</v>
      </c>
      <c r="L16" s="122" t="str">
        <f t="shared" si="2"/>
        <v>MΩ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ht="12.75" customHeight="1" x14ac:dyDescent="0.3">
      <c r="A17" s="446">
        <f>Data!A177</f>
        <v>60</v>
      </c>
      <c r="B17" s="115" t="str">
        <f>Data!B177</f>
        <v>MΩ</v>
      </c>
      <c r="C17" s="310">
        <f>Data!C177</f>
        <v>6</v>
      </c>
      <c r="D17" s="115" t="str">
        <f>Data!D177</f>
        <v>MΩ</v>
      </c>
      <c r="E17" s="240">
        <f t="shared" si="0"/>
        <v>-1.8948314606741573E-3</v>
      </c>
      <c r="F17" s="584">
        <f>AVERAGE(Data!E177:N177)</f>
        <v>5.99</v>
      </c>
      <c r="G17" s="260" t="s">
        <v>45</v>
      </c>
      <c r="H17" s="179">
        <f t="shared" si="1"/>
        <v>8.1051685393251915E-3</v>
      </c>
      <c r="I17" s="609">
        <f>L259</f>
        <v>1.1035584448599313E-2</v>
      </c>
      <c r="J17" s="292">
        <f>K258</f>
        <v>1.9888956553160804</v>
      </c>
      <c r="K17" s="609">
        <f>C17/10^3*2.2</f>
        <v>1.3200000000000002E-2</v>
      </c>
      <c r="L17" s="311" t="str">
        <f t="shared" si="2"/>
        <v>MΩ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ht="12.75" customHeight="1" x14ac:dyDescent="0.3">
      <c r="A18" s="447"/>
      <c r="B18" s="126"/>
      <c r="C18" s="80">
        <f>Data!C178</f>
        <v>11</v>
      </c>
      <c r="D18" s="1" t="str">
        <f>Data!D178</f>
        <v>MΩ</v>
      </c>
      <c r="E18" s="241">
        <f t="shared" ref="E18" si="3">Q44</f>
        <v>-3.2799999999999999E-3</v>
      </c>
      <c r="F18" s="2">
        <f>AVERAGE(Data!E178:N178)</f>
        <v>10.97</v>
      </c>
      <c r="G18" s="1" t="s">
        <v>45</v>
      </c>
      <c r="H18" s="142">
        <f t="shared" ref="H18" si="4">(C18+E18)-F18</f>
        <v>2.6719999999999189E-2</v>
      </c>
      <c r="I18" s="1">
        <f>L273</f>
        <v>1.1432614356505628E-2</v>
      </c>
      <c r="J18" s="293">
        <f>K272</f>
        <v>1.9897709298066792</v>
      </c>
      <c r="K18" s="1">
        <f>C18/10^3*2.2</f>
        <v>2.4199999999999999E-2</v>
      </c>
      <c r="L18" s="126" t="str">
        <f t="shared" ref="L18" si="5">G18</f>
        <v>MΩ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ht="12.75" customHeight="1" thickBot="1" x14ac:dyDescent="0.35">
      <c r="A19" s="295"/>
      <c r="B19" s="122"/>
      <c r="C19" s="307"/>
      <c r="D19" s="312"/>
      <c r="E19" s="313"/>
      <c r="F19" s="312"/>
      <c r="G19" s="312"/>
      <c r="H19" s="314"/>
      <c r="I19" s="300"/>
      <c r="J19" s="315"/>
      <c r="K19" s="312"/>
      <c r="L19" s="122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ht="12.75" customHeight="1" x14ac:dyDescent="0.3">
      <c r="A20" s="1"/>
      <c r="B20" s="48"/>
      <c r="C20" s="150"/>
      <c r="D20" s="48"/>
      <c r="E20" s="151"/>
      <c r="F20" s="150"/>
      <c r="G20" s="48"/>
      <c r="H20" s="6"/>
      <c r="I20" s="6"/>
      <c r="J20" s="152"/>
      <c r="K20" s="453"/>
      <c r="L20" s="48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ht="12.75" customHeight="1" x14ac:dyDescent="0.3">
      <c r="A21" s="1"/>
      <c r="B21" s="1"/>
      <c r="C21" s="86"/>
      <c r="D21" s="1"/>
      <c r="E21" s="86"/>
      <c r="F21" s="5"/>
      <c r="G21" s="5"/>
      <c r="H21" s="103"/>
      <c r="I21" s="242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ht="12.75" customHeight="1" x14ac:dyDescent="0.3">
      <c r="A22" s="284" t="s">
        <v>550</v>
      </c>
      <c r="B22" s="12"/>
      <c r="C22" s="12"/>
      <c r="D22" s="1"/>
      <c r="E22" s="1"/>
      <c r="F22" s="1"/>
      <c r="G22" s="1"/>
      <c r="H22" s="1"/>
      <c r="I22" s="243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ht="12.7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ht="12.75" customHeight="1" x14ac:dyDescent="0.3">
      <c r="A24" s="48" t="s">
        <v>48</v>
      </c>
      <c r="B24" s="48"/>
      <c r="C24" s="56" t="s">
        <v>49</v>
      </c>
      <c r="D24" s="288" t="s">
        <v>552</v>
      </c>
      <c r="E24" s="48"/>
      <c r="F24" s="48"/>
      <c r="G24" s="48"/>
      <c r="H24" s="48"/>
      <c r="I24" s="48"/>
      <c r="J24" s="48"/>
      <c r="K24" s="48"/>
      <c r="L24" s="48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ht="12.75" customHeight="1" x14ac:dyDescent="0.3">
      <c r="A25" s="48" t="s">
        <v>50</v>
      </c>
      <c r="B25" s="48"/>
      <c r="C25" s="56" t="s">
        <v>49</v>
      </c>
      <c r="D25" s="48" t="s">
        <v>51</v>
      </c>
      <c r="E25" s="48"/>
      <c r="F25" s="48"/>
      <c r="G25" s="48"/>
      <c r="H25" s="48"/>
      <c r="I25" s="48"/>
      <c r="J25" s="48"/>
      <c r="K25" s="48"/>
      <c r="L25" s="48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ht="12.75" customHeight="1" x14ac:dyDescent="0.3">
      <c r="A26" s="48"/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ht="12.75" customHeight="1" x14ac:dyDescent="0.3">
      <c r="A27" s="840" t="s">
        <v>52</v>
      </c>
      <c r="B27" s="807"/>
      <c r="C27" s="807"/>
      <c r="D27" s="807"/>
      <c r="E27" s="8" t="s">
        <v>53</v>
      </c>
      <c r="F27" s="8"/>
      <c r="G27" s="8"/>
      <c r="H27" s="8"/>
      <c r="I27" s="8"/>
      <c r="J27" s="8"/>
      <c r="K27" s="8"/>
      <c r="L27" s="8"/>
      <c r="M27" s="285" t="s">
        <v>551</v>
      </c>
      <c r="N27" s="1"/>
      <c r="O27" s="841" t="s">
        <v>54</v>
      </c>
      <c r="P27" s="780"/>
      <c r="Q27" s="377">
        <v>45506</v>
      </c>
      <c r="R27" s="153">
        <v>44655</v>
      </c>
      <c r="S27" s="57">
        <v>43854</v>
      </c>
      <c r="T27" s="57">
        <v>43283</v>
      </c>
      <c r="U27" s="58" t="s">
        <v>55</v>
      </c>
      <c r="V27" s="1"/>
      <c r="W27" s="848" t="s">
        <v>1</v>
      </c>
      <c r="X27" s="780"/>
      <c r="Y27" s="96" t="s">
        <v>56</v>
      </c>
      <c r="Z27" s="376" t="s">
        <v>557</v>
      </c>
      <c r="AA27" s="96" t="s">
        <v>338</v>
      </c>
      <c r="AB27" s="96" t="s">
        <v>339</v>
      </c>
      <c r="AC27" s="96" t="s">
        <v>340</v>
      </c>
      <c r="AD27" s="376" t="s">
        <v>556</v>
      </c>
    </row>
    <row r="28" spans="1:30" ht="12.75" customHeight="1" x14ac:dyDescent="0.3">
      <c r="A28" s="842" t="s">
        <v>60</v>
      </c>
      <c r="B28" s="809"/>
      <c r="C28" s="809"/>
      <c r="D28" s="809"/>
      <c r="E28" s="48" t="s">
        <v>61</v>
      </c>
      <c r="F28" s="48"/>
      <c r="G28" s="48"/>
      <c r="H28" s="48"/>
      <c r="I28" s="48"/>
      <c r="J28" s="48"/>
      <c r="K28" s="48"/>
      <c r="L28" s="48"/>
      <c r="M28" s="61"/>
      <c r="N28" s="1"/>
      <c r="O28" s="100">
        <f t="shared" ref="O28:P28" si="6">C2</f>
        <v>60</v>
      </c>
      <c r="P28" s="101" t="str">
        <f t="shared" si="6"/>
        <v>Ω</v>
      </c>
      <c r="Q28" s="101">
        <f>SLOPE(Z32:Z33,Y32:Y33)*O28+INTERCEPT(Z32:Z33,Y32:Y33)</f>
        <v>7.0898876404494366E-4</v>
      </c>
      <c r="R28" s="154">
        <f>AA33</f>
        <v>3.8E-3</v>
      </c>
      <c r="S28" s="154">
        <f>AB33</f>
        <v>-1E-3</v>
      </c>
      <c r="T28" s="154">
        <f>AC33</f>
        <v>-1.8E-3</v>
      </c>
      <c r="U28" s="64">
        <f>((((ABS(Q28-R28)/(Q$27-R$27))+(ABS(R28-S28)/(R$27-S$27))+(ABS(S28-T28)/(S$27-T$27)))/3)*(((Q$27-R$27)+(R$27-S$27)+(S$27-T$27))/3))</f>
        <v>2.7233653800493316E-3</v>
      </c>
      <c r="V28" s="1"/>
      <c r="W28" s="394">
        <v>10.99</v>
      </c>
      <c r="X28" s="8" t="s">
        <v>44</v>
      </c>
      <c r="Y28" s="395">
        <v>0</v>
      </c>
      <c r="Z28" s="68">
        <v>4.1370000000000001E-3</v>
      </c>
      <c r="AA28" s="395">
        <v>3.7850000000000002E-3</v>
      </c>
      <c r="AB28" s="68"/>
      <c r="AC28" s="68"/>
      <c r="AD28" s="68">
        <v>1.1E-5</v>
      </c>
    </row>
    <row r="29" spans="1:30" ht="12.75" customHeight="1" x14ac:dyDescent="0.3">
      <c r="A29" s="842" t="s">
        <v>62</v>
      </c>
      <c r="B29" s="809"/>
      <c r="C29" s="809"/>
      <c r="D29" s="809"/>
      <c r="E29" s="48" t="s">
        <v>63</v>
      </c>
      <c r="F29" s="48"/>
      <c r="G29" s="48"/>
      <c r="H29" s="48"/>
      <c r="I29" s="48"/>
      <c r="J29" s="48"/>
      <c r="K29" s="48"/>
      <c r="L29" s="48"/>
      <c r="M29" s="61"/>
      <c r="N29" s="1"/>
      <c r="O29" s="100">
        <f t="shared" ref="O29:O44" si="7">C3</f>
        <v>300</v>
      </c>
      <c r="P29" s="101" t="str">
        <f t="shared" ref="P29:P44" si="8">D3</f>
        <v>Ω</v>
      </c>
      <c r="Q29" s="101">
        <f>(O29-Y35)/(Y36*1000-Y35)*(Z36*1000-Z35)+Z35</f>
        <v>-1.2134831460674158E-3</v>
      </c>
      <c r="R29" s="101">
        <f>AA36*1000</f>
        <v>-9.0000000000000011E-3</v>
      </c>
      <c r="S29" s="101">
        <f>AB36*1000</f>
        <v>-4.1999999999999996E-2</v>
      </c>
      <c r="T29" s="101">
        <f>AC36*1000</f>
        <v>-3.7999999999999999E-2</v>
      </c>
      <c r="U29" s="64">
        <f>((((ABS(Q29-R29)/(Q$27-R$27))+(ABS(R29-S29)/(R$27-S$27))+(ABS(S29-T29)/(S$27-T$27)))/3)*(((Q$27-R$27)+(R$27-S$27)+(S$27-T$27))/3))</f>
        <v>1.4166339040623479E-2</v>
      </c>
      <c r="V29" s="1"/>
      <c r="W29" s="69"/>
      <c r="X29" s="1"/>
      <c r="Y29" s="398">
        <v>1</v>
      </c>
      <c r="Z29" s="400">
        <v>3.7789999999999998E-3</v>
      </c>
      <c r="AA29" s="399">
        <v>3.5279999999999999E-3</v>
      </c>
      <c r="AB29" s="396">
        <v>3.3700000000000002E-3</v>
      </c>
      <c r="AC29" s="396">
        <v>3.2439999999999999E-3</v>
      </c>
      <c r="AD29" s="70">
        <v>1.9000000000000001E-5</v>
      </c>
    </row>
    <row r="30" spans="1:30" ht="12.75" customHeight="1" x14ac:dyDescent="0.3">
      <c r="A30" s="71" t="s">
        <v>64</v>
      </c>
      <c r="B30" s="48"/>
      <c r="C30" s="48"/>
      <c r="D30" s="56" t="s">
        <v>49</v>
      </c>
      <c r="E30" s="48" t="s">
        <v>399</v>
      </c>
      <c r="F30" s="1"/>
      <c r="G30" s="4" t="s">
        <v>66</v>
      </c>
      <c r="H30" s="48"/>
      <c r="I30" s="48"/>
      <c r="J30" s="48"/>
      <c r="K30" s="48"/>
      <c r="L30" s="48"/>
      <c r="M30" s="61"/>
      <c r="N30" s="1"/>
      <c r="O30" s="83">
        <f t="shared" si="7"/>
        <v>0.54</v>
      </c>
      <c r="P30" s="101" t="str">
        <f t="shared" si="8"/>
        <v>kΩ</v>
      </c>
      <c r="Q30" s="101">
        <f>(O30-Y35/1000)/(Y36-Y35/1000)*(Z36-Z35/1000)+Z35/1000</f>
        <v>-3.883146067415731E-6</v>
      </c>
      <c r="R30" s="155">
        <f>AA36</f>
        <v>-9.0000000000000002E-6</v>
      </c>
      <c r="S30" s="155">
        <f>AB36</f>
        <v>-4.1999999999999998E-5</v>
      </c>
      <c r="T30" s="155">
        <f>AC36</f>
        <v>-3.8000000000000002E-5</v>
      </c>
      <c r="U30" s="64">
        <f>((((ABS(Q30-R30)/(Q$27-R$27))+(ABS(R30-S30)/(R$27-S$27))+(ABS(S30-T30)/(S$27-T$27)))/3)*(((Q$27-R$27)+(R$27-S$27)+(S$27-T$27))/3))</f>
        <v>1.3391478004697467E-5</v>
      </c>
      <c r="V30" s="1"/>
      <c r="W30" s="397"/>
      <c r="X30" s="3"/>
      <c r="Y30" s="398">
        <v>10</v>
      </c>
      <c r="Z30" s="398">
        <v>-6.9999999999999999E-4</v>
      </c>
      <c r="AA30" s="399">
        <v>2.6800000000000001E-4</v>
      </c>
      <c r="AB30" s="396">
        <v>-6.4000000000000005E-4</v>
      </c>
      <c r="AC30" s="396">
        <v>2.2000000000000001E-4</v>
      </c>
      <c r="AD30" s="70">
        <v>1.3999999999999999E-4</v>
      </c>
    </row>
    <row r="31" spans="1:30" ht="12.75" customHeight="1" x14ac:dyDescent="0.3">
      <c r="A31" s="71"/>
      <c r="B31" s="48"/>
      <c r="C31" s="48"/>
      <c r="D31" s="56" t="s">
        <v>49</v>
      </c>
      <c r="E31" s="48" t="s">
        <v>400</v>
      </c>
      <c r="F31" s="48"/>
      <c r="G31" s="48"/>
      <c r="H31" s="48"/>
      <c r="I31" s="48"/>
      <c r="J31" s="48"/>
      <c r="K31" s="48"/>
      <c r="L31" s="48"/>
      <c r="M31" s="61"/>
      <c r="N31" s="1"/>
      <c r="O31" s="83">
        <f t="shared" si="7"/>
        <v>0.60000000000000009</v>
      </c>
      <c r="P31" s="101" t="str">
        <f t="shared" si="8"/>
        <v>kΩ</v>
      </c>
      <c r="Q31" s="101">
        <f>(O31-Y35/1000)/(Y36-Y35/1000)*(Z36-Z35/1000)+Z35/1000</f>
        <v>-4.5505617977528102E-6</v>
      </c>
      <c r="R31" s="155">
        <f>AA36</f>
        <v>-9.0000000000000002E-6</v>
      </c>
      <c r="S31" s="155">
        <f>AB36</f>
        <v>-4.1999999999999998E-5</v>
      </c>
      <c r="T31" s="155">
        <f>AC36</f>
        <v>-3.8000000000000002E-5</v>
      </c>
      <c r="U31" s="64">
        <f t="shared" ref="U31:U44" si="9">((((ABS(Q31-R31)/(Q$27-R$27))+(ABS(R31-S31)/(R$27-S$27))+(ABS(S31-T31)/(S$27-T$27)))/3)*(((Q$27-R$27)+(R$27-S$27)+(S$27-T$27))/3))</f>
        <v>1.3197762745715966E-5</v>
      </c>
      <c r="V31" s="1"/>
      <c r="W31" s="342"/>
      <c r="X31" s="173"/>
      <c r="Y31" s="364">
        <v>10.5</v>
      </c>
      <c r="Z31" s="343">
        <v>-1.0499999999999999E-3</v>
      </c>
      <c r="AA31" s="343"/>
      <c r="AB31" s="343"/>
      <c r="AC31" s="343"/>
      <c r="AD31" s="343">
        <v>1.3999999999999999E-4</v>
      </c>
    </row>
    <row r="32" spans="1:30" ht="12.75" customHeight="1" x14ac:dyDescent="0.3">
      <c r="A32" s="71"/>
      <c r="B32" s="48"/>
      <c r="C32" s="48"/>
      <c r="D32" s="1"/>
      <c r="E32" s="238" t="s">
        <v>401</v>
      </c>
      <c r="F32" s="48" t="s">
        <v>402</v>
      </c>
      <c r="G32" s="48"/>
      <c r="H32" s="48"/>
      <c r="I32" s="48"/>
      <c r="J32" s="48"/>
      <c r="K32" s="48"/>
      <c r="L32" s="48"/>
      <c r="M32" s="61"/>
      <c r="N32" s="1"/>
      <c r="O32" s="83">
        <f t="shared" si="7"/>
        <v>3</v>
      </c>
      <c r="P32" s="101" t="str">
        <f t="shared" si="8"/>
        <v>kΩ</v>
      </c>
      <c r="Q32" s="101">
        <f>SLOPE(Z38:Z39,Y38:Y39)*O32+INTERCEPT(Z38:Z39,Y38:Y39)</f>
        <v>-3.752808988764046E-5</v>
      </c>
      <c r="R32" s="155">
        <f>AA39</f>
        <v>-2.41E-4</v>
      </c>
      <c r="S32" s="101">
        <f>AB39</f>
        <v>-4.4999999999999999E-4</v>
      </c>
      <c r="T32" s="154">
        <f>AC39</f>
        <v>-5.0000000000000001E-4</v>
      </c>
      <c r="U32" s="64">
        <f t="shared" si="9"/>
        <v>1.4513397569614132E-4</v>
      </c>
      <c r="V32" s="1"/>
      <c r="W32" s="401">
        <v>109.999</v>
      </c>
      <c r="X32" s="402" t="s">
        <v>44</v>
      </c>
      <c r="Y32" s="362">
        <v>11</v>
      </c>
      <c r="Z32" s="350">
        <v>-7.5000000000000002E-4</v>
      </c>
      <c r="AA32" s="350"/>
      <c r="AB32" s="350"/>
      <c r="AC32" s="350"/>
      <c r="AD32" s="350">
        <v>1.3999999999999999E-4</v>
      </c>
    </row>
    <row r="33" spans="1:30" ht="12.75" customHeight="1" x14ac:dyDescent="0.3">
      <c r="A33" s="74"/>
      <c r="B33" s="73"/>
      <c r="C33" s="73"/>
      <c r="D33" s="1"/>
      <c r="E33" s="238" t="s">
        <v>403</v>
      </c>
      <c r="F33" s="4" t="s">
        <v>404</v>
      </c>
      <c r="G33" s="48"/>
      <c r="H33" s="48"/>
      <c r="I33" s="48"/>
      <c r="J33" s="48"/>
      <c r="K33" s="48"/>
      <c r="L33" s="48"/>
      <c r="M33" s="61"/>
      <c r="N33" s="1"/>
      <c r="O33" s="62">
        <f t="shared" si="7"/>
        <v>5.4</v>
      </c>
      <c r="P33" s="101" t="str">
        <f t="shared" si="8"/>
        <v>kΩ</v>
      </c>
      <c r="Q33" s="101">
        <f>SLOPE(Z38:Z39,Y38:Y39)*O33+INTERCEPT(Z38:Z39,Y38:Y39)</f>
        <v>-1.0008988764044946E-4</v>
      </c>
      <c r="R33" s="155">
        <f>AA39</f>
        <v>-2.41E-4</v>
      </c>
      <c r="S33" s="101">
        <f>AB39</f>
        <v>-4.4999999999999999E-4</v>
      </c>
      <c r="T33" s="154">
        <f>AC39</f>
        <v>-5.0000000000000001E-4</v>
      </c>
      <c r="U33" s="64">
        <f t="shared" si="9"/>
        <v>1.2697561606636013E-4</v>
      </c>
      <c r="V33" s="1"/>
      <c r="W33" s="338"/>
      <c r="X33" s="243"/>
      <c r="Y33" s="403">
        <v>100</v>
      </c>
      <c r="Z33" s="404">
        <v>1.9E-3</v>
      </c>
      <c r="AA33" s="405">
        <v>3.8E-3</v>
      </c>
      <c r="AB33" s="403">
        <v>-1E-3</v>
      </c>
      <c r="AC33" s="404">
        <v>-1.8E-3</v>
      </c>
      <c r="AD33" s="340">
        <v>1.1000000000000001E-3</v>
      </c>
    </row>
    <row r="34" spans="1:30" ht="12.75" customHeight="1" x14ac:dyDescent="0.3">
      <c r="A34" s="74"/>
      <c r="B34" s="73"/>
      <c r="C34" s="73"/>
      <c r="D34" s="1"/>
      <c r="E34" s="238" t="s">
        <v>405</v>
      </c>
      <c r="F34" s="4" t="s">
        <v>406</v>
      </c>
      <c r="G34" s="48"/>
      <c r="H34" s="48"/>
      <c r="I34" s="48"/>
      <c r="J34" s="48"/>
      <c r="K34" s="48"/>
      <c r="L34" s="48"/>
      <c r="M34" s="61"/>
      <c r="N34" s="1"/>
      <c r="O34" s="62">
        <f t="shared" si="7"/>
        <v>6</v>
      </c>
      <c r="P34" s="101" t="str">
        <f t="shared" si="8"/>
        <v>kΩ</v>
      </c>
      <c r="Q34" s="101">
        <f>SLOPE(Z38:Z39,Y38:Y39)*O34+INTERCEPT(Z38:Z39,Y38:Y39)</f>
        <v>-1.157303370786517E-4</v>
      </c>
      <c r="R34" s="155">
        <f>AA39</f>
        <v>-2.41E-4</v>
      </c>
      <c r="S34" s="101">
        <f>AB39</f>
        <v>-4.4999999999999999E-4</v>
      </c>
      <c r="T34" s="154">
        <f>AC39</f>
        <v>-5.0000000000000001E-4</v>
      </c>
      <c r="U34" s="64">
        <f t="shared" si="9"/>
        <v>1.2243602615891482E-4</v>
      </c>
      <c r="V34" s="1"/>
      <c r="W34" s="342"/>
      <c r="X34" s="173"/>
      <c r="Y34" s="363">
        <v>105</v>
      </c>
      <c r="Z34" s="343">
        <v>1.9E-3</v>
      </c>
      <c r="AA34" s="343"/>
      <c r="AB34" s="343"/>
      <c r="AC34" s="343"/>
      <c r="AD34" s="343">
        <v>1.1999999999999999E-3</v>
      </c>
    </row>
    <row r="35" spans="1:30" ht="12.75" customHeight="1" x14ac:dyDescent="0.3">
      <c r="A35" s="74"/>
      <c r="B35" s="73"/>
      <c r="C35" s="73"/>
      <c r="D35" s="1"/>
      <c r="E35" s="238" t="s">
        <v>407</v>
      </c>
      <c r="F35" s="4" t="s">
        <v>408</v>
      </c>
      <c r="G35" s="48"/>
      <c r="H35" s="48"/>
      <c r="I35" s="48"/>
      <c r="J35" s="48"/>
      <c r="K35" s="48"/>
      <c r="L35" s="48"/>
      <c r="M35" s="61"/>
      <c r="N35" s="1"/>
      <c r="O35" s="62">
        <f t="shared" si="7"/>
        <v>30</v>
      </c>
      <c r="P35" s="101" t="str">
        <f t="shared" si="8"/>
        <v>kΩ</v>
      </c>
      <c r="Q35" s="101">
        <f>SLOPE(Z41:Z42,Y41:Y42)*O35+INTERCEPT(Z41:Z42,Y41:Y42)</f>
        <v>-4.5505617977528105E-4</v>
      </c>
      <c r="R35" s="156">
        <f>AA42</f>
        <v>-4.5999999999999999E-2</v>
      </c>
      <c r="S35" s="101">
        <f>AB42</f>
        <v>5.0000000000000001E-4</v>
      </c>
      <c r="T35" s="101">
        <f>AC42</f>
        <v>-2.7699999999999999E-2</v>
      </c>
      <c r="U35" s="64">
        <f t="shared" si="9"/>
        <v>3.9756823025755478E-2</v>
      </c>
      <c r="V35" s="1"/>
      <c r="W35" s="401">
        <v>1.09999</v>
      </c>
      <c r="X35" s="402" t="s">
        <v>43</v>
      </c>
      <c r="Y35" s="349">
        <v>110</v>
      </c>
      <c r="Z35" s="350">
        <v>8.9999999999999998E-4</v>
      </c>
      <c r="AA35" s="350"/>
      <c r="AB35" s="350"/>
      <c r="AC35" s="350"/>
      <c r="AD35" s="350">
        <v>1.1999999999999999E-3</v>
      </c>
    </row>
    <row r="36" spans="1:30" ht="12.75" customHeight="1" x14ac:dyDescent="0.3">
      <c r="A36" s="74"/>
      <c r="B36" s="73"/>
      <c r="C36" s="73"/>
      <c r="D36" s="73"/>
      <c r="E36" s="48"/>
      <c r="F36" s="4"/>
      <c r="G36" s="48"/>
      <c r="H36" s="48"/>
      <c r="I36" s="48"/>
      <c r="J36" s="48"/>
      <c r="K36" s="48"/>
      <c r="L36" s="48"/>
      <c r="M36" s="61"/>
      <c r="N36" s="1"/>
      <c r="O36" s="100">
        <f t="shared" si="7"/>
        <v>54</v>
      </c>
      <c r="P36" s="101" t="str">
        <f t="shared" si="8"/>
        <v>kΩ</v>
      </c>
      <c r="Q36" s="101">
        <f>SLOPE(Z41:Z42,Y41:Y42)*O36+INTERCEPT(Z41:Z42,Y41:Y42)</f>
        <v>-9.1617977528089887E-4</v>
      </c>
      <c r="R36" s="156">
        <f>AA42</f>
        <v>-4.5999999999999999E-2</v>
      </c>
      <c r="S36" s="101">
        <f>AB42</f>
        <v>5.0000000000000001E-4</v>
      </c>
      <c r="T36" s="101">
        <f>AC42</f>
        <v>-2.7699999999999999E-2</v>
      </c>
      <c r="U36" s="64">
        <f t="shared" si="9"/>
        <v>3.962298339227735E-2</v>
      </c>
      <c r="V36" s="1"/>
      <c r="W36" s="338"/>
      <c r="X36" s="243"/>
      <c r="Y36" s="406">
        <v>1</v>
      </c>
      <c r="Z36" s="404">
        <v>-9.0000000000000002E-6</v>
      </c>
      <c r="AA36" s="406">
        <v>-9.0000000000000002E-6</v>
      </c>
      <c r="AB36" s="406">
        <v>-4.1999999999999998E-5</v>
      </c>
      <c r="AC36" s="406">
        <v>-3.8000000000000002E-5</v>
      </c>
      <c r="AD36" s="340">
        <v>1.1E-5</v>
      </c>
    </row>
    <row r="37" spans="1:30" ht="12.75" customHeight="1" x14ac:dyDescent="0.3">
      <c r="A37" s="48" t="s">
        <v>76</v>
      </c>
      <c r="B37" s="48"/>
      <c r="C37" s="48"/>
      <c r="D37" s="48">
        <f t="shared" ref="D37:E37" si="10">A$2</f>
        <v>600</v>
      </c>
      <c r="E37" s="48" t="str">
        <f t="shared" si="10"/>
        <v>Ω</v>
      </c>
      <c r="F37" s="1"/>
      <c r="G37" s="82"/>
      <c r="H37" s="12"/>
      <c r="I37" s="12"/>
      <c r="J37" s="12"/>
      <c r="K37" s="12"/>
      <c r="L37" s="12"/>
      <c r="M37" s="290" t="s">
        <v>409</v>
      </c>
      <c r="N37" s="1"/>
      <c r="O37" s="100">
        <f t="shared" si="7"/>
        <v>60</v>
      </c>
      <c r="P37" s="101" t="str">
        <f t="shared" si="8"/>
        <v>kΩ</v>
      </c>
      <c r="Q37" s="101">
        <f>SLOPE(Z41:Z42,Y41:Y42)*O37+INTERCEPT(Z41:Z42,Y41:Y42)</f>
        <v>-1.0314606741573034E-3</v>
      </c>
      <c r="R37" s="156">
        <f>AA42</f>
        <v>-4.5999999999999999E-2</v>
      </c>
      <c r="S37" s="101">
        <f>AB42</f>
        <v>5.0000000000000001E-4</v>
      </c>
      <c r="T37" s="101">
        <f>AC42</f>
        <v>-2.7699999999999999E-2</v>
      </c>
      <c r="U37" s="64">
        <f t="shared" si="9"/>
        <v>3.9589523483907818E-2</v>
      </c>
      <c r="V37" s="1"/>
      <c r="W37" s="342"/>
      <c r="X37" s="173"/>
      <c r="Y37" s="408">
        <v>1.05</v>
      </c>
      <c r="Z37" s="343">
        <v>-1.2E-5</v>
      </c>
      <c r="AA37" s="343"/>
      <c r="AB37" s="343"/>
      <c r="AC37" s="343"/>
      <c r="AD37" s="343">
        <v>1.2E-5</v>
      </c>
    </row>
    <row r="38" spans="1:30" ht="12.75" customHeight="1" x14ac:dyDescent="0.3">
      <c r="A38" s="84" t="s">
        <v>2</v>
      </c>
      <c r="B38" s="85"/>
      <c r="C38" s="85"/>
      <c r="D38" s="157">
        <f t="shared" ref="D38:E38" si="11">C2</f>
        <v>60</v>
      </c>
      <c r="E38" s="48" t="str">
        <f t="shared" si="11"/>
        <v>Ω</v>
      </c>
      <c r="F38" s="111"/>
      <c r="G38" s="90"/>
      <c r="H38" s="90">
        <v>0.1</v>
      </c>
      <c r="I38" s="90"/>
      <c r="J38" s="90"/>
      <c r="K38" s="90"/>
      <c r="L38" s="90"/>
      <c r="M38" s="76"/>
      <c r="N38" s="1"/>
      <c r="O38" s="100">
        <f t="shared" si="7"/>
        <v>300</v>
      </c>
      <c r="P38" s="101" t="str">
        <f t="shared" si="8"/>
        <v>kΩ</v>
      </c>
      <c r="Q38" s="101">
        <f>(O38-Y44)/(Y45*1000-Y44)*(Z45*1000-Z44)+Z44</f>
        <v>-1.8426966292134832E-3</v>
      </c>
      <c r="R38" s="101">
        <f>AA45*1000</f>
        <v>8.0000000000000002E-3</v>
      </c>
      <c r="S38" s="101">
        <f>AB45*1000</f>
        <v>3.9E-2</v>
      </c>
      <c r="T38" s="101">
        <f>AC45*1000</f>
        <v>-5.1999999999999998E-2</v>
      </c>
      <c r="U38" s="64">
        <f t="shared" si="9"/>
        <v>5.1780384968841527E-2</v>
      </c>
      <c r="V38" s="1"/>
      <c r="W38" s="401">
        <v>10.9999</v>
      </c>
      <c r="X38" s="402" t="s">
        <v>43</v>
      </c>
      <c r="Y38" s="365">
        <v>1.1000000000000001</v>
      </c>
      <c r="Z38" s="350">
        <v>1.2E-5</v>
      </c>
      <c r="AA38" s="350"/>
      <c r="AB38" s="350"/>
      <c r="AC38" s="350"/>
      <c r="AD38" s="350">
        <v>1.2E-5</v>
      </c>
    </row>
    <row r="39" spans="1:30" ht="12.75" customHeight="1" x14ac:dyDescent="0.3">
      <c r="A39" s="158" t="s">
        <v>78</v>
      </c>
      <c r="B39" s="158" t="s">
        <v>79</v>
      </c>
      <c r="C39" s="158" t="s">
        <v>410</v>
      </c>
      <c r="D39" s="158" t="s">
        <v>80</v>
      </c>
      <c r="E39" s="158" t="s">
        <v>81</v>
      </c>
      <c r="F39" s="92" t="s">
        <v>82</v>
      </c>
      <c r="G39" s="158" t="s">
        <v>83</v>
      </c>
      <c r="H39" s="158" t="s">
        <v>84</v>
      </c>
      <c r="I39" s="158" t="s">
        <v>85</v>
      </c>
      <c r="J39" s="158" t="s">
        <v>86</v>
      </c>
      <c r="K39" s="158" t="s">
        <v>87</v>
      </c>
      <c r="L39" s="158" t="s">
        <v>411</v>
      </c>
      <c r="M39" s="158" t="s">
        <v>412</v>
      </c>
      <c r="N39" s="1"/>
      <c r="O39" s="83">
        <f t="shared" si="7"/>
        <v>0.54</v>
      </c>
      <c r="P39" s="101" t="str">
        <f t="shared" si="8"/>
        <v>MΩ</v>
      </c>
      <c r="Q39" s="101">
        <f>(O39-Y44/1000)/(Y45-Y44/1000)*(Z45-Z44/1000)+Z44/1000</f>
        <v>-4.2966292134831472E-6</v>
      </c>
      <c r="R39" s="155">
        <f>AA45</f>
        <v>7.9999999999999996E-6</v>
      </c>
      <c r="S39" s="155">
        <f>AB45</f>
        <v>3.8999999999999999E-5</v>
      </c>
      <c r="T39" s="155">
        <f>AC45</f>
        <v>-5.1999999999999997E-5</v>
      </c>
      <c r="U39" s="64">
        <f t="shared" si="9"/>
        <v>5.2492630971561388E-5</v>
      </c>
      <c r="V39" s="1"/>
      <c r="W39" s="338"/>
      <c r="X39" s="243"/>
      <c r="Y39" s="405">
        <v>10</v>
      </c>
      <c r="Z39" s="404">
        <v>-2.2000000000000001E-4</v>
      </c>
      <c r="AA39" s="406">
        <v>-2.41E-4</v>
      </c>
      <c r="AB39" s="404">
        <v>-4.4999999999999999E-4</v>
      </c>
      <c r="AC39" s="405">
        <v>-5.0000000000000001E-4</v>
      </c>
      <c r="AD39" s="348">
        <v>1E-4</v>
      </c>
    </row>
    <row r="40" spans="1:30" ht="12.75" customHeight="1" x14ac:dyDescent="0.3">
      <c r="A40" s="93" t="s">
        <v>90</v>
      </c>
      <c r="B40" s="160" t="s">
        <v>413</v>
      </c>
      <c r="C40" s="161" t="s">
        <v>42</v>
      </c>
      <c r="D40" s="162" t="str">
        <f>E38</f>
        <v>Ω</v>
      </c>
      <c r="E40" s="161" t="s">
        <v>631</v>
      </c>
      <c r="F40" s="161">
        <f>STDEV(Data!E157:N157)/SQRT(5)</f>
        <v>0</v>
      </c>
      <c r="G40" s="161">
        <v>1</v>
      </c>
      <c r="H40" s="161">
        <f>5-1</f>
        <v>4</v>
      </c>
      <c r="I40" s="161">
        <f t="shared" ref="I40:I43" si="12">((F40)/G40)</f>
        <v>0</v>
      </c>
      <c r="J40" s="161">
        <v>1</v>
      </c>
      <c r="K40" s="161">
        <f t="shared" ref="K40:K43" si="13">I40*J40</f>
        <v>0</v>
      </c>
      <c r="L40" s="161">
        <f t="shared" ref="L40:L43" si="14">K40^2</f>
        <v>0</v>
      </c>
      <c r="M40" s="161">
        <f t="shared" ref="M40:M43" si="15">(K40^4)/H40</f>
        <v>0</v>
      </c>
      <c r="N40" s="1"/>
      <c r="O40" s="83">
        <f t="shared" si="7"/>
        <v>0.60000000000000009</v>
      </c>
      <c r="P40" s="101" t="str">
        <f t="shared" si="8"/>
        <v>MΩ</v>
      </c>
      <c r="Q40" s="101">
        <f>(O40-Y44/1000)/(Y45-Y44/1000)*(Z45-Z44/1000)+Z44/1000</f>
        <v>-4.9101123595505632E-6</v>
      </c>
      <c r="R40" s="155">
        <f>AA45</f>
        <v>7.9999999999999996E-6</v>
      </c>
      <c r="S40" s="155">
        <f>AB45</f>
        <v>3.8999999999999999E-5</v>
      </c>
      <c r="T40" s="155">
        <f>AC45</f>
        <v>-5.1999999999999997E-5</v>
      </c>
      <c r="U40" s="64">
        <f t="shared" si="9"/>
        <v>5.2670692472241361E-5</v>
      </c>
      <c r="V40" s="1"/>
      <c r="W40" s="342"/>
      <c r="X40" s="173"/>
      <c r="Y40" s="364">
        <v>10.5</v>
      </c>
      <c r="Z40" s="343">
        <v>-2.4000000000000001E-4</v>
      </c>
      <c r="AA40" s="343"/>
      <c r="AB40" s="343"/>
      <c r="AC40" s="343"/>
      <c r="AD40" s="343">
        <v>1.1E-4</v>
      </c>
    </row>
    <row r="41" spans="1:30" ht="12.75" customHeight="1" x14ac:dyDescent="0.3">
      <c r="A41" s="93" t="s">
        <v>93</v>
      </c>
      <c r="B41" s="160" t="s">
        <v>414</v>
      </c>
      <c r="C41" s="161" t="s">
        <v>95</v>
      </c>
      <c r="D41" s="162" t="str">
        <f>D40</f>
        <v>Ω</v>
      </c>
      <c r="E41" s="94" t="s">
        <v>96</v>
      </c>
      <c r="F41" s="161">
        <f>H38/2</f>
        <v>0.05</v>
      </c>
      <c r="G41" s="161">
        <f>SQRT(3)</f>
        <v>1.7320508075688772</v>
      </c>
      <c r="H41" s="161">
        <v>50</v>
      </c>
      <c r="I41" s="161">
        <f t="shared" si="12"/>
        <v>2.8867513459481291E-2</v>
      </c>
      <c r="J41" s="161">
        <v>1</v>
      </c>
      <c r="K41" s="161">
        <f t="shared" si="13"/>
        <v>2.8867513459481291E-2</v>
      </c>
      <c r="L41" s="161">
        <f t="shared" si="14"/>
        <v>8.333333333333335E-4</v>
      </c>
      <c r="M41" s="161">
        <f t="shared" si="15"/>
        <v>1.3888888888888894E-8</v>
      </c>
      <c r="N41" s="1"/>
      <c r="O41" s="83">
        <f t="shared" si="7"/>
        <v>3</v>
      </c>
      <c r="P41" s="101" t="str">
        <f t="shared" si="8"/>
        <v>MΩ</v>
      </c>
      <c r="Q41" s="101">
        <f>SLOPE(Z47:Z48,Y47:Y48)*O41+INTERCEPT(Z47:Z48,Y47:Y48)</f>
        <v>-1.3959550561797752E-3</v>
      </c>
      <c r="R41" s="159">
        <f>AA48</f>
        <v>1.5E-3</v>
      </c>
      <c r="S41" s="101">
        <f>AB48</f>
        <v>6.5599999999999999E-3</v>
      </c>
      <c r="T41" s="101">
        <f>AC48</f>
        <v>-6.3699999999999998E-3</v>
      </c>
      <c r="U41" s="64">
        <f t="shared" si="9"/>
        <v>7.9940535815996201E-3</v>
      </c>
      <c r="V41" s="1"/>
      <c r="W41" s="401">
        <v>109.999</v>
      </c>
      <c r="X41" s="402" t="s">
        <v>43</v>
      </c>
      <c r="Y41" s="362">
        <v>11</v>
      </c>
      <c r="Z41" s="350">
        <v>-9.0000000000000006E-5</v>
      </c>
      <c r="AA41" s="350"/>
      <c r="AB41" s="350"/>
      <c r="AC41" s="350"/>
      <c r="AD41" s="350">
        <v>1.1E-4</v>
      </c>
    </row>
    <row r="42" spans="1:30" ht="12.75" customHeight="1" x14ac:dyDescent="0.3">
      <c r="A42" s="93" t="s">
        <v>97</v>
      </c>
      <c r="B42" s="160" t="s">
        <v>415</v>
      </c>
      <c r="C42" s="161" t="s">
        <v>95</v>
      </c>
      <c r="D42" s="162" t="str">
        <f>D40</f>
        <v>Ω</v>
      </c>
      <c r="E42" s="94" t="s">
        <v>92</v>
      </c>
      <c r="F42" s="247">
        <f>AD33</f>
        <v>1.1000000000000001E-3</v>
      </c>
      <c r="G42" s="161">
        <v>2</v>
      </c>
      <c r="H42" s="94">
        <v>60</v>
      </c>
      <c r="I42" s="161">
        <f t="shared" si="12"/>
        <v>5.5000000000000003E-4</v>
      </c>
      <c r="J42" s="161">
        <v>1</v>
      </c>
      <c r="K42" s="161">
        <f t="shared" si="13"/>
        <v>5.5000000000000003E-4</v>
      </c>
      <c r="L42" s="161">
        <f t="shared" si="14"/>
        <v>3.0250000000000002E-7</v>
      </c>
      <c r="M42" s="161">
        <f t="shared" si="15"/>
        <v>1.5251041666666668E-15</v>
      </c>
      <c r="N42" s="1"/>
      <c r="O42" s="62">
        <f t="shared" si="7"/>
        <v>5.4</v>
      </c>
      <c r="P42" s="101" t="str">
        <f t="shared" si="8"/>
        <v>MΩ</v>
      </c>
      <c r="Q42" s="101">
        <f>SLOPE(Z47:Z48,Y47:Y48)*O42+INTERCEPT(Z47:Z48,Y47:Y48)</f>
        <v>-1.795056179775281E-3</v>
      </c>
      <c r="R42" s="159">
        <f>AA48</f>
        <v>1.5E-3</v>
      </c>
      <c r="S42" s="101">
        <f>AB48</f>
        <v>6.5599999999999999E-3</v>
      </c>
      <c r="T42" s="101">
        <f>AC48</f>
        <v>-6.3699999999999998E-3</v>
      </c>
      <c r="U42" s="64">
        <f t="shared" si="9"/>
        <v>8.1098913930309838E-3</v>
      </c>
      <c r="V42" s="1"/>
      <c r="W42" s="338"/>
      <c r="X42" s="243"/>
      <c r="Y42" s="403">
        <v>100</v>
      </c>
      <c r="Z42" s="404">
        <v>-1.8E-3</v>
      </c>
      <c r="AA42" s="407">
        <v>-4.5999999999999999E-2</v>
      </c>
      <c r="AB42" s="404">
        <v>5.0000000000000001E-4</v>
      </c>
      <c r="AC42" s="404">
        <v>-2.7699999999999999E-2</v>
      </c>
      <c r="AD42" s="340">
        <v>1.2999999999999999E-3</v>
      </c>
    </row>
    <row r="43" spans="1:30" ht="12.75" customHeight="1" x14ac:dyDescent="0.3">
      <c r="A43" s="93" t="s">
        <v>99</v>
      </c>
      <c r="B43" s="160" t="s">
        <v>416</v>
      </c>
      <c r="C43" s="161" t="s">
        <v>95</v>
      </c>
      <c r="D43" s="162" t="str">
        <f>D40</f>
        <v>Ω</v>
      </c>
      <c r="E43" s="94" t="s">
        <v>96</v>
      </c>
      <c r="F43" s="161">
        <f>U28</f>
        <v>2.7233653800493316E-3</v>
      </c>
      <c r="G43" s="161">
        <f>SQRT(3)</f>
        <v>1.7320508075688772</v>
      </c>
      <c r="H43" s="94">
        <v>50</v>
      </c>
      <c r="I43" s="161">
        <f t="shared" si="12"/>
        <v>1.5723357352731891E-3</v>
      </c>
      <c r="J43" s="161">
        <v>1</v>
      </c>
      <c r="K43" s="161">
        <f t="shared" si="13"/>
        <v>1.5723357352731891E-3</v>
      </c>
      <c r="L43" s="161">
        <f t="shared" si="14"/>
        <v>2.4722396644170804E-6</v>
      </c>
      <c r="M43" s="161">
        <f t="shared" si="15"/>
        <v>1.2223937916634157E-13</v>
      </c>
      <c r="N43" s="1"/>
      <c r="O43" s="62">
        <f t="shared" si="7"/>
        <v>6</v>
      </c>
      <c r="P43" s="101" t="str">
        <f t="shared" si="8"/>
        <v>MΩ</v>
      </c>
      <c r="Q43" s="101">
        <f>SLOPE(Z47:Z48,Y47:Y48)*O43+INTERCEPT(Z47:Z48,Y47:Y48)</f>
        <v>-1.8948314606741573E-3</v>
      </c>
      <c r="R43" s="159">
        <f>AA48</f>
        <v>1.5E-3</v>
      </c>
      <c r="S43" s="101">
        <f>AB48</f>
        <v>6.5599999999999999E-3</v>
      </c>
      <c r="T43" s="101">
        <f>AC48</f>
        <v>-6.3699999999999998E-3</v>
      </c>
      <c r="U43" s="64">
        <f t="shared" si="9"/>
        <v>8.1388508458888256E-3</v>
      </c>
      <c r="V43" s="1"/>
      <c r="W43" s="342"/>
      <c r="X43" s="173"/>
      <c r="Y43" s="363">
        <v>105</v>
      </c>
      <c r="Z43" s="343">
        <v>2.0999999999999999E-3</v>
      </c>
      <c r="AA43" s="343"/>
      <c r="AB43" s="343"/>
      <c r="AC43" s="343"/>
      <c r="AD43" s="343">
        <v>1.4E-3</v>
      </c>
    </row>
    <row r="44" spans="1:30" ht="12.75" customHeight="1" x14ac:dyDescent="0.3">
      <c r="A44" s="163"/>
      <c r="B44" s="163"/>
      <c r="C44" s="163"/>
      <c r="D44" s="164"/>
      <c r="E44" s="164"/>
      <c r="F44" s="164"/>
      <c r="G44" s="164"/>
      <c r="H44" s="164"/>
      <c r="I44" s="164"/>
      <c r="J44" s="164"/>
      <c r="K44" s="164"/>
      <c r="L44" s="164"/>
      <c r="M44" s="164"/>
      <c r="N44" s="1"/>
      <c r="O44" s="100">
        <f t="shared" si="7"/>
        <v>11</v>
      </c>
      <c r="P44" s="101" t="str">
        <f t="shared" si="8"/>
        <v>MΩ</v>
      </c>
      <c r="Q44" s="101">
        <f>Z49</f>
        <v>-3.2799999999999999E-3</v>
      </c>
      <c r="R44" s="159">
        <f>AA48</f>
        <v>1.5E-3</v>
      </c>
      <c r="S44" s="159">
        <f t="shared" ref="S44:T44" si="16">AB48</f>
        <v>6.5599999999999999E-3</v>
      </c>
      <c r="T44" s="159">
        <f t="shared" si="16"/>
        <v>-6.3699999999999998E-3</v>
      </c>
      <c r="U44" s="64">
        <f t="shared" si="9"/>
        <v>8.5408915382665963E-3</v>
      </c>
      <c r="V44" s="1"/>
      <c r="W44" s="401">
        <v>1.09999</v>
      </c>
      <c r="X44" s="402" t="s">
        <v>45</v>
      </c>
      <c r="Y44" s="349">
        <v>110</v>
      </c>
      <c r="Z44" s="350">
        <v>1E-4</v>
      </c>
      <c r="AA44" s="350"/>
      <c r="AB44" s="350"/>
      <c r="AC44" s="350"/>
      <c r="AD44" s="350">
        <v>2.3E-3</v>
      </c>
    </row>
    <row r="45" spans="1:30" ht="12.75" customHeight="1" x14ac:dyDescent="0.3">
      <c r="A45" s="868" t="s">
        <v>103</v>
      </c>
      <c r="B45" s="794"/>
      <c r="C45" s="794"/>
      <c r="D45" s="794"/>
      <c r="E45" s="794"/>
      <c r="F45" s="794"/>
      <c r="G45" s="794"/>
      <c r="H45" s="794"/>
      <c r="I45" s="794"/>
      <c r="J45" s="780"/>
      <c r="K45" s="869">
        <f>SUM(L40:L44)</f>
        <v>8.3610807299775065E-4</v>
      </c>
      <c r="L45" s="780"/>
      <c r="M45" s="164">
        <f>SUM(M40:M44)</f>
        <v>1.3889012653372226E-8</v>
      </c>
      <c r="N45" s="1"/>
      <c r="O45" s="610"/>
      <c r="P45" s="8"/>
      <c r="Q45" s="1"/>
      <c r="R45" s="1"/>
      <c r="S45" s="1"/>
      <c r="T45" s="1"/>
      <c r="U45" s="1"/>
      <c r="V45" s="1"/>
      <c r="W45" s="338"/>
      <c r="X45" s="243"/>
      <c r="Y45" s="406">
        <v>1</v>
      </c>
      <c r="Z45" s="404">
        <v>-9.0000000000000002E-6</v>
      </c>
      <c r="AA45" s="406">
        <v>7.9999999999999996E-6</v>
      </c>
      <c r="AB45" s="404">
        <v>3.8999999999999999E-5</v>
      </c>
      <c r="AC45" s="406">
        <v>-5.1999999999999997E-5</v>
      </c>
      <c r="AD45" s="340">
        <v>1.7E-5</v>
      </c>
    </row>
    <row r="46" spans="1:30" ht="12.75" customHeight="1" x14ac:dyDescent="0.3">
      <c r="A46" s="868" t="s">
        <v>104</v>
      </c>
      <c r="B46" s="794"/>
      <c r="C46" s="794"/>
      <c r="D46" s="794"/>
      <c r="E46" s="794"/>
      <c r="F46" s="794"/>
      <c r="G46" s="794"/>
      <c r="H46" s="794"/>
      <c r="I46" s="794"/>
      <c r="J46" s="780"/>
      <c r="K46" s="869">
        <f>SQRT(K45)</f>
        <v>2.8915533420598532E-2</v>
      </c>
      <c r="L46" s="780"/>
      <c r="M46" s="164"/>
      <c r="N46" s="1"/>
      <c r="O46" s="1"/>
      <c r="P46" s="1"/>
      <c r="Q46" s="1"/>
      <c r="R46" s="1"/>
      <c r="S46" s="1"/>
      <c r="T46" s="1"/>
      <c r="U46" s="1"/>
      <c r="V46" s="1"/>
      <c r="W46" s="342"/>
      <c r="X46" s="173"/>
      <c r="Y46" s="408">
        <v>1.05</v>
      </c>
      <c r="Z46" s="343">
        <v>-2.3E-5</v>
      </c>
      <c r="AA46" s="343"/>
      <c r="AB46" s="343"/>
      <c r="AC46" s="343"/>
      <c r="AD46" s="343">
        <v>1.8E-5</v>
      </c>
    </row>
    <row r="47" spans="1:30" ht="12.75" customHeight="1" x14ac:dyDescent="0.3">
      <c r="A47" s="868" t="s">
        <v>417</v>
      </c>
      <c r="B47" s="794"/>
      <c r="C47" s="794"/>
      <c r="D47" s="794"/>
      <c r="E47" s="794"/>
      <c r="F47" s="794"/>
      <c r="G47" s="794"/>
      <c r="H47" s="794"/>
      <c r="I47" s="794"/>
      <c r="J47" s="780"/>
      <c r="K47" s="99">
        <f>(K46^4)/M45</f>
        <v>50.333074580523004</v>
      </c>
      <c r="L47" s="101"/>
      <c r="M47" s="164"/>
      <c r="N47" s="1"/>
      <c r="O47" s="1"/>
      <c r="P47" s="1"/>
      <c r="Q47" s="1"/>
      <c r="R47" s="1"/>
      <c r="S47" s="1"/>
      <c r="T47" s="1"/>
      <c r="U47" s="1"/>
      <c r="V47" s="1"/>
      <c r="W47" s="401">
        <v>10.9999</v>
      </c>
      <c r="X47" s="402" t="s">
        <v>45</v>
      </c>
      <c r="Y47" s="365">
        <v>1.1000000000000001</v>
      </c>
      <c r="Z47" s="350">
        <v>-1.08E-3</v>
      </c>
      <c r="AA47" s="350"/>
      <c r="AB47" s="350"/>
      <c r="AC47" s="350"/>
      <c r="AD47" s="347">
        <v>2.7E-4</v>
      </c>
    </row>
    <row r="48" spans="1:30" ht="12.75" customHeight="1" x14ac:dyDescent="0.3">
      <c r="A48" s="868" t="s">
        <v>418</v>
      </c>
      <c r="B48" s="794"/>
      <c r="C48" s="794"/>
      <c r="D48" s="794"/>
      <c r="E48" s="794"/>
      <c r="F48" s="794"/>
      <c r="G48" s="794"/>
      <c r="H48" s="794"/>
      <c r="I48" s="794"/>
      <c r="J48" s="780"/>
      <c r="K48" s="99">
        <f>1.95996+2.37356/K47+2.818745/K47^2+2.546662/K47^3+1.761829/K47^4+0.245458/K47^5+1.000764/K47^6</f>
        <v>2.0082499355943471</v>
      </c>
      <c r="L48" s="101">
        <v>2</v>
      </c>
      <c r="M48" s="164"/>
      <c r="N48" s="1"/>
      <c r="O48" s="1"/>
      <c r="P48" s="1"/>
      <c r="Q48" s="1"/>
      <c r="R48" s="1"/>
      <c r="S48" s="1"/>
      <c r="T48" s="1"/>
      <c r="U48" s="1"/>
      <c r="V48" s="1"/>
      <c r="W48" s="338"/>
      <c r="X48" s="243"/>
      <c r="Y48" s="405">
        <v>10</v>
      </c>
      <c r="Z48" s="404">
        <v>-2.5600000000000002E-3</v>
      </c>
      <c r="AA48" s="403">
        <v>1.5E-3</v>
      </c>
      <c r="AB48" s="404">
        <v>6.5599999999999999E-3</v>
      </c>
      <c r="AC48" s="404">
        <v>-6.3699999999999998E-3</v>
      </c>
      <c r="AD48" s="339">
        <v>3.6000000000000002E-4</v>
      </c>
    </row>
    <row r="49" spans="1:30" ht="12.75" customHeight="1" x14ac:dyDescent="0.3">
      <c r="A49" s="868" t="s">
        <v>107</v>
      </c>
      <c r="B49" s="794"/>
      <c r="C49" s="794"/>
      <c r="D49" s="794"/>
      <c r="E49" s="794"/>
      <c r="F49" s="794"/>
      <c r="G49" s="794"/>
      <c r="H49" s="794"/>
      <c r="I49" s="794"/>
      <c r="J49" s="780"/>
      <c r="K49" s="99">
        <f>K48*K46</f>
        <v>5.8069618129593194E-2</v>
      </c>
      <c r="L49" s="101">
        <f>L48*K46</f>
        <v>5.7831066841197064E-2</v>
      </c>
      <c r="M49" s="164"/>
      <c r="N49" s="1"/>
      <c r="O49" s="1"/>
      <c r="P49" s="1"/>
      <c r="Q49" s="1"/>
      <c r="R49" s="1"/>
      <c r="S49" s="1"/>
      <c r="T49" s="1"/>
      <c r="U49" s="1"/>
      <c r="V49" s="1"/>
      <c r="W49" s="342"/>
      <c r="X49" s="173"/>
      <c r="Y49" s="364">
        <v>10.5</v>
      </c>
      <c r="Z49" s="343">
        <v>-3.2799999999999999E-3</v>
      </c>
      <c r="AA49" s="343"/>
      <c r="AB49" s="343"/>
      <c r="AC49" s="343"/>
      <c r="AD49" s="250">
        <v>3.3E-4</v>
      </c>
    </row>
    <row r="50" spans="1:30" ht="12.7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spans="1:30" ht="12.75" customHeight="1" x14ac:dyDescent="0.3">
      <c r="A51" s="48" t="s">
        <v>76</v>
      </c>
      <c r="B51" s="48"/>
      <c r="C51" s="48"/>
      <c r="D51" s="48">
        <f t="shared" ref="D51:E51" si="17">A$2</f>
        <v>600</v>
      </c>
      <c r="E51" s="48" t="str">
        <f t="shared" si="17"/>
        <v>Ω</v>
      </c>
      <c r="F51" s="1"/>
      <c r="G51" s="82"/>
      <c r="H51" s="12"/>
      <c r="I51" s="12"/>
      <c r="J51" s="12"/>
      <c r="K51" s="12"/>
      <c r="L51" s="12"/>
      <c r="M51" s="291" t="str">
        <f>M$37</f>
        <v>Resistance-Measure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spans="1:30" ht="12.75" customHeight="1" x14ac:dyDescent="0.3">
      <c r="A52" s="84" t="s">
        <v>2</v>
      </c>
      <c r="B52" s="85"/>
      <c r="C52" s="85"/>
      <c r="D52" s="157">
        <f t="shared" ref="D52:E52" si="18">C3</f>
        <v>300</v>
      </c>
      <c r="E52" s="4" t="str">
        <f t="shared" si="18"/>
        <v>Ω</v>
      </c>
      <c r="F52" s="111"/>
      <c r="G52" s="90"/>
      <c r="H52" s="90">
        <v>0.1</v>
      </c>
      <c r="I52" s="90"/>
      <c r="J52" s="90"/>
      <c r="K52" s="90"/>
      <c r="L52" s="90"/>
      <c r="M52" s="76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spans="1:30" ht="12.75" customHeight="1" x14ac:dyDescent="0.3">
      <c r="A53" s="91" t="s">
        <v>78</v>
      </c>
      <c r="B53" s="91" t="s">
        <v>79</v>
      </c>
      <c r="C53" s="91" t="s">
        <v>410</v>
      </c>
      <c r="D53" s="91" t="s">
        <v>80</v>
      </c>
      <c r="E53" s="91" t="s">
        <v>81</v>
      </c>
      <c r="F53" s="92" t="s">
        <v>82</v>
      </c>
      <c r="G53" s="91" t="s">
        <v>83</v>
      </c>
      <c r="H53" s="91" t="s">
        <v>84</v>
      </c>
      <c r="I53" s="91" t="s">
        <v>85</v>
      </c>
      <c r="J53" s="91" t="s">
        <v>86</v>
      </c>
      <c r="K53" s="91" t="s">
        <v>87</v>
      </c>
      <c r="L53" s="91" t="s">
        <v>419</v>
      </c>
      <c r="M53" s="91" t="s">
        <v>420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spans="1:30" ht="12.75" customHeight="1" x14ac:dyDescent="0.3">
      <c r="A54" s="93" t="s">
        <v>90</v>
      </c>
      <c r="B54" s="165" t="s">
        <v>421</v>
      </c>
      <c r="C54" s="94" t="s">
        <v>42</v>
      </c>
      <c r="D54" s="162" t="str">
        <f>E52</f>
        <v>Ω</v>
      </c>
      <c r="E54" s="161" t="s">
        <v>631</v>
      </c>
      <c r="F54" s="94">
        <f>STDEV(Data!E158:N158)/SQRT(5)</f>
        <v>0</v>
      </c>
      <c r="G54" s="94">
        <v>1</v>
      </c>
      <c r="H54" s="94">
        <f>5-1</f>
        <v>4</v>
      </c>
      <c r="I54" s="94">
        <f t="shared" ref="I54:I57" si="19">((F54)/G54)</f>
        <v>0</v>
      </c>
      <c r="J54" s="94">
        <v>1</v>
      </c>
      <c r="K54" s="94">
        <f t="shared" ref="K54:K57" si="20">I54*J54</f>
        <v>0</v>
      </c>
      <c r="L54" s="94">
        <f t="shared" ref="L54:L57" si="21">K54^2</f>
        <v>0</v>
      </c>
      <c r="M54" s="94">
        <f t="shared" ref="M54:M57" si="22">(K54^4)/H54</f>
        <v>0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spans="1:30" ht="12.75" customHeight="1" x14ac:dyDescent="0.3">
      <c r="A55" s="93" t="s">
        <v>93</v>
      </c>
      <c r="B55" s="165" t="s">
        <v>422</v>
      </c>
      <c r="C55" s="94" t="s">
        <v>95</v>
      </c>
      <c r="D55" s="162" t="str">
        <f>D54</f>
        <v>Ω</v>
      </c>
      <c r="E55" s="94" t="s">
        <v>96</v>
      </c>
      <c r="F55" s="94">
        <f>H52/2</f>
        <v>0.05</v>
      </c>
      <c r="G55" s="94">
        <f>SQRT(3)</f>
        <v>1.7320508075688772</v>
      </c>
      <c r="H55" s="94">
        <v>50</v>
      </c>
      <c r="I55" s="94">
        <f t="shared" si="19"/>
        <v>2.8867513459481291E-2</v>
      </c>
      <c r="J55" s="94">
        <v>1</v>
      </c>
      <c r="K55" s="94">
        <f t="shared" si="20"/>
        <v>2.8867513459481291E-2</v>
      </c>
      <c r="L55" s="94">
        <f t="shared" si="21"/>
        <v>8.333333333333335E-4</v>
      </c>
      <c r="M55" s="94">
        <f t="shared" si="22"/>
        <v>1.3888888888888894E-8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spans="1:30" ht="12.75" customHeight="1" x14ac:dyDescent="0.3">
      <c r="A56" s="93" t="s">
        <v>97</v>
      </c>
      <c r="B56" s="165" t="s">
        <v>423</v>
      </c>
      <c r="C56" s="94" t="s">
        <v>95</v>
      </c>
      <c r="D56" s="162" t="str">
        <f>D54</f>
        <v>Ω</v>
      </c>
      <c r="E56" s="94" t="s">
        <v>92</v>
      </c>
      <c r="F56" s="96">
        <f>AD36*10^3</f>
        <v>1.0999999999999999E-2</v>
      </c>
      <c r="G56" s="94">
        <v>2</v>
      </c>
      <c r="H56" s="94">
        <v>60</v>
      </c>
      <c r="I56" s="94">
        <f t="shared" si="19"/>
        <v>5.4999999999999997E-3</v>
      </c>
      <c r="J56" s="94">
        <v>1</v>
      </c>
      <c r="K56" s="94">
        <f t="shared" si="20"/>
        <v>5.4999999999999997E-3</v>
      </c>
      <c r="L56" s="94">
        <f t="shared" si="21"/>
        <v>3.0249999999999997E-5</v>
      </c>
      <c r="M56" s="94">
        <f t="shared" si="22"/>
        <v>1.5251041666666663E-11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spans="1:30" ht="12.75" customHeight="1" x14ac:dyDescent="0.3">
      <c r="A57" s="93" t="s">
        <v>99</v>
      </c>
      <c r="B57" s="165" t="s">
        <v>424</v>
      </c>
      <c r="C57" s="94" t="s">
        <v>95</v>
      </c>
      <c r="D57" s="162" t="str">
        <f>D54</f>
        <v>Ω</v>
      </c>
      <c r="E57" s="94" t="s">
        <v>96</v>
      </c>
      <c r="F57" s="94">
        <f>U29</f>
        <v>1.4166339040623479E-2</v>
      </c>
      <c r="G57" s="94">
        <f>SQRT(3)</f>
        <v>1.7320508075688772</v>
      </c>
      <c r="H57" s="94">
        <v>50</v>
      </c>
      <c r="I57" s="94">
        <f t="shared" si="19"/>
        <v>8.1789396585354706E-3</v>
      </c>
      <c r="J57" s="94">
        <v>1</v>
      </c>
      <c r="K57" s="94">
        <f t="shared" si="20"/>
        <v>8.1789396585354706E-3</v>
      </c>
      <c r="L57" s="94">
        <f t="shared" si="21"/>
        <v>6.6895053937964327E-5</v>
      </c>
      <c r="M57" s="94">
        <f t="shared" si="22"/>
        <v>8.9498964827263134E-11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spans="1:30" ht="12.75" customHeight="1" x14ac:dyDescent="0.3">
      <c r="A58" s="98"/>
      <c r="B58" s="98"/>
      <c r="C58" s="98"/>
      <c r="D58" s="93"/>
      <c r="E58" s="93"/>
      <c r="F58" s="93"/>
      <c r="G58" s="93"/>
      <c r="H58" s="93"/>
      <c r="I58" s="93"/>
      <c r="J58" s="93"/>
      <c r="K58" s="93"/>
      <c r="L58" s="93"/>
      <c r="M58" s="93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spans="1:30" ht="12.75" customHeight="1" x14ac:dyDescent="0.3">
      <c r="A59" s="834" t="s">
        <v>103</v>
      </c>
      <c r="B59" s="794"/>
      <c r="C59" s="794"/>
      <c r="D59" s="794"/>
      <c r="E59" s="794"/>
      <c r="F59" s="794"/>
      <c r="G59" s="794"/>
      <c r="H59" s="794"/>
      <c r="I59" s="794"/>
      <c r="J59" s="780"/>
      <c r="K59" s="835">
        <f>SUM(L54:L58)</f>
        <v>9.3047838727129781E-4</v>
      </c>
      <c r="L59" s="780"/>
      <c r="M59" s="93">
        <f>SUM(M54:M58)</f>
        <v>1.3993638895382824E-8</v>
      </c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spans="1:30" ht="12.75" customHeight="1" x14ac:dyDescent="0.3">
      <c r="A60" s="834" t="s">
        <v>104</v>
      </c>
      <c r="B60" s="794"/>
      <c r="C60" s="794"/>
      <c r="D60" s="794"/>
      <c r="E60" s="794"/>
      <c r="F60" s="794"/>
      <c r="G60" s="794"/>
      <c r="H60" s="794"/>
      <c r="I60" s="794"/>
      <c r="J60" s="780"/>
      <c r="K60" s="835">
        <f>SQRT(K59)</f>
        <v>3.0503743823853784E-2</v>
      </c>
      <c r="L60" s="780"/>
      <c r="M60" s="93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spans="1:30" ht="12.75" customHeight="1" x14ac:dyDescent="0.3">
      <c r="A61" s="834" t="s">
        <v>425</v>
      </c>
      <c r="B61" s="794"/>
      <c r="C61" s="794"/>
      <c r="D61" s="794"/>
      <c r="E61" s="794"/>
      <c r="F61" s="794"/>
      <c r="G61" s="794"/>
      <c r="H61" s="794"/>
      <c r="I61" s="794"/>
      <c r="J61" s="780"/>
      <c r="K61" s="99">
        <f>(K60^4)/M59</f>
        <v>61.870256596707037</v>
      </c>
      <c r="L61" s="101"/>
      <c r="M61" s="93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spans="1:30" ht="12.75" customHeight="1" x14ac:dyDescent="0.3">
      <c r="A62" s="834" t="s">
        <v>426</v>
      </c>
      <c r="B62" s="794"/>
      <c r="C62" s="794"/>
      <c r="D62" s="794"/>
      <c r="E62" s="794"/>
      <c r="F62" s="794"/>
      <c r="G62" s="794"/>
      <c r="H62" s="794"/>
      <c r="I62" s="794"/>
      <c r="J62" s="780"/>
      <c r="K62" s="99">
        <f>1.95996+2.37356/K61+2.818745/K61^2+2.546662/K61^3+1.761829/K61^4+0.245458/K61^5+1.000764/K61^6</f>
        <v>1.9990707430608936</v>
      </c>
      <c r="L62" s="101">
        <v>2</v>
      </c>
      <c r="M62" s="93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spans="1:30" ht="12.75" customHeight="1" x14ac:dyDescent="0.3">
      <c r="A63" s="834" t="s">
        <v>107</v>
      </c>
      <c r="B63" s="794"/>
      <c r="C63" s="794"/>
      <c r="D63" s="794"/>
      <c r="E63" s="794"/>
      <c r="F63" s="794"/>
      <c r="G63" s="794"/>
      <c r="H63" s="794"/>
      <c r="I63" s="794"/>
      <c r="J63" s="780"/>
      <c r="K63" s="99">
        <f>K62*K60</f>
        <v>6.0979141832090529E-2</v>
      </c>
      <c r="L63" s="101">
        <f>L62*K60</f>
        <v>6.1007487647707567E-2</v>
      </c>
      <c r="M63" s="93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spans="1:30" ht="12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spans="1:30" ht="12.75" customHeight="1" x14ac:dyDescent="0.3">
      <c r="A65" s="48" t="s">
        <v>76</v>
      </c>
      <c r="B65" s="48"/>
      <c r="C65" s="48"/>
      <c r="D65" s="48">
        <f t="shared" ref="D65:E65" si="23">A$2</f>
        <v>600</v>
      </c>
      <c r="E65" s="48" t="str">
        <f t="shared" si="23"/>
        <v>Ω</v>
      </c>
      <c r="F65" s="4"/>
      <c r="G65" s="82"/>
      <c r="H65" s="12"/>
      <c r="I65" s="12"/>
      <c r="J65" s="12"/>
      <c r="K65" s="12"/>
      <c r="L65" s="12"/>
      <c r="M65" s="291" t="str">
        <f>M$37</f>
        <v>Resistance-Measure</v>
      </c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spans="1:30" ht="12.75" customHeight="1" x14ac:dyDescent="0.3">
      <c r="A66" s="84" t="s">
        <v>2</v>
      </c>
      <c r="B66" s="85"/>
      <c r="C66" s="85"/>
      <c r="D66" s="166">
        <f t="shared" ref="D66:E66" si="24">C4</f>
        <v>0.54</v>
      </c>
      <c r="E66" s="4" t="str">
        <f t="shared" si="24"/>
        <v>kΩ</v>
      </c>
      <c r="F66" s="107">
        <f>F4</f>
        <v>541</v>
      </c>
      <c r="G66" s="107" t="str">
        <f>G4</f>
        <v>Ω</v>
      </c>
      <c r="H66" s="90">
        <v>0.1</v>
      </c>
      <c r="I66" s="90"/>
      <c r="J66" s="90"/>
      <c r="K66" s="90"/>
      <c r="L66" s="90"/>
      <c r="M66" s="76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spans="1:30" ht="12.75" customHeight="1" x14ac:dyDescent="0.3">
      <c r="A67" s="91" t="s">
        <v>78</v>
      </c>
      <c r="B67" s="91" t="s">
        <v>79</v>
      </c>
      <c r="C67" s="91" t="s">
        <v>410</v>
      </c>
      <c r="D67" s="91" t="s">
        <v>80</v>
      </c>
      <c r="E67" s="91" t="s">
        <v>81</v>
      </c>
      <c r="F67" s="92" t="s">
        <v>82</v>
      </c>
      <c r="G67" s="91" t="s">
        <v>83</v>
      </c>
      <c r="H67" s="91" t="s">
        <v>84</v>
      </c>
      <c r="I67" s="91" t="s">
        <v>85</v>
      </c>
      <c r="J67" s="91" t="s">
        <v>86</v>
      </c>
      <c r="K67" s="91" t="s">
        <v>87</v>
      </c>
      <c r="L67" s="91" t="s">
        <v>427</v>
      </c>
      <c r="M67" s="91" t="s">
        <v>428</v>
      </c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spans="1:30" ht="12.75" customHeight="1" x14ac:dyDescent="0.3">
      <c r="A68" s="93" t="s">
        <v>90</v>
      </c>
      <c r="B68" s="165" t="s">
        <v>429</v>
      </c>
      <c r="C68" s="94" t="s">
        <v>42</v>
      </c>
      <c r="D68" s="162" t="str">
        <f>G66</f>
        <v>Ω</v>
      </c>
      <c r="E68" s="161" t="s">
        <v>631</v>
      </c>
      <c r="F68" s="94">
        <f>STDEV(Data!E159:N159)/SQRT(5)</f>
        <v>0</v>
      </c>
      <c r="G68" s="94">
        <v>1</v>
      </c>
      <c r="H68" s="94">
        <f>5-1</f>
        <v>4</v>
      </c>
      <c r="I68" s="94">
        <f t="shared" ref="I68:I71" si="25">((F68)/G68)</f>
        <v>0</v>
      </c>
      <c r="J68" s="94">
        <v>1</v>
      </c>
      <c r="K68" s="94">
        <f t="shared" ref="K68:K71" si="26">I68*J68</f>
        <v>0</v>
      </c>
      <c r="L68" s="94">
        <f t="shared" ref="L68:L71" si="27">K68^2</f>
        <v>0</v>
      </c>
      <c r="M68" s="94">
        <f t="shared" ref="M68:M71" si="28">(K68^4)/H68</f>
        <v>0</v>
      </c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spans="1:30" ht="12.75" customHeight="1" x14ac:dyDescent="0.3">
      <c r="A69" s="93" t="s">
        <v>93</v>
      </c>
      <c r="B69" s="165" t="s">
        <v>430</v>
      </c>
      <c r="C69" s="94" t="s">
        <v>95</v>
      </c>
      <c r="D69" s="162" t="str">
        <f>D68</f>
        <v>Ω</v>
      </c>
      <c r="E69" s="94" t="s">
        <v>96</v>
      </c>
      <c r="F69" s="94">
        <f>H66/2</f>
        <v>0.05</v>
      </c>
      <c r="G69" s="94">
        <f>SQRT(3)</f>
        <v>1.7320508075688772</v>
      </c>
      <c r="H69" s="94">
        <v>50</v>
      </c>
      <c r="I69" s="94">
        <f t="shared" si="25"/>
        <v>2.8867513459481291E-2</v>
      </c>
      <c r="J69" s="94">
        <v>1</v>
      </c>
      <c r="K69" s="94">
        <f t="shared" si="26"/>
        <v>2.8867513459481291E-2</v>
      </c>
      <c r="L69" s="94">
        <f t="shared" si="27"/>
        <v>8.333333333333335E-4</v>
      </c>
      <c r="M69" s="94">
        <f t="shared" si="28"/>
        <v>1.3888888888888894E-8</v>
      </c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spans="1:30" ht="12.75" customHeight="1" x14ac:dyDescent="0.3">
      <c r="A70" s="93" t="s">
        <v>97</v>
      </c>
      <c r="B70" s="165" t="s">
        <v>431</v>
      </c>
      <c r="C70" s="94" t="s">
        <v>95</v>
      </c>
      <c r="D70" s="162" t="str">
        <f>D68</f>
        <v>Ω</v>
      </c>
      <c r="E70" s="94" t="s">
        <v>92</v>
      </c>
      <c r="F70" s="96">
        <f>AD36*10^3</f>
        <v>1.0999999999999999E-2</v>
      </c>
      <c r="G70" s="94">
        <v>2</v>
      </c>
      <c r="H70" s="94">
        <v>60</v>
      </c>
      <c r="I70" s="94">
        <f t="shared" si="25"/>
        <v>5.4999999999999997E-3</v>
      </c>
      <c r="J70" s="94">
        <v>1</v>
      </c>
      <c r="K70" s="94">
        <f t="shared" si="26"/>
        <v>5.4999999999999997E-3</v>
      </c>
      <c r="L70" s="94">
        <f t="shared" si="27"/>
        <v>3.0249999999999997E-5</v>
      </c>
      <c r="M70" s="94">
        <f t="shared" si="28"/>
        <v>1.5251041666666663E-11</v>
      </c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spans="1:30" ht="12.75" customHeight="1" x14ac:dyDescent="0.3">
      <c r="A71" s="93" t="s">
        <v>99</v>
      </c>
      <c r="B71" s="165" t="s">
        <v>432</v>
      </c>
      <c r="C71" s="94" t="s">
        <v>95</v>
      </c>
      <c r="D71" s="162" t="str">
        <f>D68</f>
        <v>Ω</v>
      </c>
      <c r="E71" s="94" t="s">
        <v>96</v>
      </c>
      <c r="F71" s="94">
        <f>U30*10^3</f>
        <v>1.3391478004697466E-2</v>
      </c>
      <c r="G71" s="94">
        <f>SQRT(3)</f>
        <v>1.7320508075688772</v>
      </c>
      <c r="H71" s="94">
        <v>50</v>
      </c>
      <c r="I71" s="94">
        <f t="shared" si="25"/>
        <v>7.7315734308590353E-3</v>
      </c>
      <c r="J71" s="94">
        <v>1</v>
      </c>
      <c r="K71" s="94">
        <f t="shared" si="26"/>
        <v>7.7315734308590353E-3</v>
      </c>
      <c r="L71" s="94">
        <f t="shared" si="27"/>
        <v>5.9777227716765353E-5</v>
      </c>
      <c r="M71" s="94">
        <f t="shared" si="28"/>
        <v>7.1466339070040394E-11</v>
      </c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spans="1:30" ht="12.75" customHeight="1" x14ac:dyDescent="0.3">
      <c r="A72" s="98"/>
      <c r="B72" s="98"/>
      <c r="C72" s="98"/>
      <c r="D72" s="93"/>
      <c r="E72" s="93"/>
      <c r="F72" s="93"/>
      <c r="G72" s="93"/>
      <c r="H72" s="93"/>
      <c r="I72" s="93"/>
      <c r="J72" s="93"/>
      <c r="K72" s="93"/>
      <c r="L72" s="93"/>
      <c r="M72" s="93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spans="1:30" ht="12.75" customHeight="1" x14ac:dyDescent="0.3">
      <c r="A73" s="834" t="s">
        <v>103</v>
      </c>
      <c r="B73" s="794"/>
      <c r="C73" s="794"/>
      <c r="D73" s="794"/>
      <c r="E73" s="794"/>
      <c r="F73" s="794"/>
      <c r="G73" s="794"/>
      <c r="H73" s="794"/>
      <c r="I73" s="794"/>
      <c r="J73" s="780"/>
      <c r="K73" s="835">
        <f>SUM(L68:L72)</f>
        <v>9.2336056105009887E-4</v>
      </c>
      <c r="L73" s="780"/>
      <c r="M73" s="93">
        <f>SUM(M68:M72)</f>
        <v>1.3975606269625601E-8</v>
      </c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spans="1:30" ht="12.75" customHeight="1" x14ac:dyDescent="0.3">
      <c r="A74" s="834" t="s">
        <v>104</v>
      </c>
      <c r="B74" s="794"/>
      <c r="C74" s="794"/>
      <c r="D74" s="794"/>
      <c r="E74" s="794"/>
      <c r="F74" s="794"/>
      <c r="G74" s="794"/>
      <c r="H74" s="794"/>
      <c r="I74" s="794"/>
      <c r="J74" s="780"/>
      <c r="K74" s="835">
        <f>SQRT(K73)</f>
        <v>3.0386848488286818E-2</v>
      </c>
      <c r="L74" s="780"/>
      <c r="M74" s="93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spans="1:30" ht="12.75" customHeight="1" x14ac:dyDescent="0.3">
      <c r="A75" s="834" t="s">
        <v>433</v>
      </c>
      <c r="B75" s="794"/>
      <c r="C75" s="794"/>
      <c r="D75" s="794"/>
      <c r="E75" s="794"/>
      <c r="F75" s="794"/>
      <c r="G75" s="794"/>
      <c r="H75" s="794"/>
      <c r="I75" s="794"/>
      <c r="J75" s="780"/>
      <c r="K75" s="99">
        <f>(K74^4)/M73</f>
        <v>61.005920548561214</v>
      </c>
      <c r="L75" s="101"/>
      <c r="M75" s="93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spans="1:30" ht="12.75" customHeight="1" x14ac:dyDescent="0.3">
      <c r="A76" s="834" t="s">
        <v>434</v>
      </c>
      <c r="B76" s="794"/>
      <c r="C76" s="794"/>
      <c r="D76" s="794"/>
      <c r="E76" s="794"/>
      <c r="F76" s="794"/>
      <c r="G76" s="794"/>
      <c r="H76" s="794"/>
      <c r="I76" s="794"/>
      <c r="J76" s="780"/>
      <c r="K76" s="99">
        <f>1.95996+2.37356/K75+2.818745/K75^2+2.546662/K75^3+1.761829/K75^4+0.245458/K75^5+1.000764/K75^6</f>
        <v>1.9996357638692168</v>
      </c>
      <c r="L76" s="101">
        <v>2</v>
      </c>
      <c r="M76" s="93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spans="1:30" ht="12.75" customHeight="1" x14ac:dyDescent="0.3">
      <c r="A77" s="834" t="s">
        <v>107</v>
      </c>
      <c r="B77" s="794"/>
      <c r="C77" s="794"/>
      <c r="D77" s="794"/>
      <c r="E77" s="794"/>
      <c r="F77" s="794"/>
      <c r="G77" s="794"/>
      <c r="H77" s="794"/>
      <c r="I77" s="794"/>
      <c r="J77" s="780"/>
      <c r="K77" s="99">
        <f>K76*K74</f>
        <v>6.0762628988453568E-2</v>
      </c>
      <c r="L77" s="101">
        <f>L76*K74</f>
        <v>6.0773696976573637E-2</v>
      </c>
      <c r="M77" s="93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spans="1:30" ht="12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spans="1:30" ht="12.75" customHeight="1" x14ac:dyDescent="0.3">
      <c r="A79" s="48" t="s">
        <v>76</v>
      </c>
      <c r="B79" s="48"/>
      <c r="C79" s="48"/>
      <c r="D79" s="48">
        <f t="shared" ref="D79:E79" si="29">A$5</f>
        <v>6</v>
      </c>
      <c r="E79" s="48" t="str">
        <f t="shared" si="29"/>
        <v>kΩ</v>
      </c>
      <c r="F79" s="4"/>
      <c r="G79" s="82"/>
      <c r="H79" s="12"/>
      <c r="I79" s="12"/>
      <c r="J79" s="12"/>
      <c r="K79" s="12"/>
      <c r="L79" s="12"/>
      <c r="M79" s="291" t="str">
        <f>M$37</f>
        <v>Resistance-Measure</v>
      </c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spans="1:30" ht="12.75" customHeight="1" x14ac:dyDescent="0.3">
      <c r="A80" s="84" t="s">
        <v>2</v>
      </c>
      <c r="B80" s="85"/>
      <c r="C80" s="85"/>
      <c r="D80" s="166">
        <f t="shared" ref="D80:E80" si="30">C5</f>
        <v>0.60000000000000009</v>
      </c>
      <c r="E80" s="4" t="str">
        <f t="shared" si="30"/>
        <v>kΩ</v>
      </c>
      <c r="F80" s="111"/>
      <c r="G80" s="90"/>
      <c r="H80" s="90">
        <v>1E-3</v>
      </c>
      <c r="I80" s="90"/>
      <c r="J80" s="90"/>
      <c r="K80" s="90"/>
      <c r="L80" s="90"/>
      <c r="M80" s="76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spans="1:30" ht="12.75" customHeight="1" x14ac:dyDescent="0.3">
      <c r="A81" s="91" t="s">
        <v>78</v>
      </c>
      <c r="B81" s="91" t="s">
        <v>79</v>
      </c>
      <c r="C81" s="91" t="s">
        <v>410</v>
      </c>
      <c r="D81" s="91" t="s">
        <v>80</v>
      </c>
      <c r="E81" s="91" t="s">
        <v>81</v>
      </c>
      <c r="F81" s="92" t="s">
        <v>82</v>
      </c>
      <c r="G81" s="91" t="s">
        <v>83</v>
      </c>
      <c r="H81" s="91" t="s">
        <v>84</v>
      </c>
      <c r="I81" s="91" t="s">
        <v>85</v>
      </c>
      <c r="J81" s="91" t="s">
        <v>86</v>
      </c>
      <c r="K81" s="91" t="s">
        <v>87</v>
      </c>
      <c r="L81" s="91" t="s">
        <v>435</v>
      </c>
      <c r="M81" s="91" t="s">
        <v>436</v>
      </c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spans="1:30" ht="12.75" customHeight="1" x14ac:dyDescent="0.3">
      <c r="A82" s="93" t="s">
        <v>90</v>
      </c>
      <c r="B82" s="165" t="s">
        <v>437</v>
      </c>
      <c r="C82" s="94" t="s">
        <v>42</v>
      </c>
      <c r="D82" s="162" t="str">
        <f>E80</f>
        <v>kΩ</v>
      </c>
      <c r="E82" s="161" t="s">
        <v>631</v>
      </c>
      <c r="F82" s="94">
        <f>STDEV(Data!E161:N161)/SQRT(5)</f>
        <v>0</v>
      </c>
      <c r="G82" s="94">
        <v>1</v>
      </c>
      <c r="H82" s="94">
        <f>5-1</f>
        <v>4</v>
      </c>
      <c r="I82" s="94">
        <f t="shared" ref="I82:I85" si="31">((F82)/G82)</f>
        <v>0</v>
      </c>
      <c r="J82" s="94">
        <v>1</v>
      </c>
      <c r="K82" s="94">
        <f t="shared" ref="K82:K85" si="32">I82*J82</f>
        <v>0</v>
      </c>
      <c r="L82" s="94">
        <f t="shared" ref="L82:L85" si="33">K82^2</f>
        <v>0</v>
      </c>
      <c r="M82" s="94">
        <f t="shared" ref="M82:M85" si="34">(K82^4)/H82</f>
        <v>0</v>
      </c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spans="1:30" ht="12.75" customHeight="1" x14ac:dyDescent="0.3">
      <c r="A83" s="93" t="s">
        <v>93</v>
      </c>
      <c r="B83" s="165" t="s">
        <v>438</v>
      </c>
      <c r="C83" s="94" t="s">
        <v>95</v>
      </c>
      <c r="D83" s="162" t="str">
        <f>D82</f>
        <v>kΩ</v>
      </c>
      <c r="E83" s="94" t="s">
        <v>96</v>
      </c>
      <c r="F83" s="94">
        <f>H80/2</f>
        <v>5.0000000000000001E-4</v>
      </c>
      <c r="G83" s="94">
        <f>SQRT(3)</f>
        <v>1.7320508075688772</v>
      </c>
      <c r="H83" s="94">
        <v>50</v>
      </c>
      <c r="I83" s="94">
        <f t="shared" si="31"/>
        <v>2.886751345948129E-4</v>
      </c>
      <c r="J83" s="94">
        <v>1</v>
      </c>
      <c r="K83" s="94">
        <f t="shared" si="32"/>
        <v>2.886751345948129E-4</v>
      </c>
      <c r="L83" s="94">
        <f t="shared" si="33"/>
        <v>8.3333333333333338E-8</v>
      </c>
      <c r="M83" s="94">
        <f t="shared" si="34"/>
        <v>1.388888888888889E-16</v>
      </c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spans="1:30" ht="12.75" customHeight="1" x14ac:dyDescent="0.3">
      <c r="A84" s="93" t="s">
        <v>97</v>
      </c>
      <c r="B84" s="165" t="s">
        <v>439</v>
      </c>
      <c r="C84" s="94" t="s">
        <v>95</v>
      </c>
      <c r="D84" s="162" t="str">
        <f>D82</f>
        <v>kΩ</v>
      </c>
      <c r="E84" s="94" t="s">
        <v>92</v>
      </c>
      <c r="F84" s="96">
        <f>AD36</f>
        <v>1.1E-5</v>
      </c>
      <c r="G84" s="94">
        <v>2</v>
      </c>
      <c r="H84" s="94">
        <v>60</v>
      </c>
      <c r="I84" s="94">
        <f t="shared" si="31"/>
        <v>5.4999999999999999E-6</v>
      </c>
      <c r="J84" s="94">
        <v>1</v>
      </c>
      <c r="K84" s="94">
        <f t="shared" si="32"/>
        <v>5.4999999999999999E-6</v>
      </c>
      <c r="L84" s="94">
        <f t="shared" si="33"/>
        <v>3.0249999999999999E-11</v>
      </c>
      <c r="M84" s="94">
        <f t="shared" si="34"/>
        <v>1.5251041666666665E-23</v>
      </c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spans="1:30" ht="12.75" customHeight="1" x14ac:dyDescent="0.3">
      <c r="A85" s="93" t="s">
        <v>99</v>
      </c>
      <c r="B85" s="165" t="s">
        <v>440</v>
      </c>
      <c r="C85" s="94" t="s">
        <v>95</v>
      </c>
      <c r="D85" s="162" t="str">
        <f>D82</f>
        <v>kΩ</v>
      </c>
      <c r="E85" s="94" t="s">
        <v>96</v>
      </c>
      <c r="F85" s="94">
        <f>U31</f>
        <v>1.3197762745715966E-5</v>
      </c>
      <c r="G85" s="94">
        <f>SQRT(3)</f>
        <v>1.7320508075688772</v>
      </c>
      <c r="H85" s="94">
        <v>50</v>
      </c>
      <c r="I85" s="94">
        <f t="shared" si="31"/>
        <v>7.6197318739399279E-6</v>
      </c>
      <c r="J85" s="94">
        <v>1</v>
      </c>
      <c r="K85" s="94">
        <f t="shared" si="32"/>
        <v>7.6197318739399279E-6</v>
      </c>
      <c r="L85" s="94">
        <f t="shared" si="33"/>
        <v>5.8060313830736084E-11</v>
      </c>
      <c r="M85" s="94">
        <f t="shared" si="34"/>
        <v>6.7420000842471279E-23</v>
      </c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spans="1:30" ht="12.75" customHeight="1" x14ac:dyDescent="0.3">
      <c r="A86" s="98"/>
      <c r="B86" s="98"/>
      <c r="C86" s="98"/>
      <c r="D86" s="93"/>
      <c r="E86" s="93"/>
      <c r="F86" s="93"/>
      <c r="G86" s="93"/>
      <c r="H86" s="93"/>
      <c r="I86" s="93"/>
      <c r="J86" s="93"/>
      <c r="K86" s="93"/>
      <c r="L86" s="93"/>
      <c r="M86" s="93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spans="1:30" ht="12.75" customHeight="1" x14ac:dyDescent="0.3">
      <c r="A87" s="834" t="s">
        <v>103</v>
      </c>
      <c r="B87" s="794"/>
      <c r="C87" s="794"/>
      <c r="D87" s="794"/>
      <c r="E87" s="794"/>
      <c r="F87" s="794"/>
      <c r="G87" s="794"/>
      <c r="H87" s="794"/>
      <c r="I87" s="794"/>
      <c r="J87" s="780"/>
      <c r="K87" s="835">
        <f>SUM(L82:L86)</f>
        <v>8.3421643647164081E-8</v>
      </c>
      <c r="L87" s="780"/>
      <c r="M87" s="93">
        <f>SUM(M82:M86)</f>
        <v>1.3888897155993141E-16</v>
      </c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spans="1:30" ht="12.75" customHeight="1" x14ac:dyDescent="0.3">
      <c r="A88" s="834" t="s">
        <v>104</v>
      </c>
      <c r="B88" s="794"/>
      <c r="C88" s="794"/>
      <c r="D88" s="794"/>
      <c r="E88" s="794"/>
      <c r="F88" s="794"/>
      <c r="G88" s="794"/>
      <c r="H88" s="794"/>
      <c r="I88" s="794"/>
      <c r="J88" s="780"/>
      <c r="K88" s="835">
        <f>SQRT(K87)</f>
        <v>2.8882805204336385E-4</v>
      </c>
      <c r="L88" s="780"/>
      <c r="M88" s="93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spans="1:30" ht="12.75" customHeight="1" x14ac:dyDescent="0.3">
      <c r="A89" s="834" t="s">
        <v>441</v>
      </c>
      <c r="B89" s="794"/>
      <c r="C89" s="794"/>
      <c r="D89" s="794"/>
      <c r="E89" s="794"/>
      <c r="F89" s="794"/>
      <c r="G89" s="794"/>
      <c r="H89" s="794"/>
      <c r="I89" s="794"/>
      <c r="J89" s="780"/>
      <c r="K89" s="99">
        <f>(K88^4)/M87</f>
        <v>50.105998702650844</v>
      </c>
      <c r="L89" s="101"/>
      <c r="M89" s="93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spans="1:30" ht="12.75" customHeight="1" x14ac:dyDescent="0.3">
      <c r="A90" s="834" t="s">
        <v>442</v>
      </c>
      <c r="B90" s="794"/>
      <c r="C90" s="794"/>
      <c r="D90" s="794"/>
      <c r="E90" s="794"/>
      <c r="F90" s="794"/>
      <c r="G90" s="794"/>
      <c r="H90" s="794"/>
      <c r="I90" s="794"/>
      <c r="J90" s="780"/>
      <c r="K90" s="99">
        <f>1.95996+2.37356/K89+2.818745/K89^2+2.546662/K89^3+1.761829/K89^4+0.245458/K89^5+1.000764/K89^6</f>
        <v>2.0084740324379147</v>
      </c>
      <c r="L90" s="101">
        <v>2</v>
      </c>
      <c r="M90" s="93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spans="1:30" ht="12.75" customHeight="1" x14ac:dyDescent="0.3">
      <c r="A91" s="834" t="s">
        <v>107</v>
      </c>
      <c r="B91" s="794"/>
      <c r="C91" s="794"/>
      <c r="D91" s="794"/>
      <c r="E91" s="794"/>
      <c r="F91" s="794"/>
      <c r="G91" s="794"/>
      <c r="H91" s="794"/>
      <c r="I91" s="794"/>
      <c r="J91" s="780"/>
      <c r="K91" s="99">
        <f>K90*K88</f>
        <v>5.8010364236872288E-4</v>
      </c>
      <c r="L91" s="101">
        <f>L90*K88</f>
        <v>5.7765610408672769E-4</v>
      </c>
      <c r="M91" s="93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spans="1:30" ht="12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spans="1:30" ht="12.75" customHeight="1" x14ac:dyDescent="0.3">
      <c r="A93" s="48" t="s">
        <v>76</v>
      </c>
      <c r="B93" s="48"/>
      <c r="C93" s="48"/>
      <c r="D93" s="48">
        <f t="shared" ref="D93:E93" si="35">A$5</f>
        <v>6</v>
      </c>
      <c r="E93" s="48" t="str">
        <f t="shared" si="35"/>
        <v>kΩ</v>
      </c>
      <c r="F93" s="4"/>
      <c r="G93" s="82"/>
      <c r="H93" s="12"/>
      <c r="I93" s="12"/>
      <c r="J93" s="12"/>
      <c r="K93" s="12"/>
      <c r="L93" s="12"/>
      <c r="M93" s="291" t="str">
        <f>M$37</f>
        <v>Resistance-Measure</v>
      </c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spans="1:30" ht="12.75" customHeight="1" x14ac:dyDescent="0.3">
      <c r="A94" s="84" t="s">
        <v>2</v>
      </c>
      <c r="B94" s="85"/>
      <c r="C94" s="85"/>
      <c r="D94" s="166">
        <f t="shared" ref="D94:E94" si="36">C6</f>
        <v>3</v>
      </c>
      <c r="E94" s="4" t="str">
        <f t="shared" si="36"/>
        <v>kΩ</v>
      </c>
      <c r="F94" s="111"/>
      <c r="G94" s="90"/>
      <c r="H94" s="90">
        <v>1E-3</v>
      </c>
      <c r="I94" s="90"/>
      <c r="J94" s="90"/>
      <c r="K94" s="90"/>
      <c r="L94" s="90"/>
      <c r="M94" s="76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spans="1:30" ht="12.75" customHeight="1" x14ac:dyDescent="0.3">
      <c r="A95" s="91" t="s">
        <v>78</v>
      </c>
      <c r="B95" s="91" t="s">
        <v>79</v>
      </c>
      <c r="C95" s="91" t="s">
        <v>410</v>
      </c>
      <c r="D95" s="91" t="s">
        <v>80</v>
      </c>
      <c r="E95" s="91" t="s">
        <v>81</v>
      </c>
      <c r="F95" s="92" t="s">
        <v>82</v>
      </c>
      <c r="G95" s="91" t="s">
        <v>83</v>
      </c>
      <c r="H95" s="91" t="s">
        <v>84</v>
      </c>
      <c r="I95" s="91" t="s">
        <v>85</v>
      </c>
      <c r="J95" s="91" t="s">
        <v>86</v>
      </c>
      <c r="K95" s="91" t="s">
        <v>87</v>
      </c>
      <c r="L95" s="91" t="s">
        <v>443</v>
      </c>
      <c r="M95" s="91" t="s">
        <v>444</v>
      </c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spans="1:30" ht="12.75" customHeight="1" x14ac:dyDescent="0.3">
      <c r="A96" s="93" t="s">
        <v>90</v>
      </c>
      <c r="B96" s="165" t="s">
        <v>445</v>
      </c>
      <c r="C96" s="94" t="s">
        <v>42</v>
      </c>
      <c r="D96" s="162" t="str">
        <f>E94</f>
        <v>kΩ</v>
      </c>
      <c r="E96" s="161" t="s">
        <v>631</v>
      </c>
      <c r="F96" s="94">
        <f>STDEV(Data!E162:N162)/SQRT(5)</f>
        <v>0</v>
      </c>
      <c r="G96" s="94">
        <v>1</v>
      </c>
      <c r="H96" s="94">
        <f>5-1</f>
        <v>4</v>
      </c>
      <c r="I96" s="94">
        <f t="shared" ref="I96:I99" si="37">((F96)/G96)</f>
        <v>0</v>
      </c>
      <c r="J96" s="94">
        <v>1</v>
      </c>
      <c r="K96" s="94">
        <f t="shared" ref="K96:K99" si="38">I96*J96</f>
        <v>0</v>
      </c>
      <c r="L96" s="94">
        <f t="shared" ref="L96:L99" si="39">K96^2</f>
        <v>0</v>
      </c>
      <c r="M96" s="94">
        <f t="shared" ref="M96:M99" si="40">(K96^4)/H96</f>
        <v>0</v>
      </c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spans="1:30" ht="12.75" customHeight="1" x14ac:dyDescent="0.3">
      <c r="A97" s="93" t="s">
        <v>93</v>
      </c>
      <c r="B97" s="165" t="s">
        <v>446</v>
      </c>
      <c r="C97" s="94" t="s">
        <v>95</v>
      </c>
      <c r="D97" s="162" t="str">
        <f>D96</f>
        <v>kΩ</v>
      </c>
      <c r="E97" s="94" t="s">
        <v>96</v>
      </c>
      <c r="F97" s="94">
        <f>H94/2</f>
        <v>5.0000000000000001E-4</v>
      </c>
      <c r="G97" s="94">
        <f>SQRT(3)</f>
        <v>1.7320508075688772</v>
      </c>
      <c r="H97" s="94">
        <v>50</v>
      </c>
      <c r="I97" s="94">
        <f t="shared" si="37"/>
        <v>2.886751345948129E-4</v>
      </c>
      <c r="J97" s="94">
        <v>1</v>
      </c>
      <c r="K97" s="94">
        <f t="shared" si="38"/>
        <v>2.886751345948129E-4</v>
      </c>
      <c r="L97" s="94">
        <f t="shared" si="39"/>
        <v>8.3333333333333338E-8</v>
      </c>
      <c r="M97" s="94">
        <f t="shared" si="40"/>
        <v>1.388888888888889E-16</v>
      </c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spans="1:30" ht="12.75" customHeight="1" x14ac:dyDescent="0.3">
      <c r="A98" s="93" t="s">
        <v>97</v>
      </c>
      <c r="B98" s="165" t="s">
        <v>447</v>
      </c>
      <c r="C98" s="94" t="s">
        <v>95</v>
      </c>
      <c r="D98" s="162" t="str">
        <f>D96</f>
        <v>kΩ</v>
      </c>
      <c r="E98" s="94" t="s">
        <v>92</v>
      </c>
      <c r="F98" s="245">
        <f>AD39</f>
        <v>1E-4</v>
      </c>
      <c r="G98" s="94">
        <v>2</v>
      </c>
      <c r="H98" s="94">
        <v>60</v>
      </c>
      <c r="I98" s="94">
        <f t="shared" si="37"/>
        <v>5.0000000000000002E-5</v>
      </c>
      <c r="J98" s="94">
        <v>1</v>
      </c>
      <c r="K98" s="94">
        <f t="shared" si="38"/>
        <v>5.0000000000000002E-5</v>
      </c>
      <c r="L98" s="94">
        <f t="shared" si="39"/>
        <v>2.5000000000000001E-9</v>
      </c>
      <c r="M98" s="94">
        <f t="shared" si="40"/>
        <v>1.0416666666666668E-19</v>
      </c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spans="1:30" ht="12.75" customHeight="1" x14ac:dyDescent="0.3">
      <c r="A99" s="93" t="s">
        <v>99</v>
      </c>
      <c r="B99" s="165" t="s">
        <v>448</v>
      </c>
      <c r="C99" s="94" t="s">
        <v>95</v>
      </c>
      <c r="D99" s="162" t="str">
        <f>D96</f>
        <v>kΩ</v>
      </c>
      <c r="E99" s="94" t="s">
        <v>96</v>
      </c>
      <c r="F99" s="94">
        <f>U32</f>
        <v>1.4513397569614132E-4</v>
      </c>
      <c r="G99" s="94">
        <f>SQRT(3)</f>
        <v>1.7320508075688772</v>
      </c>
      <c r="H99" s="94">
        <v>50</v>
      </c>
      <c r="I99" s="94">
        <f t="shared" si="37"/>
        <v>8.3793139936727803E-5</v>
      </c>
      <c r="J99" s="94">
        <v>1</v>
      </c>
      <c r="K99" s="94">
        <f t="shared" si="38"/>
        <v>8.3793139936727803E-5</v>
      </c>
      <c r="L99" s="94">
        <f t="shared" si="39"/>
        <v>7.0212903004560482E-9</v>
      </c>
      <c r="M99" s="94">
        <f t="shared" si="40"/>
        <v>9.8597034966556371E-19</v>
      </c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spans="1:30" ht="12.75" customHeight="1" x14ac:dyDescent="0.3">
      <c r="A100" s="98"/>
      <c r="B100" s="98"/>
      <c r="C100" s="98"/>
      <c r="D100" s="93"/>
      <c r="E100" s="93"/>
      <c r="F100" s="93"/>
      <c r="G100" s="93"/>
      <c r="H100" s="93"/>
      <c r="I100" s="93"/>
      <c r="J100" s="93"/>
      <c r="K100" s="93"/>
      <c r="L100" s="93"/>
      <c r="M100" s="93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spans="1:30" ht="12.75" customHeight="1" x14ac:dyDescent="0.3">
      <c r="A101" s="834" t="s">
        <v>103</v>
      </c>
      <c r="B101" s="794"/>
      <c r="C101" s="794"/>
      <c r="D101" s="794"/>
      <c r="E101" s="794"/>
      <c r="F101" s="794"/>
      <c r="G101" s="794"/>
      <c r="H101" s="794"/>
      <c r="I101" s="794"/>
      <c r="J101" s="780"/>
      <c r="K101" s="835">
        <f>SUM(L96:L100)</f>
        <v>9.2854623633789387E-8</v>
      </c>
      <c r="L101" s="780"/>
      <c r="M101" s="93">
        <f>SUM(M96:M100)</f>
        <v>1.3997902590522113E-16</v>
      </c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spans="1:30" ht="12.75" customHeight="1" x14ac:dyDescent="0.3">
      <c r="A102" s="834" t="s">
        <v>104</v>
      </c>
      <c r="B102" s="794"/>
      <c r="C102" s="794"/>
      <c r="D102" s="794"/>
      <c r="E102" s="794"/>
      <c r="F102" s="794"/>
      <c r="G102" s="794"/>
      <c r="H102" s="794"/>
      <c r="I102" s="794"/>
      <c r="J102" s="780"/>
      <c r="K102" s="835">
        <f>SQRT(K101)</f>
        <v>3.0472056647654977E-4</v>
      </c>
      <c r="L102" s="780"/>
      <c r="M102" s="93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spans="1:30" ht="12.75" customHeight="1" x14ac:dyDescent="0.3">
      <c r="A103" s="834" t="s">
        <v>449</v>
      </c>
      <c r="B103" s="794"/>
      <c r="C103" s="794"/>
      <c r="D103" s="794"/>
      <c r="E103" s="794"/>
      <c r="F103" s="794"/>
      <c r="G103" s="794"/>
      <c r="H103" s="794"/>
      <c r="I103" s="794"/>
      <c r="J103" s="780"/>
      <c r="K103" s="99">
        <f>(K102^4)/M101</f>
        <v>61.594807324995713</v>
      </c>
      <c r="L103" s="101"/>
      <c r="M103" s="93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spans="1:30" ht="12.75" customHeight="1" x14ac:dyDescent="0.3">
      <c r="A104" s="834" t="s">
        <v>450</v>
      </c>
      <c r="B104" s="794"/>
      <c r="C104" s="794"/>
      <c r="D104" s="794"/>
      <c r="E104" s="794"/>
      <c r="F104" s="794"/>
      <c r="G104" s="794"/>
      <c r="H104" s="794"/>
      <c r="I104" s="794"/>
      <c r="J104" s="780"/>
      <c r="K104" s="99">
        <f>1.95996+2.37356/K103+2.818745/K103^2+2.546662/K103^3+1.761829/K103^4+0.245458/K103^5+1.000764/K103^6</f>
        <v>1.9992490507461644</v>
      </c>
      <c r="L104" s="101">
        <v>2</v>
      </c>
      <c r="M104" s="93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spans="1:30" ht="12.75" customHeight="1" x14ac:dyDescent="0.3">
      <c r="A105" s="834" t="s">
        <v>107</v>
      </c>
      <c r="B105" s="794"/>
      <c r="C105" s="794"/>
      <c r="D105" s="794"/>
      <c r="E105" s="794"/>
      <c r="F105" s="794"/>
      <c r="G105" s="794"/>
      <c r="H105" s="794"/>
      <c r="I105" s="794"/>
      <c r="J105" s="780"/>
      <c r="K105" s="99">
        <f>K104*K102</f>
        <v>6.092123032710756E-4</v>
      </c>
      <c r="L105" s="101">
        <f>L104*K102</f>
        <v>6.0944113295309955E-4</v>
      </c>
      <c r="M105" s="93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spans="1:30" ht="12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spans="1:30" ht="12.75" customHeight="1" x14ac:dyDescent="0.3">
      <c r="A107" s="48" t="s">
        <v>76</v>
      </c>
      <c r="B107" s="48"/>
      <c r="C107" s="48"/>
      <c r="D107" s="48">
        <f t="shared" ref="D107:E107" si="41">A$5</f>
        <v>6</v>
      </c>
      <c r="E107" s="48" t="str">
        <f t="shared" si="41"/>
        <v>kΩ</v>
      </c>
      <c r="F107" s="4"/>
      <c r="G107" s="82"/>
      <c r="H107" s="12"/>
      <c r="I107" s="12"/>
      <c r="J107" s="12"/>
      <c r="K107" s="12"/>
      <c r="L107" s="12"/>
      <c r="M107" s="291" t="str">
        <f>M$37</f>
        <v>Resistance-Measure</v>
      </c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spans="1:30" ht="12.75" customHeight="1" x14ac:dyDescent="0.3">
      <c r="A108" s="84" t="s">
        <v>2</v>
      </c>
      <c r="B108" s="85"/>
      <c r="C108" s="85"/>
      <c r="D108" s="167">
        <f t="shared" ref="D108:E108" si="42">C7</f>
        <v>5.4</v>
      </c>
      <c r="E108" s="4" t="str">
        <f t="shared" si="42"/>
        <v>kΩ</v>
      </c>
      <c r="F108" s="111"/>
      <c r="G108" s="90"/>
      <c r="H108" s="90">
        <v>1E-3</v>
      </c>
      <c r="I108" s="90"/>
      <c r="J108" s="90"/>
      <c r="K108" s="90"/>
      <c r="L108" s="90"/>
      <c r="M108" s="76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spans="1:30" ht="12.75" customHeight="1" x14ac:dyDescent="0.3">
      <c r="A109" s="91" t="s">
        <v>78</v>
      </c>
      <c r="B109" s="91" t="s">
        <v>79</v>
      </c>
      <c r="C109" s="91" t="s">
        <v>410</v>
      </c>
      <c r="D109" s="91" t="s">
        <v>80</v>
      </c>
      <c r="E109" s="91" t="s">
        <v>81</v>
      </c>
      <c r="F109" s="92" t="s">
        <v>82</v>
      </c>
      <c r="G109" s="91" t="s">
        <v>83</v>
      </c>
      <c r="H109" s="91" t="s">
        <v>84</v>
      </c>
      <c r="I109" s="91" t="s">
        <v>85</v>
      </c>
      <c r="J109" s="91" t="s">
        <v>86</v>
      </c>
      <c r="K109" s="91" t="s">
        <v>87</v>
      </c>
      <c r="L109" s="91" t="s">
        <v>451</v>
      </c>
      <c r="M109" s="91" t="s">
        <v>452</v>
      </c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spans="1:30" ht="12.75" customHeight="1" x14ac:dyDescent="0.3">
      <c r="A110" s="93" t="s">
        <v>90</v>
      </c>
      <c r="B110" s="165" t="s">
        <v>453</v>
      </c>
      <c r="C110" s="94" t="s">
        <v>42</v>
      </c>
      <c r="D110" s="162" t="str">
        <f>E108</f>
        <v>kΩ</v>
      </c>
      <c r="E110" s="161" t="s">
        <v>631</v>
      </c>
      <c r="F110" s="94">
        <f>STDEV(Data!E163:N163)/SQRT(5)</f>
        <v>0</v>
      </c>
      <c r="G110" s="94">
        <v>1</v>
      </c>
      <c r="H110" s="94">
        <f>5-1</f>
        <v>4</v>
      </c>
      <c r="I110" s="94">
        <f t="shared" ref="I110:I113" si="43">((F110)/G110)</f>
        <v>0</v>
      </c>
      <c r="J110" s="94">
        <v>1</v>
      </c>
      <c r="K110" s="94">
        <f t="shared" ref="K110:K113" si="44">I110*J110</f>
        <v>0</v>
      </c>
      <c r="L110" s="94">
        <f t="shared" ref="L110:L113" si="45">K110^2</f>
        <v>0</v>
      </c>
      <c r="M110" s="94">
        <f t="shared" ref="M110:M113" si="46">(K110^4)/H110</f>
        <v>0</v>
      </c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spans="1:30" ht="12.75" customHeight="1" x14ac:dyDescent="0.3">
      <c r="A111" s="93" t="s">
        <v>93</v>
      </c>
      <c r="B111" s="165" t="s">
        <v>454</v>
      </c>
      <c r="C111" s="94" t="s">
        <v>95</v>
      </c>
      <c r="D111" s="162" t="str">
        <f>D110</f>
        <v>kΩ</v>
      </c>
      <c r="E111" s="94" t="s">
        <v>96</v>
      </c>
      <c r="F111" s="94">
        <f>H108/2</f>
        <v>5.0000000000000001E-4</v>
      </c>
      <c r="G111" s="94">
        <f>SQRT(3)</f>
        <v>1.7320508075688772</v>
      </c>
      <c r="H111" s="94">
        <v>50</v>
      </c>
      <c r="I111" s="94">
        <f t="shared" si="43"/>
        <v>2.886751345948129E-4</v>
      </c>
      <c r="J111" s="94">
        <v>1</v>
      </c>
      <c r="K111" s="94">
        <f t="shared" si="44"/>
        <v>2.886751345948129E-4</v>
      </c>
      <c r="L111" s="94">
        <f t="shared" si="45"/>
        <v>8.3333333333333338E-8</v>
      </c>
      <c r="M111" s="94">
        <f t="shared" si="46"/>
        <v>1.388888888888889E-16</v>
      </c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spans="1:30" ht="12.75" customHeight="1" x14ac:dyDescent="0.3">
      <c r="A112" s="93" t="s">
        <v>97</v>
      </c>
      <c r="B112" s="165" t="s">
        <v>455</v>
      </c>
      <c r="C112" s="94" t="s">
        <v>95</v>
      </c>
      <c r="D112" s="162" t="str">
        <f>D110</f>
        <v>kΩ</v>
      </c>
      <c r="E112" s="94" t="s">
        <v>92</v>
      </c>
      <c r="F112" s="245">
        <f>AD39</f>
        <v>1E-4</v>
      </c>
      <c r="G112" s="94">
        <v>2</v>
      </c>
      <c r="H112" s="94">
        <v>60</v>
      </c>
      <c r="I112" s="94">
        <f t="shared" si="43"/>
        <v>5.0000000000000002E-5</v>
      </c>
      <c r="J112" s="94">
        <v>1</v>
      </c>
      <c r="K112" s="94">
        <f t="shared" si="44"/>
        <v>5.0000000000000002E-5</v>
      </c>
      <c r="L112" s="94">
        <f t="shared" si="45"/>
        <v>2.5000000000000001E-9</v>
      </c>
      <c r="M112" s="94">
        <f t="shared" si="46"/>
        <v>1.0416666666666668E-19</v>
      </c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spans="1:30" ht="12.75" customHeight="1" x14ac:dyDescent="0.3">
      <c r="A113" s="93" t="s">
        <v>99</v>
      </c>
      <c r="B113" s="165" t="s">
        <v>456</v>
      </c>
      <c r="C113" s="94" t="s">
        <v>95</v>
      </c>
      <c r="D113" s="162" t="str">
        <f>D110</f>
        <v>kΩ</v>
      </c>
      <c r="E113" s="94" t="s">
        <v>96</v>
      </c>
      <c r="F113" s="94">
        <f>U33</f>
        <v>1.2697561606636013E-4</v>
      </c>
      <c r="G113" s="94">
        <f>SQRT(3)</f>
        <v>1.7320508075688772</v>
      </c>
      <c r="H113" s="94">
        <v>50</v>
      </c>
      <c r="I113" s="94">
        <f t="shared" si="43"/>
        <v>7.3309406116431593E-5</v>
      </c>
      <c r="J113" s="94">
        <v>1</v>
      </c>
      <c r="K113" s="94">
        <f t="shared" si="44"/>
        <v>7.3309406116431593E-5</v>
      </c>
      <c r="L113" s="94">
        <f t="shared" si="45"/>
        <v>5.374269025143898E-9</v>
      </c>
      <c r="M113" s="94">
        <f t="shared" si="46"/>
        <v>5.7765535109242284E-19</v>
      </c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spans="1:30" ht="12.75" customHeight="1" x14ac:dyDescent="0.3">
      <c r="A114" s="98"/>
      <c r="B114" s="98"/>
      <c r="C114" s="98"/>
      <c r="D114" s="93"/>
      <c r="E114" s="93"/>
      <c r="F114" s="93"/>
      <c r="G114" s="93"/>
      <c r="H114" s="93"/>
      <c r="I114" s="93"/>
      <c r="J114" s="93"/>
      <c r="K114" s="93"/>
      <c r="L114" s="93"/>
      <c r="M114" s="93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spans="1:30" ht="12.75" customHeight="1" x14ac:dyDescent="0.3">
      <c r="A115" s="834" t="s">
        <v>103</v>
      </c>
      <c r="B115" s="794"/>
      <c r="C115" s="794"/>
      <c r="D115" s="794"/>
      <c r="E115" s="794"/>
      <c r="F115" s="794"/>
      <c r="G115" s="794"/>
      <c r="H115" s="794"/>
      <c r="I115" s="794"/>
      <c r="J115" s="780"/>
      <c r="K115" s="835">
        <f>SUM(L110:L114)</f>
        <v>9.1207602358477238E-8</v>
      </c>
      <c r="L115" s="780"/>
      <c r="M115" s="93">
        <f>SUM(M110:M114)</f>
        <v>1.3957071090664798E-16</v>
      </c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spans="1:30" ht="12.75" customHeight="1" x14ac:dyDescent="0.3">
      <c r="A116" s="834" t="s">
        <v>104</v>
      </c>
      <c r="B116" s="794"/>
      <c r="C116" s="794"/>
      <c r="D116" s="794"/>
      <c r="E116" s="794"/>
      <c r="F116" s="794"/>
      <c r="G116" s="794"/>
      <c r="H116" s="794"/>
      <c r="I116" s="794"/>
      <c r="J116" s="780"/>
      <c r="K116" s="835">
        <f>SQRT(K115)</f>
        <v>3.0200596411077255E-4</v>
      </c>
      <c r="L116" s="780"/>
      <c r="M116" s="93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spans="1:30" ht="12.75" customHeight="1" x14ac:dyDescent="0.3">
      <c r="A117" s="834" t="s">
        <v>457</v>
      </c>
      <c r="B117" s="794"/>
      <c r="C117" s="794"/>
      <c r="D117" s="794"/>
      <c r="E117" s="794"/>
      <c r="F117" s="794"/>
      <c r="G117" s="794"/>
      <c r="H117" s="794"/>
      <c r="I117" s="794"/>
      <c r="J117" s="780"/>
      <c r="K117" s="99">
        <f>(K116^4)/M115</f>
        <v>59.602954473350493</v>
      </c>
      <c r="L117" s="101"/>
      <c r="M117" s="93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spans="1:30" ht="12.75" customHeight="1" x14ac:dyDescent="0.3">
      <c r="A118" s="834" t="s">
        <v>458</v>
      </c>
      <c r="B118" s="794"/>
      <c r="C118" s="794"/>
      <c r="D118" s="794"/>
      <c r="E118" s="794"/>
      <c r="F118" s="794"/>
      <c r="G118" s="794"/>
      <c r="H118" s="794"/>
      <c r="I118" s="794"/>
      <c r="J118" s="780"/>
      <c r="K118" s="99">
        <f>1.95996+2.37356/K117+2.818745/K117^2+2.546662/K117^3+1.761829/K117^4+0.245458/K117^5+1.000764/K117^6</f>
        <v>2.0005884765582485</v>
      </c>
      <c r="L118" s="101">
        <v>2</v>
      </c>
      <c r="M118" s="93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spans="1:30" ht="12.75" customHeight="1" x14ac:dyDescent="0.3">
      <c r="A119" s="834" t="s">
        <v>107</v>
      </c>
      <c r="B119" s="794"/>
      <c r="C119" s="794"/>
      <c r="D119" s="794"/>
      <c r="E119" s="794"/>
      <c r="F119" s="794"/>
      <c r="G119" s="794"/>
      <c r="H119" s="794"/>
      <c r="I119" s="794"/>
      <c r="J119" s="780"/>
      <c r="K119" s="99">
        <f>K118*K116</f>
        <v>6.0418965165187546E-4</v>
      </c>
      <c r="L119" s="101">
        <f>L118*K116</f>
        <v>6.0401192822154509E-4</v>
      </c>
      <c r="M119" s="93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spans="1:30" ht="12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spans="1:30" ht="12.75" customHeight="1" x14ac:dyDescent="0.3">
      <c r="A121" s="48" t="s">
        <v>76</v>
      </c>
      <c r="B121" s="48"/>
      <c r="C121" s="48"/>
      <c r="D121" s="48">
        <f t="shared" ref="D121:E121" si="47">A$8</f>
        <v>60</v>
      </c>
      <c r="E121" s="48" t="str">
        <f t="shared" si="47"/>
        <v>kΩ</v>
      </c>
      <c r="F121" s="4"/>
      <c r="G121" s="82"/>
      <c r="H121" s="12"/>
      <c r="I121" s="12"/>
      <c r="J121" s="12"/>
      <c r="K121" s="12"/>
      <c r="L121" s="12"/>
      <c r="M121" s="291" t="str">
        <f>M$37</f>
        <v>Resistance-Measure</v>
      </c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spans="1:30" ht="12.75" customHeight="1" x14ac:dyDescent="0.3">
      <c r="A122" s="84" t="s">
        <v>2</v>
      </c>
      <c r="B122" s="85"/>
      <c r="C122" s="85"/>
      <c r="D122" s="167">
        <f t="shared" ref="D122:E122" si="48">C8</f>
        <v>6</v>
      </c>
      <c r="E122" s="4" t="str">
        <f t="shared" si="48"/>
        <v>kΩ</v>
      </c>
      <c r="F122" s="111"/>
      <c r="G122" s="90"/>
      <c r="H122" s="90">
        <v>0.01</v>
      </c>
      <c r="I122" s="90"/>
      <c r="J122" s="90"/>
      <c r="K122" s="90"/>
      <c r="L122" s="90"/>
      <c r="M122" s="76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spans="1:30" ht="12.75" customHeight="1" x14ac:dyDescent="0.3">
      <c r="A123" s="91" t="s">
        <v>78</v>
      </c>
      <c r="B123" s="91" t="s">
        <v>79</v>
      </c>
      <c r="C123" s="91" t="s">
        <v>410</v>
      </c>
      <c r="D123" s="91" t="s">
        <v>80</v>
      </c>
      <c r="E123" s="91" t="s">
        <v>81</v>
      </c>
      <c r="F123" s="92" t="s">
        <v>82</v>
      </c>
      <c r="G123" s="91" t="s">
        <v>83</v>
      </c>
      <c r="H123" s="91" t="s">
        <v>84</v>
      </c>
      <c r="I123" s="91" t="s">
        <v>85</v>
      </c>
      <c r="J123" s="91" t="s">
        <v>86</v>
      </c>
      <c r="K123" s="91" t="s">
        <v>87</v>
      </c>
      <c r="L123" s="91" t="s">
        <v>459</v>
      </c>
      <c r="M123" s="91" t="s">
        <v>460</v>
      </c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spans="1:30" ht="12.75" customHeight="1" x14ac:dyDescent="0.3">
      <c r="A124" s="93" t="s">
        <v>90</v>
      </c>
      <c r="B124" s="165" t="s">
        <v>461</v>
      </c>
      <c r="C124" s="94" t="s">
        <v>42</v>
      </c>
      <c r="D124" s="162" t="str">
        <f>E122</f>
        <v>kΩ</v>
      </c>
      <c r="E124" s="161" t="s">
        <v>631</v>
      </c>
      <c r="F124" s="94">
        <f>STDEV(Data!E165:N165)/SQRT(5)</f>
        <v>0</v>
      </c>
      <c r="G124" s="94">
        <v>1</v>
      </c>
      <c r="H124" s="94">
        <f>5-1</f>
        <v>4</v>
      </c>
      <c r="I124" s="94">
        <f t="shared" ref="I124:I127" si="49">((F124)/G124)</f>
        <v>0</v>
      </c>
      <c r="J124" s="94">
        <v>1</v>
      </c>
      <c r="K124" s="94">
        <f t="shared" ref="K124:K127" si="50">I124*J124</f>
        <v>0</v>
      </c>
      <c r="L124" s="94">
        <f t="shared" ref="L124:L127" si="51">K124^2</f>
        <v>0</v>
      </c>
      <c r="M124" s="94">
        <f t="shared" ref="M124:M127" si="52">(K124^4)/H124</f>
        <v>0</v>
      </c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spans="1:30" ht="12.75" customHeight="1" x14ac:dyDescent="0.3">
      <c r="A125" s="93" t="s">
        <v>93</v>
      </c>
      <c r="B125" s="165" t="s">
        <v>462</v>
      </c>
      <c r="C125" s="94" t="s">
        <v>95</v>
      </c>
      <c r="D125" s="162" t="str">
        <f>D124</f>
        <v>kΩ</v>
      </c>
      <c r="E125" s="94" t="s">
        <v>96</v>
      </c>
      <c r="F125" s="94">
        <f>H122/2</f>
        <v>5.0000000000000001E-3</v>
      </c>
      <c r="G125" s="94">
        <f>SQRT(3)</f>
        <v>1.7320508075688772</v>
      </c>
      <c r="H125" s="94">
        <v>50</v>
      </c>
      <c r="I125" s="94">
        <f t="shared" si="49"/>
        <v>2.886751345948129E-3</v>
      </c>
      <c r="J125" s="94">
        <v>1</v>
      </c>
      <c r="K125" s="94">
        <f t="shared" si="50"/>
        <v>2.886751345948129E-3</v>
      </c>
      <c r="L125" s="94">
        <f t="shared" si="51"/>
        <v>8.3333333333333337E-6</v>
      </c>
      <c r="M125" s="94">
        <f t="shared" si="52"/>
        <v>1.3888888888888891E-12</v>
      </c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spans="1:30" ht="12.75" customHeight="1" x14ac:dyDescent="0.3">
      <c r="A126" s="93" t="s">
        <v>97</v>
      </c>
      <c r="B126" s="165" t="s">
        <v>463</v>
      </c>
      <c r="C126" s="94" t="s">
        <v>95</v>
      </c>
      <c r="D126" s="162" t="str">
        <f>D124</f>
        <v>kΩ</v>
      </c>
      <c r="E126" s="94" t="s">
        <v>92</v>
      </c>
      <c r="F126" s="245">
        <f>AD39</f>
        <v>1E-4</v>
      </c>
      <c r="G126" s="94">
        <v>2</v>
      </c>
      <c r="H126" s="94">
        <v>60</v>
      </c>
      <c r="I126" s="94">
        <f t="shared" si="49"/>
        <v>5.0000000000000002E-5</v>
      </c>
      <c r="J126" s="94">
        <v>1</v>
      </c>
      <c r="K126" s="94">
        <f t="shared" si="50"/>
        <v>5.0000000000000002E-5</v>
      </c>
      <c r="L126" s="94">
        <f t="shared" si="51"/>
        <v>2.5000000000000001E-9</v>
      </c>
      <c r="M126" s="94">
        <f t="shared" si="52"/>
        <v>1.0416666666666668E-19</v>
      </c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spans="1:30" ht="12.75" customHeight="1" x14ac:dyDescent="0.3">
      <c r="A127" s="93" t="s">
        <v>99</v>
      </c>
      <c r="B127" s="165" t="s">
        <v>464</v>
      </c>
      <c r="C127" s="94" t="s">
        <v>95</v>
      </c>
      <c r="D127" s="162" t="str">
        <f>D124</f>
        <v>kΩ</v>
      </c>
      <c r="E127" s="94" t="s">
        <v>96</v>
      </c>
      <c r="F127" s="94">
        <f>U34</f>
        <v>1.2243602615891482E-4</v>
      </c>
      <c r="G127" s="94">
        <f>SQRT(3)</f>
        <v>1.7320508075688772</v>
      </c>
      <c r="H127" s="94">
        <v>50</v>
      </c>
      <c r="I127" s="94">
        <f t="shared" si="49"/>
        <v>7.0688472661357534E-5</v>
      </c>
      <c r="J127" s="94">
        <v>1</v>
      </c>
      <c r="K127" s="94">
        <f t="shared" si="50"/>
        <v>7.0688472661357534E-5</v>
      </c>
      <c r="L127" s="94">
        <f t="shared" si="51"/>
        <v>4.9968601671954919E-9</v>
      </c>
      <c r="M127" s="94">
        <f t="shared" si="52"/>
        <v>4.9937223061009919E-19</v>
      </c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spans="1:30" ht="12.75" customHeight="1" x14ac:dyDescent="0.3">
      <c r="A128" s="98"/>
      <c r="B128" s="98"/>
      <c r="C128" s="98"/>
      <c r="D128" s="93"/>
      <c r="E128" s="93"/>
      <c r="F128" s="93"/>
      <c r="G128" s="93"/>
      <c r="H128" s="93"/>
      <c r="I128" s="93"/>
      <c r="J128" s="93"/>
      <c r="K128" s="93"/>
      <c r="L128" s="93"/>
      <c r="M128" s="93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spans="1:30" ht="12.75" customHeight="1" x14ac:dyDescent="0.3">
      <c r="A129" s="834" t="s">
        <v>103</v>
      </c>
      <c r="B129" s="794"/>
      <c r="C129" s="794"/>
      <c r="D129" s="794"/>
      <c r="E129" s="794"/>
      <c r="F129" s="794"/>
      <c r="G129" s="794"/>
      <c r="H129" s="794"/>
      <c r="I129" s="794"/>
      <c r="J129" s="780"/>
      <c r="K129" s="835">
        <f>SUM(L124:L128)</f>
        <v>8.34083019350053E-6</v>
      </c>
      <c r="L129" s="780"/>
      <c r="M129" s="93">
        <f>SUM(M124:M128)</f>
        <v>1.3888894924277864E-12</v>
      </c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spans="1:30" ht="12.75" customHeight="1" x14ac:dyDescent="0.3">
      <c r="A130" s="834" t="s">
        <v>104</v>
      </c>
      <c r="B130" s="794"/>
      <c r="C130" s="794"/>
      <c r="D130" s="794"/>
      <c r="E130" s="794"/>
      <c r="F130" s="794"/>
      <c r="G130" s="794"/>
      <c r="H130" s="794"/>
      <c r="I130" s="794"/>
      <c r="J130" s="780"/>
      <c r="K130" s="835">
        <f>SQRT(K129)</f>
        <v>2.8880495483112004E-3</v>
      </c>
      <c r="L130" s="780"/>
      <c r="M130" s="93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spans="1:30" ht="12.75" customHeight="1" x14ac:dyDescent="0.3">
      <c r="A131" s="834" t="s">
        <v>465</v>
      </c>
      <c r="B131" s="794"/>
      <c r="C131" s="794"/>
      <c r="D131" s="794"/>
      <c r="E131" s="794"/>
      <c r="F131" s="794"/>
      <c r="G131" s="794"/>
      <c r="H131" s="794"/>
      <c r="I131" s="794"/>
      <c r="J131" s="780"/>
      <c r="K131" s="99">
        <f>(K130^4)/M129</f>
        <v>50.089981021601858</v>
      </c>
      <c r="L131" s="101"/>
      <c r="M131" s="93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spans="1:30" ht="12.75" customHeight="1" x14ac:dyDescent="0.3">
      <c r="A132" s="834" t="s">
        <v>466</v>
      </c>
      <c r="B132" s="794"/>
      <c r="C132" s="794"/>
      <c r="D132" s="794"/>
      <c r="E132" s="794"/>
      <c r="F132" s="794"/>
      <c r="G132" s="794"/>
      <c r="H132" s="794"/>
      <c r="I132" s="794"/>
      <c r="J132" s="780"/>
      <c r="K132" s="99">
        <f>1.95996+2.37356/K131+2.818745/K131^2+2.546662/K131^3+1.761829/K131^4+0.245458/K131^5+1.000764/K131^6</f>
        <v>2.0084899185281935</v>
      </c>
      <c r="L132" s="101">
        <v>2</v>
      </c>
      <c r="M132" s="93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spans="1:30" ht="12.75" customHeight="1" x14ac:dyDescent="0.3">
      <c r="A133" s="834" t="s">
        <v>107</v>
      </c>
      <c r="B133" s="794"/>
      <c r="C133" s="794"/>
      <c r="D133" s="794"/>
      <c r="E133" s="794"/>
      <c r="F133" s="794"/>
      <c r="G133" s="794"/>
      <c r="H133" s="794"/>
      <c r="I133" s="794"/>
      <c r="J133" s="780"/>
      <c r="K133" s="99">
        <f>K132*K130</f>
        <v>5.8006184019929489E-3</v>
      </c>
      <c r="L133" s="101">
        <f>L132*K130</f>
        <v>5.7760990966224009E-3</v>
      </c>
      <c r="M133" s="93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spans="1:30" ht="12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spans="1:30" ht="12.75" customHeight="1" x14ac:dyDescent="0.3">
      <c r="A135" s="48" t="s">
        <v>76</v>
      </c>
      <c r="B135" s="48"/>
      <c r="C135" s="48"/>
      <c r="D135" s="48">
        <f t="shared" ref="D135:E135" si="53">A$8</f>
        <v>60</v>
      </c>
      <c r="E135" s="48" t="str">
        <f t="shared" si="53"/>
        <v>kΩ</v>
      </c>
      <c r="F135" s="4"/>
      <c r="G135" s="82"/>
      <c r="H135" s="12"/>
      <c r="I135" s="12"/>
      <c r="J135" s="12"/>
      <c r="K135" s="12"/>
      <c r="L135" s="12"/>
      <c r="M135" s="291" t="str">
        <f>M$37</f>
        <v>Resistance-Measure</v>
      </c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spans="1:30" ht="12.75" customHeight="1" x14ac:dyDescent="0.3">
      <c r="A136" s="84" t="s">
        <v>2</v>
      </c>
      <c r="B136" s="85"/>
      <c r="C136" s="85"/>
      <c r="D136" s="167">
        <f t="shared" ref="D136:E136" si="54">C9</f>
        <v>30</v>
      </c>
      <c r="E136" s="4" t="str">
        <f t="shared" si="54"/>
        <v>kΩ</v>
      </c>
      <c r="F136" s="111"/>
      <c r="G136" s="90"/>
      <c r="H136" s="90">
        <v>0.01</v>
      </c>
      <c r="I136" s="90"/>
      <c r="J136" s="90"/>
      <c r="K136" s="90"/>
      <c r="L136" s="90"/>
      <c r="M136" s="76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spans="1:30" ht="12.75" customHeight="1" x14ac:dyDescent="0.3">
      <c r="A137" s="91" t="s">
        <v>78</v>
      </c>
      <c r="B137" s="91" t="s">
        <v>79</v>
      </c>
      <c r="C137" s="91" t="s">
        <v>410</v>
      </c>
      <c r="D137" s="91" t="s">
        <v>80</v>
      </c>
      <c r="E137" s="91" t="s">
        <v>81</v>
      </c>
      <c r="F137" s="92" t="s">
        <v>82</v>
      </c>
      <c r="G137" s="91" t="s">
        <v>83</v>
      </c>
      <c r="H137" s="91" t="s">
        <v>84</v>
      </c>
      <c r="I137" s="91" t="s">
        <v>85</v>
      </c>
      <c r="J137" s="91" t="s">
        <v>86</v>
      </c>
      <c r="K137" s="91" t="s">
        <v>87</v>
      </c>
      <c r="L137" s="91" t="s">
        <v>467</v>
      </c>
      <c r="M137" s="91" t="s">
        <v>468</v>
      </c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spans="1:30" ht="12.75" customHeight="1" x14ac:dyDescent="0.3">
      <c r="A138" s="93" t="s">
        <v>90</v>
      </c>
      <c r="B138" s="165" t="s">
        <v>469</v>
      </c>
      <c r="C138" s="94" t="s">
        <v>42</v>
      </c>
      <c r="D138" s="162" t="str">
        <f>E136</f>
        <v>kΩ</v>
      </c>
      <c r="E138" s="161" t="s">
        <v>631</v>
      </c>
      <c r="F138" s="94">
        <f>STDEV(Data!E166:N166)/SQRT(5)</f>
        <v>0</v>
      </c>
      <c r="G138" s="94">
        <v>1</v>
      </c>
      <c r="H138" s="94">
        <f>5-1</f>
        <v>4</v>
      </c>
      <c r="I138" s="94">
        <f t="shared" ref="I138:I141" si="55">((F138)/G138)</f>
        <v>0</v>
      </c>
      <c r="J138" s="94">
        <v>1</v>
      </c>
      <c r="K138" s="94">
        <f t="shared" ref="K138:K141" si="56">I138*J138</f>
        <v>0</v>
      </c>
      <c r="L138" s="94">
        <f t="shared" ref="L138:L141" si="57">K138^2</f>
        <v>0</v>
      </c>
      <c r="M138" s="94">
        <f t="shared" ref="M138:M141" si="58">(K138^4)/H138</f>
        <v>0</v>
      </c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spans="1:30" ht="12.75" customHeight="1" x14ac:dyDescent="0.3">
      <c r="A139" s="93" t="s">
        <v>93</v>
      </c>
      <c r="B139" s="165" t="s">
        <v>470</v>
      </c>
      <c r="C139" s="94" t="s">
        <v>95</v>
      </c>
      <c r="D139" s="162" t="str">
        <f>D138</f>
        <v>kΩ</v>
      </c>
      <c r="E139" s="94" t="s">
        <v>96</v>
      </c>
      <c r="F139" s="94">
        <f>H136/2</f>
        <v>5.0000000000000001E-3</v>
      </c>
      <c r="G139" s="94">
        <f>SQRT(3)</f>
        <v>1.7320508075688772</v>
      </c>
      <c r="H139" s="94">
        <v>50</v>
      </c>
      <c r="I139" s="94">
        <f t="shared" si="55"/>
        <v>2.886751345948129E-3</v>
      </c>
      <c r="J139" s="94">
        <v>1</v>
      </c>
      <c r="K139" s="94">
        <f t="shared" si="56"/>
        <v>2.886751345948129E-3</v>
      </c>
      <c r="L139" s="94">
        <f t="shared" si="57"/>
        <v>8.3333333333333337E-6</v>
      </c>
      <c r="M139" s="94">
        <f t="shared" si="58"/>
        <v>1.3888888888888891E-12</v>
      </c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spans="1:30" ht="12.75" customHeight="1" x14ac:dyDescent="0.3">
      <c r="A140" s="93" t="s">
        <v>97</v>
      </c>
      <c r="B140" s="165" t="s">
        <v>471</v>
      </c>
      <c r="C140" s="94" t="s">
        <v>95</v>
      </c>
      <c r="D140" s="162" t="str">
        <f>D138</f>
        <v>kΩ</v>
      </c>
      <c r="E140" s="94" t="s">
        <v>92</v>
      </c>
      <c r="F140" s="96">
        <f>AD42</f>
        <v>1.2999999999999999E-3</v>
      </c>
      <c r="G140" s="94">
        <v>2</v>
      </c>
      <c r="H140" s="94">
        <v>60</v>
      </c>
      <c r="I140" s="94">
        <f t="shared" si="55"/>
        <v>6.4999999999999997E-4</v>
      </c>
      <c r="J140" s="94">
        <v>1</v>
      </c>
      <c r="K140" s="94">
        <f t="shared" si="56"/>
        <v>6.4999999999999997E-4</v>
      </c>
      <c r="L140" s="94">
        <f t="shared" si="57"/>
        <v>4.2249999999999998E-7</v>
      </c>
      <c r="M140" s="94">
        <f t="shared" si="58"/>
        <v>2.9751041666666661E-15</v>
      </c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spans="1:30" ht="12.75" customHeight="1" x14ac:dyDescent="0.3">
      <c r="A141" s="93" t="s">
        <v>99</v>
      </c>
      <c r="B141" s="165" t="s">
        <v>472</v>
      </c>
      <c r="C141" s="94" t="s">
        <v>95</v>
      </c>
      <c r="D141" s="162" t="str">
        <f>D138</f>
        <v>kΩ</v>
      </c>
      <c r="E141" s="94" t="s">
        <v>96</v>
      </c>
      <c r="F141" s="94">
        <f>U35</f>
        <v>3.9756823025755478E-2</v>
      </c>
      <c r="G141" s="94">
        <f>SQRT(3)</f>
        <v>1.7320508075688772</v>
      </c>
      <c r="H141" s="94">
        <v>50</v>
      </c>
      <c r="I141" s="94">
        <f t="shared" si="55"/>
        <v>2.2953612476044237E-2</v>
      </c>
      <c r="J141" s="94">
        <v>1</v>
      </c>
      <c r="K141" s="94">
        <f t="shared" si="56"/>
        <v>2.2953612476044237E-2</v>
      </c>
      <c r="L141" s="94">
        <f t="shared" si="57"/>
        <v>5.2686832570041369E-4</v>
      </c>
      <c r="M141" s="94">
        <f t="shared" si="58"/>
        <v>5.5518046525271439E-9</v>
      </c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spans="1:30" ht="12.75" customHeight="1" x14ac:dyDescent="0.3">
      <c r="A142" s="98"/>
      <c r="B142" s="98"/>
      <c r="C142" s="98"/>
      <c r="D142" s="93"/>
      <c r="E142" s="93"/>
      <c r="F142" s="93"/>
      <c r="G142" s="93"/>
      <c r="H142" s="93"/>
      <c r="I142" s="93"/>
      <c r="J142" s="93"/>
      <c r="K142" s="93"/>
      <c r="L142" s="93"/>
      <c r="M142" s="93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spans="1:30" ht="12.75" customHeight="1" x14ac:dyDescent="0.3">
      <c r="A143" s="834" t="s">
        <v>103</v>
      </c>
      <c r="B143" s="794"/>
      <c r="C143" s="794"/>
      <c r="D143" s="794"/>
      <c r="E143" s="794"/>
      <c r="F143" s="794"/>
      <c r="G143" s="794"/>
      <c r="H143" s="794"/>
      <c r="I143" s="794"/>
      <c r="J143" s="780"/>
      <c r="K143" s="835">
        <f>SUM(L138:L142)</f>
        <v>5.3562415903374706E-4</v>
      </c>
      <c r="L143" s="780"/>
      <c r="M143" s="93">
        <f>SUM(M138:M142)</f>
        <v>5.5531965165201997E-9</v>
      </c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spans="1:30" ht="12.75" customHeight="1" x14ac:dyDescent="0.3">
      <c r="A144" s="834" t="s">
        <v>104</v>
      </c>
      <c r="B144" s="794"/>
      <c r="C144" s="794"/>
      <c r="D144" s="794"/>
      <c r="E144" s="794"/>
      <c r="F144" s="794"/>
      <c r="G144" s="794"/>
      <c r="H144" s="794"/>
      <c r="I144" s="794"/>
      <c r="J144" s="780"/>
      <c r="K144" s="835">
        <f>SQRT(K143)</f>
        <v>2.3143555453597597E-2</v>
      </c>
      <c r="L144" s="780"/>
      <c r="M144" s="93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spans="1:30" ht="12.75" customHeight="1" x14ac:dyDescent="0.3">
      <c r="A145" s="834" t="s">
        <v>473</v>
      </c>
      <c r="B145" s="794"/>
      <c r="C145" s="794"/>
      <c r="D145" s="794"/>
      <c r="E145" s="794"/>
      <c r="F145" s="794"/>
      <c r="G145" s="794"/>
      <c r="H145" s="794"/>
      <c r="I145" s="794"/>
      <c r="J145" s="780"/>
      <c r="K145" s="99">
        <f>(K144^4)/M143</f>
        <v>51.662720540706651</v>
      </c>
      <c r="L145" s="101"/>
      <c r="M145" s="93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spans="1:30" ht="12.75" customHeight="1" x14ac:dyDescent="0.3">
      <c r="A146" s="834" t="s">
        <v>474</v>
      </c>
      <c r="B146" s="794"/>
      <c r="C146" s="794"/>
      <c r="D146" s="794"/>
      <c r="E146" s="794"/>
      <c r="F146" s="794"/>
      <c r="G146" s="794"/>
      <c r="H146" s="794"/>
      <c r="I146" s="794"/>
      <c r="J146" s="780"/>
      <c r="K146" s="99">
        <f>1.95996+2.37356/K145+2.818745/K145^2+2.546662/K145^3+1.761829/K145^4+0.245458/K145^5+1.000764/K145^6</f>
        <v>2.0069781876035342</v>
      </c>
      <c r="L146" s="101">
        <v>2</v>
      </c>
      <c r="M146" s="93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spans="1:30" ht="12.75" customHeight="1" x14ac:dyDescent="0.3">
      <c r="A147" s="834" t="s">
        <v>107</v>
      </c>
      <c r="B147" s="794"/>
      <c r="C147" s="794"/>
      <c r="D147" s="794"/>
      <c r="E147" s="794"/>
      <c r="F147" s="794"/>
      <c r="G147" s="794"/>
      <c r="H147" s="794"/>
      <c r="I147" s="794"/>
      <c r="J147" s="780"/>
      <c r="K147" s="99">
        <f>K146*K144</f>
        <v>4.6448610978963197E-2</v>
      </c>
      <c r="L147" s="101">
        <f>L146*K144</f>
        <v>4.6287110907195193E-2</v>
      </c>
      <c r="M147" s="93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spans="1:30" ht="12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spans="1:30" ht="12.75" customHeight="1" x14ac:dyDescent="0.3">
      <c r="A149" s="48" t="s">
        <v>76</v>
      </c>
      <c r="B149" s="48"/>
      <c r="C149" s="48"/>
      <c r="D149" s="48">
        <f t="shared" ref="D149:E149" si="59">A$8</f>
        <v>60</v>
      </c>
      <c r="E149" s="48" t="str">
        <f t="shared" si="59"/>
        <v>kΩ</v>
      </c>
      <c r="F149" s="4"/>
      <c r="G149" s="82"/>
      <c r="H149" s="12"/>
      <c r="I149" s="12"/>
      <c r="J149" s="12"/>
      <c r="K149" s="12"/>
      <c r="L149" s="12"/>
      <c r="M149" s="291" t="str">
        <f>M$37</f>
        <v>Resistance-Measure</v>
      </c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spans="1:30" ht="12.75" customHeight="1" x14ac:dyDescent="0.3">
      <c r="A150" s="84" t="s">
        <v>2</v>
      </c>
      <c r="B150" s="85"/>
      <c r="C150" s="85"/>
      <c r="D150" s="157">
        <f t="shared" ref="D150:E150" si="60">C10</f>
        <v>54</v>
      </c>
      <c r="E150" s="4" t="str">
        <f t="shared" si="60"/>
        <v>kΩ</v>
      </c>
      <c r="F150" s="111"/>
      <c r="G150" s="90"/>
      <c r="H150" s="90">
        <v>0.01</v>
      </c>
      <c r="I150" s="90"/>
      <c r="J150" s="90"/>
      <c r="K150" s="90"/>
      <c r="L150" s="90"/>
      <c r="M150" s="76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spans="1:30" ht="12.75" customHeight="1" x14ac:dyDescent="0.3">
      <c r="A151" s="91" t="s">
        <v>78</v>
      </c>
      <c r="B151" s="91" t="s">
        <v>79</v>
      </c>
      <c r="C151" s="91" t="s">
        <v>410</v>
      </c>
      <c r="D151" s="91" t="s">
        <v>80</v>
      </c>
      <c r="E151" s="91" t="s">
        <v>81</v>
      </c>
      <c r="F151" s="92" t="s">
        <v>82</v>
      </c>
      <c r="G151" s="91" t="s">
        <v>83</v>
      </c>
      <c r="H151" s="91" t="s">
        <v>84</v>
      </c>
      <c r="I151" s="91" t="s">
        <v>85</v>
      </c>
      <c r="J151" s="91" t="s">
        <v>86</v>
      </c>
      <c r="K151" s="91" t="s">
        <v>87</v>
      </c>
      <c r="L151" s="91" t="s">
        <v>475</v>
      </c>
      <c r="M151" s="91" t="s">
        <v>476</v>
      </c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spans="1:30" ht="12.75" customHeight="1" x14ac:dyDescent="0.3">
      <c r="A152" s="93" t="s">
        <v>90</v>
      </c>
      <c r="B152" s="165" t="s">
        <v>477</v>
      </c>
      <c r="C152" s="94" t="s">
        <v>42</v>
      </c>
      <c r="D152" s="162" t="str">
        <f>E150</f>
        <v>kΩ</v>
      </c>
      <c r="E152" s="161" t="s">
        <v>631</v>
      </c>
      <c r="F152" s="94">
        <f>STDEV(Data!E167:N167)/SQRT(5)</f>
        <v>3.5527136788005009E-15</v>
      </c>
      <c r="G152" s="94">
        <v>1</v>
      </c>
      <c r="H152" s="94">
        <f>5-1</f>
        <v>4</v>
      </c>
      <c r="I152" s="94">
        <f t="shared" ref="I152:I155" si="61">((F152)/G152)</f>
        <v>3.5527136788005009E-15</v>
      </c>
      <c r="J152" s="94">
        <v>1</v>
      </c>
      <c r="K152" s="94">
        <f t="shared" ref="K152:K155" si="62">I152*J152</f>
        <v>3.5527136788005009E-15</v>
      </c>
      <c r="L152" s="94">
        <f t="shared" ref="L152:L155" si="63">K152^2</f>
        <v>1.2621774483536189E-29</v>
      </c>
      <c r="M152" s="94">
        <f t="shared" ref="M152:M155" si="64">(K152^4)/H152</f>
        <v>3.9827297778311307E-59</v>
      </c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spans="1:30" ht="12.75" customHeight="1" x14ac:dyDescent="0.3">
      <c r="A153" s="93" t="s">
        <v>93</v>
      </c>
      <c r="B153" s="165" t="s">
        <v>478</v>
      </c>
      <c r="C153" s="94" t="s">
        <v>95</v>
      </c>
      <c r="D153" s="162" t="str">
        <f>D152</f>
        <v>kΩ</v>
      </c>
      <c r="E153" s="94" t="s">
        <v>96</v>
      </c>
      <c r="F153" s="94">
        <f>H150/2</f>
        <v>5.0000000000000001E-3</v>
      </c>
      <c r="G153" s="94">
        <f>SQRT(3)</f>
        <v>1.7320508075688772</v>
      </c>
      <c r="H153" s="94">
        <v>50</v>
      </c>
      <c r="I153" s="94">
        <f t="shared" si="61"/>
        <v>2.886751345948129E-3</v>
      </c>
      <c r="J153" s="94">
        <v>1</v>
      </c>
      <c r="K153" s="94">
        <f t="shared" si="62"/>
        <v>2.886751345948129E-3</v>
      </c>
      <c r="L153" s="94">
        <f t="shared" si="63"/>
        <v>8.3333333333333337E-6</v>
      </c>
      <c r="M153" s="94">
        <f t="shared" si="64"/>
        <v>1.3888888888888891E-12</v>
      </c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spans="1:30" ht="12.75" customHeight="1" x14ac:dyDescent="0.3">
      <c r="A154" s="93" t="s">
        <v>97</v>
      </c>
      <c r="B154" s="165" t="s">
        <v>479</v>
      </c>
      <c r="C154" s="94" t="s">
        <v>95</v>
      </c>
      <c r="D154" s="162" t="str">
        <f>D152</f>
        <v>kΩ</v>
      </c>
      <c r="E154" s="94" t="s">
        <v>92</v>
      </c>
      <c r="F154" s="96">
        <f>AD42</f>
        <v>1.2999999999999999E-3</v>
      </c>
      <c r="G154" s="94">
        <v>2</v>
      </c>
      <c r="H154" s="94">
        <v>60</v>
      </c>
      <c r="I154" s="94">
        <f t="shared" si="61"/>
        <v>6.4999999999999997E-4</v>
      </c>
      <c r="J154" s="94">
        <v>1</v>
      </c>
      <c r="K154" s="94">
        <f t="shared" si="62"/>
        <v>6.4999999999999997E-4</v>
      </c>
      <c r="L154" s="94">
        <f t="shared" si="63"/>
        <v>4.2249999999999998E-7</v>
      </c>
      <c r="M154" s="94">
        <f t="shared" si="64"/>
        <v>2.9751041666666661E-15</v>
      </c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spans="1:30" ht="12.75" customHeight="1" x14ac:dyDescent="0.3">
      <c r="A155" s="93" t="s">
        <v>99</v>
      </c>
      <c r="B155" s="165" t="s">
        <v>480</v>
      </c>
      <c r="C155" s="94" t="s">
        <v>95</v>
      </c>
      <c r="D155" s="162" t="str">
        <f>D152</f>
        <v>kΩ</v>
      </c>
      <c r="E155" s="94" t="s">
        <v>96</v>
      </c>
      <c r="F155" s="94">
        <f>U36</f>
        <v>3.962298339227735E-2</v>
      </c>
      <c r="G155" s="94">
        <f>SQRT(3)</f>
        <v>1.7320508075688772</v>
      </c>
      <c r="H155" s="94">
        <v>50</v>
      </c>
      <c r="I155" s="94">
        <f t="shared" si="61"/>
        <v>2.28763401276274E-2</v>
      </c>
      <c r="J155" s="94">
        <v>1</v>
      </c>
      <c r="K155" s="94">
        <f t="shared" si="62"/>
        <v>2.28763401276274E-2</v>
      </c>
      <c r="L155" s="94">
        <f t="shared" si="63"/>
        <v>5.2332693763489557E-4</v>
      </c>
      <c r="M155" s="94">
        <f t="shared" si="64"/>
        <v>5.4774216730863574E-9</v>
      </c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spans="1:30" ht="12.75" customHeight="1" x14ac:dyDescent="0.3">
      <c r="A156" s="98"/>
      <c r="B156" s="98"/>
      <c r="C156" s="98"/>
      <c r="D156" s="93"/>
      <c r="E156" s="93"/>
      <c r="F156" s="93"/>
      <c r="G156" s="93"/>
      <c r="H156" s="93"/>
      <c r="I156" s="93"/>
      <c r="J156" s="93"/>
      <c r="K156" s="93"/>
      <c r="L156" s="93"/>
      <c r="M156" s="93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spans="1:30" ht="12.75" customHeight="1" x14ac:dyDescent="0.3">
      <c r="A157" s="834" t="s">
        <v>103</v>
      </c>
      <c r="B157" s="794"/>
      <c r="C157" s="794"/>
      <c r="D157" s="794"/>
      <c r="E157" s="794"/>
      <c r="F157" s="794"/>
      <c r="G157" s="794"/>
      <c r="H157" s="794"/>
      <c r="I157" s="794"/>
      <c r="J157" s="780"/>
      <c r="K157" s="835">
        <f>SUM(L152:L156)</f>
        <v>5.3208277096822895E-4</v>
      </c>
      <c r="L157" s="780"/>
      <c r="M157" s="93">
        <f>SUM(M152:M156)</f>
        <v>5.4788135370794131E-9</v>
      </c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spans="1:30" ht="12.75" customHeight="1" x14ac:dyDescent="0.3">
      <c r="A158" s="834" t="s">
        <v>104</v>
      </c>
      <c r="B158" s="794"/>
      <c r="C158" s="794"/>
      <c r="D158" s="794"/>
      <c r="E158" s="794"/>
      <c r="F158" s="794"/>
      <c r="G158" s="794"/>
      <c r="H158" s="794"/>
      <c r="I158" s="794"/>
      <c r="J158" s="780"/>
      <c r="K158" s="835">
        <f>SQRT(K157)</f>
        <v>2.306691940784961E-2</v>
      </c>
      <c r="L158" s="780"/>
      <c r="M158" s="93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spans="1:30" ht="12.75" customHeight="1" x14ac:dyDescent="0.3">
      <c r="A159" s="834" t="s">
        <v>481</v>
      </c>
      <c r="B159" s="794"/>
      <c r="C159" s="794"/>
      <c r="D159" s="794"/>
      <c r="E159" s="794"/>
      <c r="F159" s="794"/>
      <c r="G159" s="794"/>
      <c r="H159" s="794"/>
      <c r="I159" s="794"/>
      <c r="J159" s="780"/>
      <c r="K159" s="99">
        <f>(K158^4)/M157</f>
        <v>51.673975258546051</v>
      </c>
      <c r="L159" s="101"/>
      <c r="M159" s="93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spans="1:30" ht="12.75" customHeight="1" x14ac:dyDescent="0.3">
      <c r="A160" s="834" t="s">
        <v>482</v>
      </c>
      <c r="B160" s="794"/>
      <c r="C160" s="794"/>
      <c r="D160" s="794"/>
      <c r="E160" s="794"/>
      <c r="F160" s="794"/>
      <c r="G160" s="794"/>
      <c r="H160" s="794"/>
      <c r="I160" s="794"/>
      <c r="J160" s="780"/>
      <c r="K160" s="99">
        <f>1.95996+2.37356/K159+2.818745/K159^2+2.546662/K159^3+1.761829/K159^4+0.245458/K159^5+1.000764/K159^6</f>
        <v>2.0069677087539031</v>
      </c>
      <c r="L160" s="101">
        <v>2</v>
      </c>
      <c r="M160" s="93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spans="1:30" ht="12.75" customHeight="1" x14ac:dyDescent="0.3">
      <c r="A161" s="834" t="s">
        <v>107</v>
      </c>
      <c r="B161" s="794"/>
      <c r="C161" s="794"/>
      <c r="D161" s="794"/>
      <c r="E161" s="794"/>
      <c r="F161" s="794"/>
      <c r="G161" s="794"/>
      <c r="H161" s="794"/>
      <c r="I161" s="794"/>
      <c r="J161" s="780"/>
      <c r="K161" s="99">
        <f>K160*K158</f>
        <v>4.6294562391982867E-2</v>
      </c>
      <c r="L161" s="101">
        <f>L160*K158</f>
        <v>4.613383881569922E-2</v>
      </c>
      <c r="M161" s="93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spans="1:30" ht="12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spans="1:30" ht="12.75" customHeight="1" x14ac:dyDescent="0.3">
      <c r="A163" s="48" t="s">
        <v>76</v>
      </c>
      <c r="B163" s="48"/>
      <c r="C163" s="48"/>
      <c r="D163" s="48">
        <f t="shared" ref="D163:E163" si="65">A$11</f>
        <v>600</v>
      </c>
      <c r="E163" s="48" t="str">
        <f t="shared" si="65"/>
        <v>kΩ</v>
      </c>
      <c r="F163" s="4"/>
      <c r="G163" s="82"/>
      <c r="H163" s="12"/>
      <c r="I163" s="12"/>
      <c r="J163" s="12"/>
      <c r="K163" s="12"/>
      <c r="L163" s="12"/>
      <c r="M163" s="291" t="str">
        <f>M$37</f>
        <v>Resistance-Measure</v>
      </c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spans="1:30" ht="12.75" customHeight="1" x14ac:dyDescent="0.3">
      <c r="A164" s="84" t="s">
        <v>2</v>
      </c>
      <c r="B164" s="85"/>
      <c r="C164" s="85"/>
      <c r="D164" s="157">
        <f t="shared" ref="D164:E164" si="66">C11</f>
        <v>60</v>
      </c>
      <c r="E164" s="4" t="str">
        <f t="shared" si="66"/>
        <v>kΩ</v>
      </c>
      <c r="F164" s="111"/>
      <c r="G164" s="90"/>
      <c r="H164" s="90">
        <v>0.1</v>
      </c>
      <c r="I164" s="90"/>
      <c r="J164" s="90"/>
      <c r="K164" s="90"/>
      <c r="L164" s="90"/>
      <c r="M164" s="76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spans="1:30" ht="12.75" customHeight="1" x14ac:dyDescent="0.3">
      <c r="A165" s="91" t="s">
        <v>78</v>
      </c>
      <c r="B165" s="91" t="s">
        <v>79</v>
      </c>
      <c r="C165" s="91" t="s">
        <v>410</v>
      </c>
      <c r="D165" s="91" t="s">
        <v>80</v>
      </c>
      <c r="E165" s="91" t="s">
        <v>81</v>
      </c>
      <c r="F165" s="92" t="s">
        <v>82</v>
      </c>
      <c r="G165" s="91" t="s">
        <v>83</v>
      </c>
      <c r="H165" s="91" t="s">
        <v>84</v>
      </c>
      <c r="I165" s="91" t="s">
        <v>85</v>
      </c>
      <c r="J165" s="91" t="s">
        <v>86</v>
      </c>
      <c r="K165" s="91" t="s">
        <v>87</v>
      </c>
      <c r="L165" s="91" t="s">
        <v>483</v>
      </c>
      <c r="M165" s="91" t="s">
        <v>484</v>
      </c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spans="1:30" ht="12.75" customHeight="1" x14ac:dyDescent="0.3">
      <c r="A166" s="93" t="s">
        <v>90</v>
      </c>
      <c r="B166" s="165" t="s">
        <v>485</v>
      </c>
      <c r="C166" s="94" t="s">
        <v>42</v>
      </c>
      <c r="D166" s="162" t="str">
        <f>E164</f>
        <v>kΩ</v>
      </c>
      <c r="E166" s="161" t="s">
        <v>631</v>
      </c>
      <c r="F166" s="94">
        <f>STDEV(Data!E169:N169)/SQRT(5)</f>
        <v>0</v>
      </c>
      <c r="G166" s="94">
        <v>1</v>
      </c>
      <c r="H166" s="94">
        <f>5-1</f>
        <v>4</v>
      </c>
      <c r="I166" s="94">
        <f t="shared" ref="I166:I169" si="67">((F166)/G166)</f>
        <v>0</v>
      </c>
      <c r="J166" s="94">
        <v>1</v>
      </c>
      <c r="K166" s="94">
        <f t="shared" ref="K166:K169" si="68">I166*J166</f>
        <v>0</v>
      </c>
      <c r="L166" s="94">
        <f t="shared" ref="L166:L169" si="69">K166^2</f>
        <v>0</v>
      </c>
      <c r="M166" s="94">
        <f t="shared" ref="M166:M169" si="70">(K166^4)/H166</f>
        <v>0</v>
      </c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spans="1:30" ht="12.75" customHeight="1" x14ac:dyDescent="0.3">
      <c r="A167" s="93" t="s">
        <v>93</v>
      </c>
      <c r="B167" s="165" t="s">
        <v>486</v>
      </c>
      <c r="C167" s="94" t="s">
        <v>95</v>
      </c>
      <c r="D167" s="162" t="str">
        <f>D166</f>
        <v>kΩ</v>
      </c>
      <c r="E167" s="94" t="s">
        <v>96</v>
      </c>
      <c r="F167" s="94">
        <f>H164/2</f>
        <v>0.05</v>
      </c>
      <c r="G167" s="94">
        <f>SQRT(3)</f>
        <v>1.7320508075688772</v>
      </c>
      <c r="H167" s="94">
        <v>50</v>
      </c>
      <c r="I167" s="94">
        <f t="shared" si="67"/>
        <v>2.8867513459481291E-2</v>
      </c>
      <c r="J167" s="94">
        <v>1</v>
      </c>
      <c r="K167" s="94">
        <f t="shared" si="68"/>
        <v>2.8867513459481291E-2</v>
      </c>
      <c r="L167" s="94">
        <f t="shared" si="69"/>
        <v>8.333333333333335E-4</v>
      </c>
      <c r="M167" s="94">
        <f t="shared" si="70"/>
        <v>1.3888888888888894E-8</v>
      </c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spans="1:30" ht="12.75" customHeight="1" x14ac:dyDescent="0.3">
      <c r="A168" s="93" t="s">
        <v>97</v>
      </c>
      <c r="B168" s="165" t="s">
        <v>487</v>
      </c>
      <c r="C168" s="94" t="s">
        <v>95</v>
      </c>
      <c r="D168" s="162" t="str">
        <f>D166</f>
        <v>kΩ</v>
      </c>
      <c r="E168" s="94" t="s">
        <v>92</v>
      </c>
      <c r="F168" s="96">
        <f>AD42</f>
        <v>1.2999999999999999E-3</v>
      </c>
      <c r="G168" s="94">
        <v>2</v>
      </c>
      <c r="H168" s="94">
        <v>60</v>
      </c>
      <c r="I168" s="94">
        <f t="shared" si="67"/>
        <v>6.4999999999999997E-4</v>
      </c>
      <c r="J168" s="94">
        <v>1</v>
      </c>
      <c r="K168" s="94">
        <f t="shared" si="68"/>
        <v>6.4999999999999997E-4</v>
      </c>
      <c r="L168" s="94">
        <f t="shared" si="69"/>
        <v>4.2249999999999998E-7</v>
      </c>
      <c r="M168" s="94">
        <f t="shared" si="70"/>
        <v>2.9751041666666661E-15</v>
      </c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spans="1:30" ht="12.75" customHeight="1" x14ac:dyDescent="0.3">
      <c r="A169" s="93" t="s">
        <v>99</v>
      </c>
      <c r="B169" s="165" t="s">
        <v>488</v>
      </c>
      <c r="C169" s="94" t="s">
        <v>95</v>
      </c>
      <c r="D169" s="162" t="str">
        <f>D166</f>
        <v>kΩ</v>
      </c>
      <c r="E169" s="94" t="s">
        <v>96</v>
      </c>
      <c r="F169" s="94">
        <f>U37</f>
        <v>3.9589523483907818E-2</v>
      </c>
      <c r="G169" s="94">
        <f>SQRT(3)</f>
        <v>1.7320508075688772</v>
      </c>
      <c r="H169" s="94">
        <v>50</v>
      </c>
      <c r="I169" s="94">
        <f t="shared" si="67"/>
        <v>2.285702204052319E-2</v>
      </c>
      <c r="J169" s="94">
        <v>1</v>
      </c>
      <c r="K169" s="94">
        <f t="shared" si="68"/>
        <v>2.285702204052319E-2</v>
      </c>
      <c r="L169" s="94">
        <f t="shared" si="69"/>
        <v>5.224434565609629E-4</v>
      </c>
      <c r="M169" s="94">
        <f t="shared" si="70"/>
        <v>5.4589433060673338E-9</v>
      </c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spans="1:30" ht="12.75" customHeight="1" x14ac:dyDescent="0.3">
      <c r="A170" s="98"/>
      <c r="B170" s="98"/>
      <c r="C170" s="98"/>
      <c r="D170" s="93"/>
      <c r="E170" s="93"/>
      <c r="F170" s="93"/>
      <c r="G170" s="93"/>
      <c r="H170" s="93"/>
      <c r="I170" s="93"/>
      <c r="J170" s="93"/>
      <c r="K170" s="93"/>
      <c r="L170" s="93"/>
      <c r="M170" s="93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spans="1:30" ht="12.75" customHeight="1" x14ac:dyDescent="0.3">
      <c r="A171" s="834" t="s">
        <v>103</v>
      </c>
      <c r="B171" s="794"/>
      <c r="C171" s="794"/>
      <c r="D171" s="794"/>
      <c r="E171" s="794"/>
      <c r="F171" s="794"/>
      <c r="G171" s="794"/>
      <c r="H171" s="794"/>
      <c r="I171" s="794"/>
      <c r="J171" s="780"/>
      <c r="K171" s="835">
        <f>SUM(L166:L170)</f>
        <v>1.3561992898942963E-3</v>
      </c>
      <c r="L171" s="780"/>
      <c r="M171" s="93">
        <f>SUM(M166:M170)</f>
        <v>1.9347835170060396E-8</v>
      </c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spans="1:30" ht="12.75" customHeight="1" x14ac:dyDescent="0.3">
      <c r="A172" s="834" t="s">
        <v>104</v>
      </c>
      <c r="B172" s="794"/>
      <c r="C172" s="794"/>
      <c r="D172" s="794"/>
      <c r="E172" s="794"/>
      <c r="F172" s="794"/>
      <c r="G172" s="794"/>
      <c r="H172" s="794"/>
      <c r="I172" s="794"/>
      <c r="J172" s="780"/>
      <c r="K172" s="835">
        <f>SQRT(K171)</f>
        <v>3.6826611164948321E-2</v>
      </c>
      <c r="L172" s="780"/>
      <c r="M172" s="93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spans="1:30" ht="12.75" customHeight="1" x14ac:dyDescent="0.3">
      <c r="A173" s="834" t="s">
        <v>489</v>
      </c>
      <c r="B173" s="794"/>
      <c r="C173" s="794"/>
      <c r="D173" s="794"/>
      <c r="E173" s="794"/>
      <c r="F173" s="794"/>
      <c r="G173" s="794"/>
      <c r="H173" s="794"/>
      <c r="I173" s="794"/>
      <c r="J173" s="780"/>
      <c r="K173" s="99">
        <f>(K172^4)/M171</f>
        <v>95.063685303457746</v>
      </c>
      <c r="L173" s="101"/>
      <c r="M173" s="93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spans="1:30" ht="12.75" customHeight="1" x14ac:dyDescent="0.3">
      <c r="A174" s="834" t="s">
        <v>490</v>
      </c>
      <c r="B174" s="794"/>
      <c r="C174" s="794"/>
      <c r="D174" s="794"/>
      <c r="E174" s="794"/>
      <c r="F174" s="794"/>
      <c r="G174" s="794"/>
      <c r="H174" s="794"/>
      <c r="I174" s="794"/>
      <c r="J174" s="780"/>
      <c r="K174" s="99">
        <f>1.95996+2.37356/K173+2.818745/K173^2+2.546662/K173^3+1.761829/K173^4+0.245458/K173^5+1.000764/K173^6</f>
        <v>1.985242998125315</v>
      </c>
      <c r="L174" s="101">
        <v>2</v>
      </c>
      <c r="M174" s="93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spans="1:30" ht="12.75" customHeight="1" x14ac:dyDescent="0.3">
      <c r="A175" s="834" t="s">
        <v>107</v>
      </c>
      <c r="B175" s="794"/>
      <c r="C175" s="794"/>
      <c r="D175" s="794"/>
      <c r="E175" s="794"/>
      <c r="F175" s="794"/>
      <c r="G175" s="794"/>
      <c r="H175" s="794"/>
      <c r="I175" s="794"/>
      <c r="J175" s="780"/>
      <c r="K175" s="99">
        <f>K174*K172</f>
        <v>7.3109771959897207E-2</v>
      </c>
      <c r="L175" s="101">
        <f>L174*K172</f>
        <v>7.3653222329896642E-2</v>
      </c>
      <c r="M175" s="93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spans="1:30" ht="12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spans="1:30" ht="12.75" customHeight="1" x14ac:dyDescent="0.3">
      <c r="A177" s="48" t="s">
        <v>76</v>
      </c>
      <c r="B177" s="48"/>
      <c r="C177" s="48"/>
      <c r="D177" s="48">
        <f t="shared" ref="D177:E177" si="71">A$11</f>
        <v>600</v>
      </c>
      <c r="E177" s="48" t="str">
        <f t="shared" si="71"/>
        <v>kΩ</v>
      </c>
      <c r="F177" s="4"/>
      <c r="G177" s="82"/>
      <c r="H177" s="12"/>
      <c r="I177" s="12"/>
      <c r="J177" s="12"/>
      <c r="K177" s="12"/>
      <c r="L177" s="12"/>
      <c r="M177" s="291" t="str">
        <f>M$37</f>
        <v>Resistance-Measure</v>
      </c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spans="1:30" ht="12.75" customHeight="1" x14ac:dyDescent="0.3">
      <c r="A178" s="84" t="s">
        <v>2</v>
      </c>
      <c r="B178" s="85"/>
      <c r="C178" s="85"/>
      <c r="D178" s="157">
        <f t="shared" ref="D178:E178" si="72">C12</f>
        <v>300</v>
      </c>
      <c r="E178" s="4" t="str">
        <f t="shared" si="72"/>
        <v>kΩ</v>
      </c>
      <c r="F178" s="111"/>
      <c r="G178" s="90"/>
      <c r="H178" s="90">
        <v>0.1</v>
      </c>
      <c r="I178" s="90"/>
      <c r="J178" s="90"/>
      <c r="K178" s="90"/>
      <c r="L178" s="90"/>
      <c r="M178" s="76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spans="1:30" ht="12.75" customHeight="1" x14ac:dyDescent="0.3">
      <c r="A179" s="91" t="s">
        <v>78</v>
      </c>
      <c r="B179" s="91" t="s">
        <v>79</v>
      </c>
      <c r="C179" s="91" t="s">
        <v>410</v>
      </c>
      <c r="D179" s="91" t="s">
        <v>80</v>
      </c>
      <c r="E179" s="91" t="s">
        <v>81</v>
      </c>
      <c r="F179" s="92" t="s">
        <v>82</v>
      </c>
      <c r="G179" s="91" t="s">
        <v>83</v>
      </c>
      <c r="H179" s="91" t="s">
        <v>84</v>
      </c>
      <c r="I179" s="91" t="s">
        <v>85</v>
      </c>
      <c r="J179" s="91" t="s">
        <v>86</v>
      </c>
      <c r="K179" s="91" t="s">
        <v>87</v>
      </c>
      <c r="L179" s="91" t="s">
        <v>491</v>
      </c>
      <c r="M179" s="91" t="s">
        <v>492</v>
      </c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spans="1:30" ht="12.75" customHeight="1" x14ac:dyDescent="0.3">
      <c r="A180" s="93" t="s">
        <v>90</v>
      </c>
      <c r="B180" s="165" t="s">
        <v>493</v>
      </c>
      <c r="C180" s="94" t="s">
        <v>42</v>
      </c>
      <c r="D180" s="162" t="str">
        <f>E178</f>
        <v>kΩ</v>
      </c>
      <c r="E180" s="161" t="s">
        <v>631</v>
      </c>
      <c r="F180" s="94">
        <f>STDEV(Data!E170:N170)/SQRT(5)</f>
        <v>0</v>
      </c>
      <c r="G180" s="94">
        <v>1</v>
      </c>
      <c r="H180" s="94">
        <f>5-1</f>
        <v>4</v>
      </c>
      <c r="I180" s="94">
        <f t="shared" ref="I180:I183" si="73">((F180)/G180)</f>
        <v>0</v>
      </c>
      <c r="J180" s="94">
        <v>1</v>
      </c>
      <c r="K180" s="94">
        <f t="shared" ref="K180:K183" si="74">I180*J180</f>
        <v>0</v>
      </c>
      <c r="L180" s="94">
        <f t="shared" ref="L180:L183" si="75">K180^2</f>
        <v>0</v>
      </c>
      <c r="M180" s="94">
        <f t="shared" ref="M180:M183" si="76">(K180^4)/H180</f>
        <v>0</v>
      </c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spans="1:30" ht="12.75" customHeight="1" x14ac:dyDescent="0.3">
      <c r="A181" s="93" t="s">
        <v>93</v>
      </c>
      <c r="B181" s="165" t="s">
        <v>494</v>
      </c>
      <c r="C181" s="94" t="s">
        <v>95</v>
      </c>
      <c r="D181" s="162" t="str">
        <f>D180</f>
        <v>kΩ</v>
      </c>
      <c r="E181" s="94" t="s">
        <v>96</v>
      </c>
      <c r="F181" s="94">
        <f>H178/2</f>
        <v>0.05</v>
      </c>
      <c r="G181" s="94">
        <f>SQRT(3)</f>
        <v>1.7320508075688772</v>
      </c>
      <c r="H181" s="94">
        <v>50</v>
      </c>
      <c r="I181" s="94">
        <f t="shared" si="73"/>
        <v>2.8867513459481291E-2</v>
      </c>
      <c r="J181" s="94">
        <v>1</v>
      </c>
      <c r="K181" s="94">
        <f t="shared" si="74"/>
        <v>2.8867513459481291E-2</v>
      </c>
      <c r="L181" s="94">
        <f t="shared" si="75"/>
        <v>8.333333333333335E-4</v>
      </c>
      <c r="M181" s="94">
        <f t="shared" si="76"/>
        <v>1.3888888888888894E-8</v>
      </c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spans="1:30" ht="12.75" customHeight="1" x14ac:dyDescent="0.3">
      <c r="A182" s="93" t="s">
        <v>97</v>
      </c>
      <c r="B182" s="165" t="s">
        <v>495</v>
      </c>
      <c r="C182" s="94" t="s">
        <v>95</v>
      </c>
      <c r="D182" s="162" t="str">
        <f>D180</f>
        <v>kΩ</v>
      </c>
      <c r="E182" s="94" t="s">
        <v>92</v>
      </c>
      <c r="F182" s="96">
        <f>AD45*1000</f>
        <v>1.7000000000000001E-2</v>
      </c>
      <c r="G182" s="94">
        <v>2</v>
      </c>
      <c r="H182" s="94">
        <v>60</v>
      </c>
      <c r="I182" s="94">
        <f t="shared" si="73"/>
        <v>8.5000000000000006E-3</v>
      </c>
      <c r="J182" s="94">
        <v>1</v>
      </c>
      <c r="K182" s="94">
        <f t="shared" si="74"/>
        <v>8.5000000000000006E-3</v>
      </c>
      <c r="L182" s="94">
        <f t="shared" si="75"/>
        <v>7.2250000000000008E-5</v>
      </c>
      <c r="M182" s="94">
        <f t="shared" si="76"/>
        <v>8.700104166666669E-11</v>
      </c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spans="1:30" ht="12.75" customHeight="1" x14ac:dyDescent="0.3">
      <c r="A183" s="93" t="s">
        <v>99</v>
      </c>
      <c r="B183" s="165" t="s">
        <v>496</v>
      </c>
      <c r="C183" s="94" t="s">
        <v>95</v>
      </c>
      <c r="D183" s="162" t="str">
        <f>D180</f>
        <v>kΩ</v>
      </c>
      <c r="E183" s="94" t="s">
        <v>96</v>
      </c>
      <c r="F183" s="94">
        <f>U38</f>
        <v>5.1780384968841527E-2</v>
      </c>
      <c r="G183" s="94">
        <f>SQRT(3)</f>
        <v>1.7320508075688772</v>
      </c>
      <c r="H183" s="94">
        <v>50</v>
      </c>
      <c r="I183" s="94">
        <f t="shared" si="73"/>
        <v>2.989541920050311E-2</v>
      </c>
      <c r="J183" s="94">
        <v>1</v>
      </c>
      <c r="K183" s="94">
        <f t="shared" si="74"/>
        <v>2.989541920050311E-2</v>
      </c>
      <c r="L183" s="94">
        <f t="shared" si="75"/>
        <v>8.9373608917381006E-4</v>
      </c>
      <c r="M183" s="94">
        <f t="shared" si="76"/>
        <v>1.597528394183393E-8</v>
      </c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spans="1:30" ht="12.75" customHeight="1" x14ac:dyDescent="0.3">
      <c r="A184" s="98"/>
      <c r="B184" s="98"/>
      <c r="C184" s="98"/>
      <c r="D184" s="93"/>
      <c r="E184" s="93"/>
      <c r="F184" s="93"/>
      <c r="G184" s="93"/>
      <c r="H184" s="93"/>
      <c r="I184" s="93"/>
      <c r="J184" s="93"/>
      <c r="K184" s="93"/>
      <c r="L184" s="93"/>
      <c r="M184" s="93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spans="1:30" ht="12.75" customHeight="1" x14ac:dyDescent="0.3">
      <c r="A185" s="834" t="s">
        <v>103</v>
      </c>
      <c r="B185" s="794"/>
      <c r="C185" s="794"/>
      <c r="D185" s="794"/>
      <c r="E185" s="794"/>
      <c r="F185" s="794"/>
      <c r="G185" s="794"/>
      <c r="H185" s="794"/>
      <c r="I185" s="794"/>
      <c r="J185" s="780"/>
      <c r="K185" s="835">
        <f>SUM(L180:L184)</f>
        <v>1.7993194225071436E-3</v>
      </c>
      <c r="L185" s="780"/>
      <c r="M185" s="93">
        <f>SUM(M180:M184)</f>
        <v>2.9951173872389494E-8</v>
      </c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spans="1:30" ht="12.75" customHeight="1" x14ac:dyDescent="0.3">
      <c r="A186" s="834" t="s">
        <v>104</v>
      </c>
      <c r="B186" s="794"/>
      <c r="C186" s="794"/>
      <c r="D186" s="794"/>
      <c r="E186" s="794"/>
      <c r="F186" s="794"/>
      <c r="G186" s="794"/>
      <c r="H186" s="794"/>
      <c r="I186" s="794"/>
      <c r="J186" s="780"/>
      <c r="K186" s="835">
        <f>SQRT(K185)</f>
        <v>4.2418385430225226E-2</v>
      </c>
      <c r="L186" s="780"/>
      <c r="M186" s="93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spans="1:30" ht="12.75" customHeight="1" x14ac:dyDescent="0.3">
      <c r="A187" s="834" t="s">
        <v>497</v>
      </c>
      <c r="B187" s="794"/>
      <c r="C187" s="794"/>
      <c r="D187" s="794"/>
      <c r="E187" s="794"/>
      <c r="F187" s="794"/>
      <c r="G187" s="794"/>
      <c r="H187" s="794"/>
      <c r="I187" s="794"/>
      <c r="J187" s="780"/>
      <c r="K187" s="99">
        <f>(K186^4)/M185</f>
        <v>108.09427363366146</v>
      </c>
      <c r="L187" s="101"/>
      <c r="M187" s="93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spans="1:30" ht="12.75" customHeight="1" x14ac:dyDescent="0.3">
      <c r="A188" s="834" t="s">
        <v>498</v>
      </c>
      <c r="B188" s="794"/>
      <c r="C188" s="794"/>
      <c r="D188" s="794"/>
      <c r="E188" s="794"/>
      <c r="F188" s="794"/>
      <c r="G188" s="794"/>
      <c r="H188" s="794"/>
      <c r="I188" s="794"/>
      <c r="J188" s="780"/>
      <c r="K188" s="99">
        <f>1.95996+2.37356/K187+2.818745/K187^2+2.546662/K187^3+1.761829/K187^4+0.245458/K187^5+1.000764/K187^6</f>
        <v>1.982161509838958</v>
      </c>
      <c r="L188" s="101">
        <v>2</v>
      </c>
      <c r="M188" s="93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spans="1:30" ht="12.75" customHeight="1" x14ac:dyDescent="0.3">
      <c r="A189" s="834" t="s">
        <v>107</v>
      </c>
      <c r="B189" s="794"/>
      <c r="C189" s="794"/>
      <c r="D189" s="794"/>
      <c r="E189" s="794"/>
      <c r="F189" s="794"/>
      <c r="G189" s="794"/>
      <c r="H189" s="794"/>
      <c r="I189" s="794"/>
      <c r="J189" s="780"/>
      <c r="K189" s="99">
        <f>K188*K186</f>
        <v>8.4080090909306099E-2</v>
      </c>
      <c r="L189" s="101">
        <f>L188*K186</f>
        <v>8.4836770860450453E-2</v>
      </c>
      <c r="M189" s="93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spans="1:30" ht="12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spans="1:30" ht="12.75" customHeight="1" x14ac:dyDescent="0.3">
      <c r="A191" s="48" t="s">
        <v>76</v>
      </c>
      <c r="B191" s="48"/>
      <c r="C191" s="48"/>
      <c r="D191" s="48">
        <f t="shared" ref="D191:E191" si="77">A$11</f>
        <v>600</v>
      </c>
      <c r="E191" s="48" t="str">
        <f t="shared" si="77"/>
        <v>kΩ</v>
      </c>
      <c r="F191" s="4"/>
      <c r="G191" s="82"/>
      <c r="H191" s="12"/>
      <c r="I191" s="12"/>
      <c r="J191" s="12"/>
      <c r="K191" s="12"/>
      <c r="L191" s="12"/>
      <c r="M191" s="291" t="str">
        <f>M$37</f>
        <v>Resistance-Measure</v>
      </c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spans="1:30" ht="12.75" customHeight="1" x14ac:dyDescent="0.3">
      <c r="A192" s="84" t="s">
        <v>2</v>
      </c>
      <c r="B192" s="85"/>
      <c r="C192" s="85"/>
      <c r="D192" s="166">
        <f t="shared" ref="D192:E192" si="78">C13</f>
        <v>0.54</v>
      </c>
      <c r="E192" s="4" t="str">
        <f t="shared" si="78"/>
        <v>MΩ</v>
      </c>
      <c r="F192" s="111">
        <f>F13</f>
        <v>539.79999999999995</v>
      </c>
      <c r="G192" s="90" t="str">
        <f>G13</f>
        <v>kΩ</v>
      </c>
      <c r="H192" s="90">
        <v>0.1</v>
      </c>
      <c r="I192" s="90"/>
      <c r="J192" s="90"/>
      <c r="K192" s="90"/>
      <c r="L192" s="90"/>
      <c r="M192" s="76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spans="1:30" ht="12.75" customHeight="1" x14ac:dyDescent="0.3">
      <c r="A193" s="91" t="s">
        <v>78</v>
      </c>
      <c r="B193" s="91" t="s">
        <v>79</v>
      </c>
      <c r="C193" s="91" t="s">
        <v>410</v>
      </c>
      <c r="D193" s="91" t="s">
        <v>80</v>
      </c>
      <c r="E193" s="91" t="s">
        <v>81</v>
      </c>
      <c r="F193" s="92" t="s">
        <v>82</v>
      </c>
      <c r="G193" s="91" t="s">
        <v>83</v>
      </c>
      <c r="H193" s="91" t="s">
        <v>84</v>
      </c>
      <c r="I193" s="91" t="s">
        <v>85</v>
      </c>
      <c r="J193" s="91" t="s">
        <v>86</v>
      </c>
      <c r="K193" s="91" t="s">
        <v>87</v>
      </c>
      <c r="L193" s="91" t="s">
        <v>499</v>
      </c>
      <c r="M193" s="91" t="s">
        <v>500</v>
      </c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spans="1:30" ht="12.75" customHeight="1" x14ac:dyDescent="0.3">
      <c r="A194" s="93" t="s">
        <v>90</v>
      </c>
      <c r="B194" s="165" t="s">
        <v>501</v>
      </c>
      <c r="C194" s="94" t="s">
        <v>42</v>
      </c>
      <c r="D194" s="162" t="str">
        <f>G192</f>
        <v>kΩ</v>
      </c>
      <c r="E194" s="161" t="s">
        <v>631</v>
      </c>
      <c r="F194" s="94">
        <f>STDEV(Data!E171:N171)/SQRT(5)</f>
        <v>0</v>
      </c>
      <c r="G194" s="94">
        <v>1</v>
      </c>
      <c r="H194" s="94">
        <f>5-1</f>
        <v>4</v>
      </c>
      <c r="I194" s="94">
        <f t="shared" ref="I194:I197" si="79">((F194)/G194)</f>
        <v>0</v>
      </c>
      <c r="J194" s="94">
        <v>1</v>
      </c>
      <c r="K194" s="94">
        <f t="shared" ref="K194:K197" si="80">I194*J194</f>
        <v>0</v>
      </c>
      <c r="L194" s="94">
        <f t="shared" ref="L194:L197" si="81">K194^2</f>
        <v>0</v>
      </c>
      <c r="M194" s="94">
        <f t="shared" ref="M194:M197" si="82">(K194^4)/H194</f>
        <v>0</v>
      </c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spans="1:30" ht="12.75" customHeight="1" x14ac:dyDescent="0.3">
      <c r="A195" s="93" t="s">
        <v>93</v>
      </c>
      <c r="B195" s="165" t="s">
        <v>502</v>
      </c>
      <c r="C195" s="94" t="s">
        <v>95</v>
      </c>
      <c r="D195" s="162" t="str">
        <f>D194</f>
        <v>kΩ</v>
      </c>
      <c r="E195" s="94" t="s">
        <v>96</v>
      </c>
      <c r="F195" s="94">
        <f>H192/2</f>
        <v>0.05</v>
      </c>
      <c r="G195" s="94">
        <f>SQRT(3)</f>
        <v>1.7320508075688772</v>
      </c>
      <c r="H195" s="94">
        <v>50</v>
      </c>
      <c r="I195" s="94">
        <f t="shared" si="79"/>
        <v>2.8867513459481291E-2</v>
      </c>
      <c r="J195" s="94">
        <v>1</v>
      </c>
      <c r="K195" s="94">
        <f t="shared" si="80"/>
        <v>2.8867513459481291E-2</v>
      </c>
      <c r="L195" s="94">
        <f t="shared" si="81"/>
        <v>8.333333333333335E-4</v>
      </c>
      <c r="M195" s="94">
        <f t="shared" si="82"/>
        <v>1.3888888888888894E-8</v>
      </c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spans="1:30" ht="12.75" customHeight="1" x14ac:dyDescent="0.3">
      <c r="A196" s="93" t="s">
        <v>97</v>
      </c>
      <c r="B196" s="165" t="s">
        <v>503</v>
      </c>
      <c r="C196" s="94" t="s">
        <v>95</v>
      </c>
      <c r="D196" s="162" t="str">
        <f>D194</f>
        <v>kΩ</v>
      </c>
      <c r="E196" s="94" t="s">
        <v>92</v>
      </c>
      <c r="F196" s="96">
        <f>AD45*1000</f>
        <v>1.7000000000000001E-2</v>
      </c>
      <c r="G196" s="94">
        <v>2</v>
      </c>
      <c r="H196" s="94">
        <v>60</v>
      </c>
      <c r="I196" s="94">
        <f t="shared" si="79"/>
        <v>8.5000000000000006E-3</v>
      </c>
      <c r="J196" s="94">
        <v>1</v>
      </c>
      <c r="K196" s="94">
        <f t="shared" si="80"/>
        <v>8.5000000000000006E-3</v>
      </c>
      <c r="L196" s="94">
        <f t="shared" si="81"/>
        <v>7.2250000000000008E-5</v>
      </c>
      <c r="M196" s="94">
        <f t="shared" si="82"/>
        <v>8.700104166666669E-11</v>
      </c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spans="1:30" ht="12.75" customHeight="1" x14ac:dyDescent="0.3">
      <c r="A197" s="93" t="s">
        <v>99</v>
      </c>
      <c r="B197" s="165" t="s">
        <v>504</v>
      </c>
      <c r="C197" s="94" t="s">
        <v>95</v>
      </c>
      <c r="D197" s="162" t="str">
        <f>D194</f>
        <v>kΩ</v>
      </c>
      <c r="E197" s="94" t="s">
        <v>96</v>
      </c>
      <c r="F197" s="94">
        <f>U39*1000</f>
        <v>5.2492630971561385E-2</v>
      </c>
      <c r="G197" s="94">
        <f>SQRT(3)</f>
        <v>1.7320508075688772</v>
      </c>
      <c r="H197" s="94">
        <v>50</v>
      </c>
      <c r="I197" s="94">
        <f t="shared" si="79"/>
        <v>3.0306634621902653E-2</v>
      </c>
      <c r="J197" s="94">
        <v>1</v>
      </c>
      <c r="K197" s="94">
        <f t="shared" si="80"/>
        <v>3.0306634621902653E-2</v>
      </c>
      <c r="L197" s="94">
        <f t="shared" si="81"/>
        <v>9.1849210210550854E-4</v>
      </c>
      <c r="M197" s="94">
        <f t="shared" si="82"/>
        <v>1.6872554832603918E-8</v>
      </c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spans="1:30" ht="12.75" customHeight="1" x14ac:dyDescent="0.3">
      <c r="A198" s="98"/>
      <c r="B198" s="98"/>
      <c r="C198" s="98"/>
      <c r="D198" s="93"/>
      <c r="E198" s="93"/>
      <c r="F198" s="93"/>
      <c r="G198" s="93"/>
      <c r="H198" s="93"/>
      <c r="I198" s="93"/>
      <c r="J198" s="93"/>
      <c r="K198" s="93"/>
      <c r="L198" s="93"/>
      <c r="M198" s="93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spans="1:30" ht="12.75" customHeight="1" x14ac:dyDescent="0.3">
      <c r="A199" s="834" t="s">
        <v>103</v>
      </c>
      <c r="B199" s="794"/>
      <c r="C199" s="794"/>
      <c r="D199" s="794"/>
      <c r="E199" s="794"/>
      <c r="F199" s="794"/>
      <c r="G199" s="794"/>
      <c r="H199" s="794"/>
      <c r="I199" s="794"/>
      <c r="J199" s="780"/>
      <c r="K199" s="835">
        <f>SUM(L194:L198)</f>
        <v>1.8240754354388422E-3</v>
      </c>
      <c r="L199" s="780"/>
      <c r="M199" s="93">
        <f>SUM(M194:M198)</f>
        <v>3.0848444763159475E-8</v>
      </c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spans="1:30" ht="12.75" customHeight="1" x14ac:dyDescent="0.3">
      <c r="A200" s="834" t="s">
        <v>104</v>
      </c>
      <c r="B200" s="794"/>
      <c r="C200" s="794"/>
      <c r="D200" s="794"/>
      <c r="E200" s="794"/>
      <c r="F200" s="794"/>
      <c r="G200" s="794"/>
      <c r="H200" s="794"/>
      <c r="I200" s="794"/>
      <c r="J200" s="780"/>
      <c r="K200" s="835">
        <f>SQRT(K199)</f>
        <v>4.2709196146015697E-2</v>
      </c>
      <c r="L200" s="780"/>
      <c r="M200" s="93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spans="1:30" ht="12.75" customHeight="1" x14ac:dyDescent="0.3">
      <c r="A201" s="834" t="s">
        <v>505</v>
      </c>
      <c r="B201" s="794"/>
      <c r="C201" s="794"/>
      <c r="D201" s="794"/>
      <c r="E201" s="794"/>
      <c r="F201" s="794"/>
      <c r="G201" s="794"/>
      <c r="H201" s="794"/>
      <c r="I201" s="794"/>
      <c r="J201" s="780"/>
      <c r="K201" s="99">
        <f>(K200^4)/M199</f>
        <v>107.85798829459782</v>
      </c>
      <c r="L201" s="101"/>
      <c r="M201" s="93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spans="1:30" ht="12.75" customHeight="1" x14ac:dyDescent="0.3">
      <c r="A202" s="834" t="s">
        <v>506</v>
      </c>
      <c r="B202" s="794"/>
      <c r="C202" s="794"/>
      <c r="D202" s="794"/>
      <c r="E202" s="794"/>
      <c r="F202" s="794"/>
      <c r="G202" s="794"/>
      <c r="H202" s="794"/>
      <c r="I202" s="794"/>
      <c r="J202" s="780"/>
      <c r="K202" s="99">
        <f>1.95996+2.37356/K201+2.818745/K201^2+2.546662/K201^3+1.761829/K201^4+0.245458/K201^5+1.000764/K201^6</f>
        <v>1.9822106854545656</v>
      </c>
      <c r="L202" s="101">
        <v>2</v>
      </c>
      <c r="M202" s="93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spans="1:30" ht="12.75" customHeight="1" x14ac:dyDescent="0.3">
      <c r="A203" s="834" t="s">
        <v>107</v>
      </c>
      <c r="B203" s="794"/>
      <c r="C203" s="794"/>
      <c r="D203" s="794"/>
      <c r="E203" s="794"/>
      <c r="F203" s="794"/>
      <c r="G203" s="794"/>
      <c r="H203" s="794"/>
      <c r="I203" s="794"/>
      <c r="J203" s="780"/>
      <c r="K203" s="99">
        <f>K202*K200</f>
        <v>8.4658624967807267E-2</v>
      </c>
      <c r="L203" s="101">
        <f>L202*K200</f>
        <v>8.5418392292031395E-2</v>
      </c>
      <c r="M203" s="93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spans="1:30" ht="12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spans="1:30" ht="12.75" customHeight="1" x14ac:dyDescent="0.3">
      <c r="A205" s="48" t="s">
        <v>76</v>
      </c>
      <c r="B205" s="48"/>
      <c r="C205" s="48"/>
      <c r="D205" s="48">
        <f t="shared" ref="D205:E205" si="83">A$14</f>
        <v>6</v>
      </c>
      <c r="E205" s="48" t="str">
        <f t="shared" si="83"/>
        <v>MΩ</v>
      </c>
      <c r="F205" s="4"/>
      <c r="G205" s="82"/>
      <c r="H205" s="12"/>
      <c r="I205" s="12"/>
      <c r="J205" s="12"/>
      <c r="K205" s="12"/>
      <c r="L205" s="12"/>
      <c r="M205" s="291" t="str">
        <f>M$37</f>
        <v>Resistance-Measure</v>
      </c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spans="1:30" ht="12.75" customHeight="1" x14ac:dyDescent="0.3">
      <c r="A206" s="84" t="s">
        <v>2</v>
      </c>
      <c r="B206" s="85"/>
      <c r="C206" s="85"/>
      <c r="D206" s="166">
        <f t="shared" ref="D206:E206" si="84">C14</f>
        <v>0.60000000000000009</v>
      </c>
      <c r="E206" s="4" t="str">
        <f t="shared" si="84"/>
        <v>MΩ</v>
      </c>
      <c r="F206" s="111"/>
      <c r="G206" s="90"/>
      <c r="H206" s="90">
        <v>1E-3</v>
      </c>
      <c r="I206" s="90"/>
      <c r="J206" s="90"/>
      <c r="K206" s="90"/>
      <c r="L206" s="90"/>
      <c r="M206" s="76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spans="1:30" ht="12.75" customHeight="1" x14ac:dyDescent="0.3">
      <c r="A207" s="91" t="s">
        <v>78</v>
      </c>
      <c r="B207" s="91" t="s">
        <v>79</v>
      </c>
      <c r="C207" s="91" t="s">
        <v>410</v>
      </c>
      <c r="D207" s="91" t="s">
        <v>80</v>
      </c>
      <c r="E207" s="91" t="s">
        <v>81</v>
      </c>
      <c r="F207" s="92" t="s">
        <v>82</v>
      </c>
      <c r="G207" s="91" t="s">
        <v>83</v>
      </c>
      <c r="H207" s="91" t="s">
        <v>84</v>
      </c>
      <c r="I207" s="91" t="s">
        <v>85</v>
      </c>
      <c r="J207" s="91" t="s">
        <v>86</v>
      </c>
      <c r="K207" s="91" t="s">
        <v>87</v>
      </c>
      <c r="L207" s="91" t="s">
        <v>507</v>
      </c>
      <c r="M207" s="91" t="s">
        <v>508</v>
      </c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spans="1:30" ht="12.75" customHeight="1" x14ac:dyDescent="0.3">
      <c r="A208" s="93" t="s">
        <v>90</v>
      </c>
      <c r="B208" s="165" t="s">
        <v>509</v>
      </c>
      <c r="C208" s="94" t="s">
        <v>42</v>
      </c>
      <c r="D208" s="162" t="str">
        <f>E206</f>
        <v>MΩ</v>
      </c>
      <c r="E208" s="161" t="s">
        <v>631</v>
      </c>
      <c r="F208" s="94">
        <f>STDEV(Data!E173:N173)/SQRT(5)</f>
        <v>0</v>
      </c>
      <c r="G208" s="94">
        <v>1</v>
      </c>
      <c r="H208" s="94">
        <f>5-1</f>
        <v>4</v>
      </c>
      <c r="I208" s="94">
        <f t="shared" ref="I208:I211" si="85">((F208)/G208)</f>
        <v>0</v>
      </c>
      <c r="J208" s="94">
        <v>1</v>
      </c>
      <c r="K208" s="94">
        <f t="shared" ref="K208:K211" si="86">I208*J208</f>
        <v>0</v>
      </c>
      <c r="L208" s="94">
        <f t="shared" ref="L208:L211" si="87">K208^2</f>
        <v>0</v>
      </c>
      <c r="M208" s="94">
        <f t="shared" ref="M208:M211" si="88">(K208^4)/H208</f>
        <v>0</v>
      </c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spans="1:30" ht="12.75" customHeight="1" x14ac:dyDescent="0.3">
      <c r="A209" s="93" t="s">
        <v>93</v>
      </c>
      <c r="B209" s="165" t="s">
        <v>510</v>
      </c>
      <c r="C209" s="94" t="s">
        <v>95</v>
      </c>
      <c r="D209" s="162" t="str">
        <f>D208</f>
        <v>MΩ</v>
      </c>
      <c r="E209" s="94" t="s">
        <v>96</v>
      </c>
      <c r="F209" s="94">
        <f>H206/2</f>
        <v>5.0000000000000001E-4</v>
      </c>
      <c r="G209" s="94">
        <f>SQRT(3)</f>
        <v>1.7320508075688772</v>
      </c>
      <c r="H209" s="94">
        <v>50</v>
      </c>
      <c r="I209" s="94">
        <f t="shared" si="85"/>
        <v>2.886751345948129E-4</v>
      </c>
      <c r="J209" s="94">
        <v>1</v>
      </c>
      <c r="K209" s="94">
        <f t="shared" si="86"/>
        <v>2.886751345948129E-4</v>
      </c>
      <c r="L209" s="94">
        <f t="shared" si="87"/>
        <v>8.3333333333333338E-8</v>
      </c>
      <c r="M209" s="94">
        <f t="shared" si="88"/>
        <v>1.388888888888889E-16</v>
      </c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spans="1:30" ht="12.75" customHeight="1" x14ac:dyDescent="0.3">
      <c r="A210" s="93" t="s">
        <v>97</v>
      </c>
      <c r="B210" s="165" t="s">
        <v>511</v>
      </c>
      <c r="C210" s="94" t="s">
        <v>95</v>
      </c>
      <c r="D210" s="162" t="str">
        <f>D208</f>
        <v>MΩ</v>
      </c>
      <c r="E210" s="94" t="s">
        <v>92</v>
      </c>
      <c r="F210" s="96">
        <f>AD45</f>
        <v>1.7E-5</v>
      </c>
      <c r="G210" s="94">
        <v>2</v>
      </c>
      <c r="H210" s="94">
        <v>60</v>
      </c>
      <c r="I210" s="94">
        <f t="shared" si="85"/>
        <v>8.4999999999999999E-6</v>
      </c>
      <c r="J210" s="94">
        <v>1</v>
      </c>
      <c r="K210" s="94">
        <f t="shared" si="86"/>
        <v>8.4999999999999999E-6</v>
      </c>
      <c r="L210" s="94">
        <f t="shared" si="87"/>
        <v>7.2249999999999996E-11</v>
      </c>
      <c r="M210" s="94">
        <f t="shared" si="88"/>
        <v>8.700104166666666E-23</v>
      </c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spans="1:30" ht="12.75" customHeight="1" x14ac:dyDescent="0.3">
      <c r="A211" s="93" t="s">
        <v>99</v>
      </c>
      <c r="B211" s="165" t="s">
        <v>512</v>
      </c>
      <c r="C211" s="94" t="s">
        <v>95</v>
      </c>
      <c r="D211" s="162" t="str">
        <f>D208</f>
        <v>MΩ</v>
      </c>
      <c r="E211" s="94" t="s">
        <v>96</v>
      </c>
      <c r="F211" s="94">
        <f>U40</f>
        <v>5.2670692472241361E-5</v>
      </c>
      <c r="G211" s="94">
        <f>SQRT(3)</f>
        <v>1.7320508075688772</v>
      </c>
      <c r="H211" s="94">
        <v>50</v>
      </c>
      <c r="I211" s="94">
        <f t="shared" si="85"/>
        <v>3.0409438477252547E-5</v>
      </c>
      <c r="J211" s="94">
        <v>1</v>
      </c>
      <c r="K211" s="94">
        <f t="shared" si="86"/>
        <v>3.0409438477252547E-5</v>
      </c>
      <c r="L211" s="94">
        <f t="shared" si="87"/>
        <v>9.2473394850180767E-10</v>
      </c>
      <c r="M211" s="94">
        <f t="shared" si="88"/>
        <v>1.7102657510234876E-20</v>
      </c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spans="1:30" ht="12.75" customHeight="1" x14ac:dyDescent="0.3">
      <c r="A212" s="93"/>
      <c r="B212" s="165"/>
      <c r="C212" s="94"/>
      <c r="D212" s="96"/>
      <c r="E212" s="94"/>
      <c r="F212" s="94"/>
      <c r="G212" s="94"/>
      <c r="H212" s="94"/>
      <c r="I212" s="94"/>
      <c r="J212" s="94"/>
      <c r="K212" s="94"/>
      <c r="L212" s="94"/>
      <c r="M212" s="94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spans="1:30" ht="12.75" customHeight="1" x14ac:dyDescent="0.3">
      <c r="A213" s="834" t="s">
        <v>103</v>
      </c>
      <c r="B213" s="794"/>
      <c r="C213" s="794"/>
      <c r="D213" s="794"/>
      <c r="E213" s="794"/>
      <c r="F213" s="794"/>
      <c r="G213" s="794"/>
      <c r="H213" s="794"/>
      <c r="I213" s="794"/>
      <c r="J213" s="780"/>
      <c r="K213" s="835">
        <f>SUM(L208:L212)</f>
        <v>8.4330317281835139E-8</v>
      </c>
      <c r="L213" s="780"/>
      <c r="M213" s="93">
        <f>SUM(M208:M212)</f>
        <v>1.389060785474408E-16</v>
      </c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spans="1:30" ht="12.75" customHeight="1" x14ac:dyDescent="0.3">
      <c r="A214" s="834" t="s">
        <v>104</v>
      </c>
      <c r="B214" s="794"/>
      <c r="C214" s="794"/>
      <c r="D214" s="794"/>
      <c r="E214" s="794"/>
      <c r="F214" s="794"/>
      <c r="G214" s="794"/>
      <c r="H214" s="794"/>
      <c r="I214" s="794"/>
      <c r="J214" s="780"/>
      <c r="K214" s="835">
        <f>SQRT(K213)</f>
        <v>2.9039682725855517E-4</v>
      </c>
      <c r="L214" s="780"/>
      <c r="M214" s="93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spans="1:30" ht="12.75" customHeight="1" x14ac:dyDescent="0.3">
      <c r="A215" s="834" t="s">
        <v>513</v>
      </c>
      <c r="B215" s="794"/>
      <c r="C215" s="794"/>
      <c r="D215" s="794"/>
      <c r="E215" s="794"/>
      <c r="F215" s="794"/>
      <c r="G215" s="794"/>
      <c r="H215" s="794"/>
      <c r="I215" s="794"/>
      <c r="J215" s="780"/>
      <c r="K215" s="99">
        <f>(K214^4)/M213</f>
        <v>51.197200923256538</v>
      </c>
      <c r="L215" s="168"/>
      <c r="M215" s="93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spans="1:30" ht="12.75" customHeight="1" x14ac:dyDescent="0.3">
      <c r="A216" s="834" t="s">
        <v>514</v>
      </c>
      <c r="B216" s="794"/>
      <c r="C216" s="794"/>
      <c r="D216" s="794"/>
      <c r="E216" s="794"/>
      <c r="F216" s="794"/>
      <c r="G216" s="794"/>
      <c r="H216" s="794"/>
      <c r="I216" s="794"/>
      <c r="J216" s="780"/>
      <c r="K216" s="99">
        <f>1.95996+2.37356/K215+2.818745/K215^2+2.546662/K215^3+1.761829/K215^4+0.245458/K215^5+1.000764/K215^6</f>
        <v>2.0074157461627404</v>
      </c>
      <c r="L216" s="101">
        <v>2</v>
      </c>
      <c r="M216" s="93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spans="1:30" ht="12.75" customHeight="1" x14ac:dyDescent="0.3">
      <c r="A217" s="834" t="s">
        <v>107</v>
      </c>
      <c r="B217" s="794"/>
      <c r="C217" s="794"/>
      <c r="D217" s="794"/>
      <c r="E217" s="794"/>
      <c r="F217" s="794"/>
      <c r="G217" s="794"/>
      <c r="H217" s="794"/>
      <c r="I217" s="794"/>
      <c r="J217" s="780"/>
      <c r="K217" s="99">
        <f>K216*K214</f>
        <v>5.82947163674525E-4</v>
      </c>
      <c r="L217" s="101">
        <f>L216*K214</f>
        <v>5.8079365451711034E-4</v>
      </c>
      <c r="M217" s="93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 spans="1:30" ht="12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spans="1:30" ht="12.75" customHeight="1" x14ac:dyDescent="0.3">
      <c r="A219" s="48" t="s">
        <v>76</v>
      </c>
      <c r="B219" s="48"/>
      <c r="C219" s="48"/>
      <c r="D219" s="48">
        <f t="shared" ref="D219:E219" si="89">A$14</f>
        <v>6</v>
      </c>
      <c r="E219" s="48" t="str">
        <f t="shared" si="89"/>
        <v>MΩ</v>
      </c>
      <c r="F219" s="4"/>
      <c r="G219" s="82"/>
      <c r="H219" s="12"/>
      <c r="I219" s="12"/>
      <c r="J219" s="12"/>
      <c r="K219" s="12"/>
      <c r="L219" s="12"/>
      <c r="M219" s="291" t="str">
        <f>M$37</f>
        <v>Resistance-Measure</v>
      </c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spans="1:30" ht="12.75" customHeight="1" x14ac:dyDescent="0.3">
      <c r="A220" s="84" t="s">
        <v>2</v>
      </c>
      <c r="B220" s="85"/>
      <c r="C220" s="85"/>
      <c r="D220" s="166">
        <f>C15</f>
        <v>3</v>
      </c>
      <c r="E220" s="4" t="str">
        <f>D16</f>
        <v>MΩ</v>
      </c>
      <c r="F220" s="111"/>
      <c r="G220" s="90"/>
      <c r="H220" s="90">
        <v>1E-3</v>
      </c>
      <c r="I220" s="90"/>
      <c r="J220" s="90"/>
      <c r="K220" s="90"/>
      <c r="L220" s="90"/>
      <c r="M220" s="76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spans="1:30" ht="12.75" customHeight="1" x14ac:dyDescent="0.3">
      <c r="A221" s="91" t="s">
        <v>78</v>
      </c>
      <c r="B221" s="91" t="s">
        <v>79</v>
      </c>
      <c r="C221" s="91" t="s">
        <v>410</v>
      </c>
      <c r="D221" s="91" t="s">
        <v>80</v>
      </c>
      <c r="E221" s="91" t="s">
        <v>81</v>
      </c>
      <c r="F221" s="92" t="s">
        <v>82</v>
      </c>
      <c r="G221" s="91" t="s">
        <v>83</v>
      </c>
      <c r="H221" s="91" t="s">
        <v>84</v>
      </c>
      <c r="I221" s="91" t="s">
        <v>85</v>
      </c>
      <c r="J221" s="91" t="s">
        <v>86</v>
      </c>
      <c r="K221" s="91" t="s">
        <v>87</v>
      </c>
      <c r="L221" s="91" t="s">
        <v>515</v>
      </c>
      <c r="M221" s="91" t="s">
        <v>516</v>
      </c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spans="1:30" ht="12.75" customHeight="1" x14ac:dyDescent="0.3">
      <c r="A222" s="93" t="s">
        <v>90</v>
      </c>
      <c r="B222" s="165" t="s">
        <v>517</v>
      </c>
      <c r="C222" s="94" t="s">
        <v>42</v>
      </c>
      <c r="D222" s="162" t="str">
        <f>E220</f>
        <v>MΩ</v>
      </c>
      <c r="E222" s="161" t="s">
        <v>631</v>
      </c>
      <c r="F222" s="94">
        <f>STDEV(Data!E174:N174)/SQRT(5)</f>
        <v>0</v>
      </c>
      <c r="G222" s="94">
        <v>1</v>
      </c>
      <c r="H222" s="94">
        <f>5-1</f>
        <v>4</v>
      </c>
      <c r="I222" s="94">
        <f t="shared" ref="I222:I225" si="90">((F222)/G222)</f>
        <v>0</v>
      </c>
      <c r="J222" s="94">
        <v>1</v>
      </c>
      <c r="K222" s="94">
        <f t="shared" ref="K222:K225" si="91">I222*J222</f>
        <v>0</v>
      </c>
      <c r="L222" s="94">
        <f t="shared" ref="L222:L225" si="92">K222^2</f>
        <v>0</v>
      </c>
      <c r="M222" s="94">
        <f t="shared" ref="M222:M225" si="93">(K222^4)/H222</f>
        <v>0</v>
      </c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spans="1:30" ht="12.75" customHeight="1" x14ac:dyDescent="0.3">
      <c r="A223" s="93" t="s">
        <v>93</v>
      </c>
      <c r="B223" s="165" t="s">
        <v>518</v>
      </c>
      <c r="C223" s="94" t="s">
        <v>95</v>
      </c>
      <c r="D223" s="162" t="str">
        <f>D222</f>
        <v>MΩ</v>
      </c>
      <c r="E223" s="94" t="s">
        <v>96</v>
      </c>
      <c r="F223" s="94">
        <f>H220/2</f>
        <v>5.0000000000000001E-4</v>
      </c>
      <c r="G223" s="94">
        <f>SQRT(3)</f>
        <v>1.7320508075688772</v>
      </c>
      <c r="H223" s="94">
        <v>50</v>
      </c>
      <c r="I223" s="94">
        <f t="shared" si="90"/>
        <v>2.886751345948129E-4</v>
      </c>
      <c r="J223" s="94">
        <v>1</v>
      </c>
      <c r="K223" s="94">
        <f t="shared" si="91"/>
        <v>2.886751345948129E-4</v>
      </c>
      <c r="L223" s="94">
        <f t="shared" si="92"/>
        <v>8.3333333333333338E-8</v>
      </c>
      <c r="M223" s="94">
        <f t="shared" si="93"/>
        <v>1.388888888888889E-16</v>
      </c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spans="1:30" ht="12.75" customHeight="1" x14ac:dyDescent="0.3">
      <c r="A224" s="93" t="s">
        <v>97</v>
      </c>
      <c r="B224" s="165" t="s">
        <v>519</v>
      </c>
      <c r="C224" s="94" t="s">
        <v>95</v>
      </c>
      <c r="D224" s="162" t="str">
        <f>D222</f>
        <v>MΩ</v>
      </c>
      <c r="E224" s="94" t="s">
        <v>92</v>
      </c>
      <c r="F224" s="96">
        <f>AD48</f>
        <v>3.6000000000000002E-4</v>
      </c>
      <c r="G224" s="94">
        <v>2</v>
      </c>
      <c r="H224" s="94">
        <v>60</v>
      </c>
      <c r="I224" s="94">
        <f t="shared" si="90"/>
        <v>1.8000000000000001E-4</v>
      </c>
      <c r="J224" s="94">
        <v>1</v>
      </c>
      <c r="K224" s="94">
        <f t="shared" si="91"/>
        <v>1.8000000000000001E-4</v>
      </c>
      <c r="L224" s="94">
        <f t="shared" si="92"/>
        <v>3.2400000000000006E-8</v>
      </c>
      <c r="M224" s="94">
        <f t="shared" si="93"/>
        <v>1.7496000000000006E-17</v>
      </c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spans="1:30" ht="12.75" customHeight="1" x14ac:dyDescent="0.3">
      <c r="A225" s="93" t="s">
        <v>99</v>
      </c>
      <c r="B225" s="165" t="s">
        <v>520</v>
      </c>
      <c r="C225" s="94" t="s">
        <v>95</v>
      </c>
      <c r="D225" s="162" t="str">
        <f>D222</f>
        <v>MΩ</v>
      </c>
      <c r="E225" s="94" t="s">
        <v>96</v>
      </c>
      <c r="F225" s="94">
        <f>U41</f>
        <v>7.9940535815996201E-3</v>
      </c>
      <c r="G225" s="94">
        <f>SQRT(3)</f>
        <v>1.7320508075688772</v>
      </c>
      <c r="H225" s="94">
        <v>50</v>
      </c>
      <c r="I225" s="94">
        <f t="shared" si="90"/>
        <v>4.6153689872528332E-3</v>
      </c>
      <c r="J225" s="94">
        <v>1</v>
      </c>
      <c r="K225" s="94">
        <f t="shared" si="91"/>
        <v>4.6153689872528332E-3</v>
      </c>
      <c r="L225" s="94">
        <f t="shared" si="92"/>
        <v>2.1301630888495242E-5</v>
      </c>
      <c r="M225" s="94">
        <f t="shared" si="93"/>
        <v>9.075189570193892E-12</v>
      </c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spans="1:30" ht="12.75" customHeight="1" x14ac:dyDescent="0.3">
      <c r="A226" s="93"/>
      <c r="B226" s="165"/>
      <c r="C226" s="94"/>
      <c r="D226" s="96"/>
      <c r="E226" s="94"/>
      <c r="F226" s="94"/>
      <c r="G226" s="94"/>
      <c r="H226" s="94"/>
      <c r="I226" s="94"/>
      <c r="J226" s="94"/>
      <c r="K226" s="94"/>
      <c r="L226" s="94"/>
      <c r="M226" s="94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spans="1:30" ht="12.75" customHeight="1" x14ac:dyDescent="0.3">
      <c r="A227" s="834" t="s">
        <v>103</v>
      </c>
      <c r="B227" s="794"/>
      <c r="C227" s="794"/>
      <c r="D227" s="794"/>
      <c r="E227" s="794"/>
      <c r="F227" s="794"/>
      <c r="G227" s="794"/>
      <c r="H227" s="794"/>
      <c r="I227" s="794"/>
      <c r="J227" s="780"/>
      <c r="K227" s="835">
        <f>SUM(L222:L226)</f>
        <v>2.1417364221828575E-5</v>
      </c>
      <c r="L227" s="780"/>
      <c r="M227" s="93">
        <f>SUM(M222:M226)</f>
        <v>9.0753459550827803E-12</v>
      </c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spans="1:30" ht="12.75" customHeight="1" x14ac:dyDescent="0.3">
      <c r="A228" s="834" t="s">
        <v>104</v>
      </c>
      <c r="B228" s="794"/>
      <c r="C228" s="794"/>
      <c r="D228" s="794"/>
      <c r="E228" s="794"/>
      <c r="F228" s="794"/>
      <c r="G228" s="794"/>
      <c r="H228" s="794"/>
      <c r="I228" s="794"/>
      <c r="J228" s="780"/>
      <c r="K228" s="835">
        <f>SQRT(K227)</f>
        <v>4.6278898238644979E-3</v>
      </c>
      <c r="L228" s="780"/>
      <c r="M228" s="93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spans="1:30" ht="12.75" customHeight="1" x14ac:dyDescent="0.3">
      <c r="A229" s="834" t="s">
        <v>521</v>
      </c>
      <c r="B229" s="794"/>
      <c r="C229" s="794"/>
      <c r="D229" s="794"/>
      <c r="E229" s="794"/>
      <c r="F229" s="794"/>
      <c r="G229" s="794"/>
      <c r="H229" s="794"/>
      <c r="I229" s="794"/>
      <c r="J229" s="780"/>
      <c r="K229" s="99">
        <f>(K228^4)/M227</f>
        <v>50.543912318136933</v>
      </c>
      <c r="L229" s="168"/>
      <c r="M229" s="93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spans="1:30" ht="12.75" customHeight="1" x14ac:dyDescent="0.3">
      <c r="A230" s="834" t="s">
        <v>522</v>
      </c>
      <c r="B230" s="794"/>
      <c r="C230" s="794"/>
      <c r="D230" s="794"/>
      <c r="E230" s="794"/>
      <c r="F230" s="794"/>
      <c r="G230" s="794"/>
      <c r="H230" s="794"/>
      <c r="I230" s="794"/>
      <c r="J230" s="780"/>
      <c r="K230" s="99">
        <f>1.95996+2.37356/K229+2.818745/K229^2+2.546662/K229^3+1.761829/K229^4+0.245458/K229^5+1.000764/K229^6</f>
        <v>2.0080437092283745</v>
      </c>
      <c r="L230" s="101">
        <v>2</v>
      </c>
      <c r="M230" s="93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spans="1:30" ht="12.75" customHeight="1" x14ac:dyDescent="0.3">
      <c r="A231" s="834" t="s">
        <v>107</v>
      </c>
      <c r="B231" s="794"/>
      <c r="C231" s="794"/>
      <c r="D231" s="794"/>
      <c r="E231" s="794"/>
      <c r="F231" s="794"/>
      <c r="G231" s="794"/>
      <c r="H231" s="794"/>
      <c r="I231" s="794"/>
      <c r="J231" s="780"/>
      <c r="K231" s="99">
        <f>K230*K228</f>
        <v>9.2930050478131146E-3</v>
      </c>
      <c r="L231" s="101">
        <f>L230*K228</f>
        <v>9.2557796477289959E-3</v>
      </c>
      <c r="M231" s="93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 spans="1:30" ht="12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 spans="1:30" ht="12.75" customHeight="1" x14ac:dyDescent="0.3">
      <c r="A233" s="48" t="s">
        <v>76</v>
      </c>
      <c r="B233" s="48"/>
      <c r="C233" s="48"/>
      <c r="D233" s="48">
        <f t="shared" ref="D233:E233" si="94">A$14</f>
        <v>6</v>
      </c>
      <c r="E233" s="48" t="str">
        <f t="shared" si="94"/>
        <v>MΩ</v>
      </c>
      <c r="F233" s="4"/>
      <c r="G233" s="82"/>
      <c r="H233" s="12"/>
      <c r="I233" s="12"/>
      <c r="J233" s="12"/>
      <c r="K233" s="12"/>
      <c r="L233" s="12"/>
      <c r="M233" s="291" t="str">
        <f>M$37</f>
        <v>Resistance-Measure</v>
      </c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spans="1:30" ht="12.75" customHeight="1" x14ac:dyDescent="0.3">
      <c r="A234" s="84" t="s">
        <v>2</v>
      </c>
      <c r="B234" s="85"/>
      <c r="C234" s="85"/>
      <c r="D234" s="167">
        <f t="shared" ref="D234:E234" si="95">C16</f>
        <v>5.4</v>
      </c>
      <c r="E234" s="4" t="str">
        <f t="shared" si="95"/>
        <v>MΩ</v>
      </c>
      <c r="F234" s="111"/>
      <c r="G234" s="90"/>
      <c r="H234" s="90">
        <v>1E-3</v>
      </c>
      <c r="I234" s="90"/>
      <c r="J234" s="90"/>
      <c r="K234" s="90"/>
      <c r="L234" s="90"/>
      <c r="M234" s="76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spans="1:30" ht="12.75" customHeight="1" x14ac:dyDescent="0.3">
      <c r="A235" s="91" t="s">
        <v>78</v>
      </c>
      <c r="B235" s="91" t="s">
        <v>79</v>
      </c>
      <c r="C235" s="91" t="s">
        <v>410</v>
      </c>
      <c r="D235" s="91" t="s">
        <v>80</v>
      </c>
      <c r="E235" s="91" t="s">
        <v>81</v>
      </c>
      <c r="F235" s="92" t="s">
        <v>82</v>
      </c>
      <c r="G235" s="91" t="s">
        <v>83</v>
      </c>
      <c r="H235" s="91" t="s">
        <v>84</v>
      </c>
      <c r="I235" s="91" t="s">
        <v>85</v>
      </c>
      <c r="J235" s="91" t="s">
        <v>86</v>
      </c>
      <c r="K235" s="91" t="s">
        <v>87</v>
      </c>
      <c r="L235" s="91" t="s">
        <v>523</v>
      </c>
      <c r="M235" s="91" t="s">
        <v>524</v>
      </c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spans="1:30" ht="12.75" customHeight="1" x14ac:dyDescent="0.3">
      <c r="A236" s="93" t="s">
        <v>90</v>
      </c>
      <c r="B236" s="165" t="s">
        <v>525</v>
      </c>
      <c r="C236" s="94" t="s">
        <v>42</v>
      </c>
      <c r="D236" s="162" t="str">
        <f>E234</f>
        <v>MΩ</v>
      </c>
      <c r="E236" s="161" t="s">
        <v>631</v>
      </c>
      <c r="F236" s="94">
        <f>STDEV(Data!E175:N175)/SQRT(5)</f>
        <v>0</v>
      </c>
      <c r="G236" s="94">
        <v>1</v>
      </c>
      <c r="H236" s="94">
        <f>5-1</f>
        <v>4</v>
      </c>
      <c r="I236" s="94">
        <f t="shared" ref="I236:I239" si="96">((F236)/G236)</f>
        <v>0</v>
      </c>
      <c r="J236" s="94">
        <v>1</v>
      </c>
      <c r="K236" s="94">
        <f t="shared" ref="K236:K239" si="97">I236*J236</f>
        <v>0</v>
      </c>
      <c r="L236" s="94">
        <f t="shared" ref="L236:L239" si="98">K236^2</f>
        <v>0</v>
      </c>
      <c r="M236" s="94">
        <f t="shared" ref="M236:M239" si="99">(K236^4)/H236</f>
        <v>0</v>
      </c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 spans="1:30" ht="12.75" customHeight="1" x14ac:dyDescent="0.3">
      <c r="A237" s="93" t="s">
        <v>93</v>
      </c>
      <c r="B237" s="165" t="s">
        <v>526</v>
      </c>
      <c r="C237" s="94" t="s">
        <v>95</v>
      </c>
      <c r="D237" s="162" t="str">
        <f>D236</f>
        <v>MΩ</v>
      </c>
      <c r="E237" s="94" t="s">
        <v>96</v>
      </c>
      <c r="F237" s="94">
        <f>H234/2</f>
        <v>5.0000000000000001E-4</v>
      </c>
      <c r="G237" s="94">
        <f>SQRT(3)</f>
        <v>1.7320508075688772</v>
      </c>
      <c r="H237" s="94">
        <v>50</v>
      </c>
      <c r="I237" s="94">
        <f t="shared" si="96"/>
        <v>2.886751345948129E-4</v>
      </c>
      <c r="J237" s="94">
        <v>1</v>
      </c>
      <c r="K237" s="94">
        <f t="shared" si="97"/>
        <v>2.886751345948129E-4</v>
      </c>
      <c r="L237" s="94">
        <f t="shared" si="98"/>
        <v>8.3333333333333338E-8</v>
      </c>
      <c r="M237" s="94">
        <f t="shared" si="99"/>
        <v>1.388888888888889E-16</v>
      </c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 spans="1:30" ht="12.75" customHeight="1" x14ac:dyDescent="0.3">
      <c r="A238" s="93" t="s">
        <v>97</v>
      </c>
      <c r="B238" s="165" t="s">
        <v>527</v>
      </c>
      <c r="C238" s="94" t="s">
        <v>95</v>
      </c>
      <c r="D238" s="162" t="str">
        <f>D236</f>
        <v>MΩ</v>
      </c>
      <c r="E238" s="94" t="s">
        <v>92</v>
      </c>
      <c r="F238" s="96">
        <f>AD48</f>
        <v>3.6000000000000002E-4</v>
      </c>
      <c r="G238" s="94">
        <v>2</v>
      </c>
      <c r="H238" s="94">
        <v>60</v>
      </c>
      <c r="I238" s="94">
        <f t="shared" si="96"/>
        <v>1.8000000000000001E-4</v>
      </c>
      <c r="J238" s="94">
        <v>1</v>
      </c>
      <c r="K238" s="94">
        <f t="shared" si="97"/>
        <v>1.8000000000000001E-4</v>
      </c>
      <c r="L238" s="94">
        <f t="shared" si="98"/>
        <v>3.2400000000000006E-8</v>
      </c>
      <c r="M238" s="94">
        <f t="shared" si="99"/>
        <v>1.7496000000000006E-17</v>
      </c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 spans="1:30" ht="12.75" customHeight="1" x14ac:dyDescent="0.3">
      <c r="A239" s="93" t="s">
        <v>99</v>
      </c>
      <c r="B239" s="165" t="s">
        <v>528</v>
      </c>
      <c r="C239" s="94" t="s">
        <v>95</v>
      </c>
      <c r="D239" s="162" t="str">
        <f>D236</f>
        <v>MΩ</v>
      </c>
      <c r="E239" s="94" t="s">
        <v>96</v>
      </c>
      <c r="F239" s="244">
        <f>U42</f>
        <v>8.1098913930309838E-3</v>
      </c>
      <c r="G239" s="94">
        <f>SQRT(3)</f>
        <v>1.7320508075688772</v>
      </c>
      <c r="H239" s="94">
        <v>50</v>
      </c>
      <c r="I239" s="94">
        <f t="shared" si="96"/>
        <v>4.6822479788650676E-3</v>
      </c>
      <c r="J239" s="94">
        <v>1</v>
      </c>
      <c r="K239" s="94">
        <f t="shared" si="97"/>
        <v>4.6822479788650676E-3</v>
      </c>
      <c r="L239" s="94">
        <f t="shared" si="98"/>
        <v>2.1923446135586011E-5</v>
      </c>
      <c r="M239" s="94">
        <f t="shared" si="99"/>
        <v>9.6127498091988224E-12</v>
      </c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 spans="1:30" ht="12.75" customHeight="1" x14ac:dyDescent="0.3">
      <c r="A240" s="93"/>
      <c r="B240" s="165"/>
      <c r="C240" s="94"/>
      <c r="D240" s="96"/>
      <c r="E240" s="94"/>
      <c r="F240" s="94"/>
      <c r="G240" s="94"/>
      <c r="H240" s="94"/>
      <c r="I240" s="94"/>
      <c r="J240" s="94"/>
      <c r="K240" s="94"/>
      <c r="L240" s="94"/>
      <c r="M240" s="94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 spans="1:30" ht="12.75" customHeight="1" x14ac:dyDescent="0.3">
      <c r="A241" s="834" t="s">
        <v>103</v>
      </c>
      <c r="B241" s="794"/>
      <c r="C241" s="794"/>
      <c r="D241" s="794"/>
      <c r="E241" s="794"/>
      <c r="F241" s="794"/>
      <c r="G241" s="794"/>
      <c r="H241" s="794"/>
      <c r="I241" s="794"/>
      <c r="J241" s="780"/>
      <c r="K241" s="835">
        <f>SUM(L236:L240)</f>
        <v>2.2039179468919344E-5</v>
      </c>
      <c r="L241" s="780"/>
      <c r="M241" s="93">
        <f>SUM(M236:M240)</f>
        <v>9.6129061940877107E-12</v>
      </c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 spans="1:30" ht="12.75" customHeight="1" x14ac:dyDescent="0.3">
      <c r="A242" s="834" t="s">
        <v>104</v>
      </c>
      <c r="B242" s="794"/>
      <c r="C242" s="794"/>
      <c r="D242" s="794"/>
      <c r="E242" s="794"/>
      <c r="F242" s="794"/>
      <c r="G242" s="794"/>
      <c r="H242" s="794"/>
      <c r="I242" s="794"/>
      <c r="J242" s="780"/>
      <c r="K242" s="835">
        <f>SQRT(K241)</f>
        <v>4.6945904474106522E-3</v>
      </c>
      <c r="L242" s="780"/>
      <c r="M242" s="93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 spans="1:30" ht="12.75" customHeight="1" x14ac:dyDescent="0.3">
      <c r="A243" s="834" t="s">
        <v>529</v>
      </c>
      <c r="B243" s="794"/>
      <c r="C243" s="794"/>
      <c r="D243" s="794"/>
      <c r="E243" s="794"/>
      <c r="F243" s="794"/>
      <c r="G243" s="794"/>
      <c r="H243" s="794"/>
      <c r="I243" s="794"/>
      <c r="J243" s="780"/>
      <c r="K243" s="99">
        <f>(K242^4)/M241</f>
        <v>50.528468899652324</v>
      </c>
      <c r="L243" s="168"/>
      <c r="M243" s="93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spans="1:30" ht="12.75" customHeight="1" x14ac:dyDescent="0.3">
      <c r="A244" s="834" t="s">
        <v>530</v>
      </c>
      <c r="B244" s="794"/>
      <c r="C244" s="794"/>
      <c r="D244" s="794"/>
      <c r="E244" s="794"/>
      <c r="F244" s="794"/>
      <c r="G244" s="794"/>
      <c r="H244" s="794"/>
      <c r="I244" s="794"/>
      <c r="J244" s="780"/>
      <c r="K244" s="99">
        <f>1.95996+2.37356/K243+2.818745/K243^2+2.546662/K243^3+1.761829/K243^4+0.245458/K243^5+1.000764/K243^6</f>
        <v>2.0080587550780882</v>
      </c>
      <c r="L244" s="101">
        <v>2</v>
      </c>
      <c r="M244" s="93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spans="1:30" ht="12.75" customHeight="1" x14ac:dyDescent="0.3">
      <c r="A245" s="834" t="s">
        <v>107</v>
      </c>
      <c r="B245" s="794"/>
      <c r="C245" s="794"/>
      <c r="D245" s="794"/>
      <c r="E245" s="794"/>
      <c r="F245" s="794"/>
      <c r="G245" s="794"/>
      <c r="H245" s="794"/>
      <c r="I245" s="794"/>
      <c r="J245" s="780"/>
      <c r="K245" s="99">
        <f>K244*K242</f>
        <v>9.4270134494289191E-3</v>
      </c>
      <c r="L245" s="101">
        <f>L244*K242</f>
        <v>9.3891808948213043E-3</v>
      </c>
      <c r="M245" s="93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spans="1:30" ht="12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spans="1:30" ht="12.75" customHeight="1" x14ac:dyDescent="0.3">
      <c r="A247" s="48" t="s">
        <v>76</v>
      </c>
      <c r="B247" s="48"/>
      <c r="C247" s="48"/>
      <c r="D247" s="48">
        <f>A$17</f>
        <v>60</v>
      </c>
      <c r="E247" s="48" t="str">
        <f>B$17</f>
        <v>MΩ</v>
      </c>
      <c r="F247" s="4"/>
      <c r="G247" s="82"/>
      <c r="H247" s="12"/>
      <c r="I247" s="12"/>
      <c r="J247" s="12"/>
      <c r="K247" s="12"/>
      <c r="L247" s="12"/>
      <c r="M247" s="291" t="str">
        <f>M$37</f>
        <v>Resistance-Measure</v>
      </c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spans="1:30" ht="12.75" customHeight="1" x14ac:dyDescent="0.3">
      <c r="A248" s="84" t="s">
        <v>2</v>
      </c>
      <c r="B248" s="85"/>
      <c r="C248" s="85"/>
      <c r="D248" s="167">
        <f>C17</f>
        <v>6</v>
      </c>
      <c r="E248" s="4" t="str">
        <f>D17</f>
        <v>MΩ</v>
      </c>
      <c r="F248" s="111"/>
      <c r="G248" s="90"/>
      <c r="H248" s="90">
        <v>0.01</v>
      </c>
      <c r="I248" s="90"/>
      <c r="J248" s="90"/>
      <c r="K248" s="90"/>
      <c r="L248" s="90"/>
      <c r="M248" s="76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spans="1:30" ht="12.75" customHeight="1" x14ac:dyDescent="0.3">
      <c r="A249" s="91" t="s">
        <v>78</v>
      </c>
      <c r="B249" s="91" t="s">
        <v>79</v>
      </c>
      <c r="C249" s="91" t="s">
        <v>410</v>
      </c>
      <c r="D249" s="91" t="s">
        <v>80</v>
      </c>
      <c r="E249" s="91" t="s">
        <v>81</v>
      </c>
      <c r="F249" s="92" t="s">
        <v>82</v>
      </c>
      <c r="G249" s="91" t="s">
        <v>83</v>
      </c>
      <c r="H249" s="91" t="s">
        <v>84</v>
      </c>
      <c r="I249" s="91" t="s">
        <v>85</v>
      </c>
      <c r="J249" s="91" t="s">
        <v>86</v>
      </c>
      <c r="K249" s="91" t="s">
        <v>87</v>
      </c>
      <c r="L249" s="91" t="s">
        <v>88</v>
      </c>
      <c r="M249" s="91" t="s">
        <v>89</v>
      </c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spans="1:30" ht="12.75" customHeight="1" x14ac:dyDescent="0.3">
      <c r="A250" s="93" t="s">
        <v>90</v>
      </c>
      <c r="B250" s="165" t="s">
        <v>413</v>
      </c>
      <c r="C250" s="94" t="s">
        <v>42</v>
      </c>
      <c r="D250" s="162" t="str">
        <f>E248</f>
        <v>MΩ</v>
      </c>
      <c r="E250" s="161" t="s">
        <v>631</v>
      </c>
      <c r="F250" s="94">
        <f>STDEV(Data!E177:N177)/SQRT(5)</f>
        <v>0</v>
      </c>
      <c r="G250" s="94">
        <v>1</v>
      </c>
      <c r="H250" s="94">
        <f>5-1</f>
        <v>4</v>
      </c>
      <c r="I250" s="94">
        <f t="shared" ref="I250:I253" si="100">((F250)/G250)</f>
        <v>0</v>
      </c>
      <c r="J250" s="94">
        <v>1</v>
      </c>
      <c r="K250" s="94">
        <f t="shared" ref="K250:K253" si="101">I250*J250</f>
        <v>0</v>
      </c>
      <c r="L250" s="94">
        <f t="shared" ref="L250:L253" si="102">K250^2</f>
        <v>0</v>
      </c>
      <c r="M250" s="94">
        <f t="shared" ref="M250:M253" si="103">(K250^4)/H250</f>
        <v>0</v>
      </c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spans="1:30" ht="12.75" customHeight="1" x14ac:dyDescent="0.3">
      <c r="A251" s="93" t="s">
        <v>93</v>
      </c>
      <c r="B251" s="165" t="s">
        <v>414</v>
      </c>
      <c r="C251" s="94" t="s">
        <v>95</v>
      </c>
      <c r="D251" s="162" t="str">
        <f>D250</f>
        <v>MΩ</v>
      </c>
      <c r="E251" s="94" t="s">
        <v>96</v>
      </c>
      <c r="F251" s="94">
        <f>H248/2</f>
        <v>5.0000000000000001E-3</v>
      </c>
      <c r="G251" s="94">
        <f>SQRT(3)</f>
        <v>1.7320508075688772</v>
      </c>
      <c r="H251" s="94">
        <v>50</v>
      </c>
      <c r="I251" s="94">
        <f t="shared" si="100"/>
        <v>2.886751345948129E-3</v>
      </c>
      <c r="J251" s="94">
        <v>1</v>
      </c>
      <c r="K251" s="94">
        <f t="shared" si="101"/>
        <v>2.886751345948129E-3</v>
      </c>
      <c r="L251" s="94">
        <f t="shared" si="102"/>
        <v>8.3333333333333337E-6</v>
      </c>
      <c r="M251" s="94">
        <f t="shared" si="103"/>
        <v>1.3888888888888891E-12</v>
      </c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spans="1:30" ht="12.75" customHeight="1" x14ac:dyDescent="0.3">
      <c r="A252" s="93" t="s">
        <v>97</v>
      </c>
      <c r="B252" s="165" t="s">
        <v>415</v>
      </c>
      <c r="C252" s="94" t="s">
        <v>95</v>
      </c>
      <c r="D252" s="162" t="str">
        <f>D250</f>
        <v>MΩ</v>
      </c>
      <c r="E252" s="94" t="s">
        <v>92</v>
      </c>
      <c r="F252" s="96">
        <f>AD48</f>
        <v>3.6000000000000002E-4</v>
      </c>
      <c r="G252" s="94">
        <v>2</v>
      </c>
      <c r="H252" s="94">
        <v>60</v>
      </c>
      <c r="I252" s="94">
        <f t="shared" si="100"/>
        <v>1.8000000000000001E-4</v>
      </c>
      <c r="J252" s="94">
        <v>1</v>
      </c>
      <c r="K252" s="94">
        <f t="shared" si="101"/>
        <v>1.8000000000000001E-4</v>
      </c>
      <c r="L252" s="94">
        <f t="shared" si="102"/>
        <v>3.2400000000000006E-8</v>
      </c>
      <c r="M252" s="94">
        <f t="shared" si="103"/>
        <v>1.7496000000000006E-17</v>
      </c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spans="1:30" ht="12.75" customHeight="1" x14ac:dyDescent="0.3">
      <c r="A253" s="93" t="s">
        <v>99</v>
      </c>
      <c r="B253" s="165" t="s">
        <v>416</v>
      </c>
      <c r="C253" s="94" t="s">
        <v>95</v>
      </c>
      <c r="D253" s="162" t="str">
        <f>D250</f>
        <v>MΩ</v>
      </c>
      <c r="E253" s="94" t="s">
        <v>96</v>
      </c>
      <c r="F253" s="94">
        <f>U43</f>
        <v>8.1388508458888256E-3</v>
      </c>
      <c r="G253" s="94">
        <f>SQRT(3)</f>
        <v>1.7320508075688772</v>
      </c>
      <c r="H253" s="94">
        <v>50</v>
      </c>
      <c r="I253" s="94">
        <f t="shared" si="100"/>
        <v>4.6989677267681267E-3</v>
      </c>
      <c r="J253" s="94">
        <v>1</v>
      </c>
      <c r="K253" s="94">
        <f t="shared" si="101"/>
        <v>4.6989677267681267E-3</v>
      </c>
      <c r="L253" s="94">
        <f t="shared" si="102"/>
        <v>2.2080297697208416E-5</v>
      </c>
      <c r="M253" s="94">
        <f t="shared" si="103"/>
        <v>9.7507909279469461E-12</v>
      </c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spans="1:30" ht="12.75" customHeight="1" x14ac:dyDescent="0.3">
      <c r="A254" s="93"/>
      <c r="B254" s="165"/>
      <c r="C254" s="94"/>
      <c r="D254" s="96"/>
      <c r="E254" s="94"/>
      <c r="F254" s="94"/>
      <c r="G254" s="94"/>
      <c r="H254" s="94"/>
      <c r="I254" s="94"/>
      <c r="J254" s="94"/>
      <c r="K254" s="94"/>
      <c r="L254" s="94"/>
      <c r="M254" s="94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spans="1:30" ht="12.75" customHeight="1" x14ac:dyDescent="0.3">
      <c r="A255" s="834" t="s">
        <v>103</v>
      </c>
      <c r="B255" s="794"/>
      <c r="C255" s="794"/>
      <c r="D255" s="794"/>
      <c r="E255" s="794"/>
      <c r="F255" s="794"/>
      <c r="G255" s="794"/>
      <c r="H255" s="794"/>
      <c r="I255" s="794"/>
      <c r="J255" s="780"/>
      <c r="K255" s="835">
        <f>SUM(L250:L254)</f>
        <v>3.0446031030541749E-5</v>
      </c>
      <c r="L255" s="780"/>
      <c r="M255" s="93">
        <f>SUM(M250:M254)</f>
        <v>1.1139697312835834E-11</v>
      </c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spans="1:30" ht="12.75" customHeight="1" x14ac:dyDescent="0.3">
      <c r="A256" s="834" t="s">
        <v>104</v>
      </c>
      <c r="B256" s="794"/>
      <c r="C256" s="794"/>
      <c r="D256" s="794"/>
      <c r="E256" s="794"/>
      <c r="F256" s="794"/>
      <c r="G256" s="794"/>
      <c r="H256" s="794"/>
      <c r="I256" s="794"/>
      <c r="J256" s="780"/>
      <c r="K256" s="835">
        <f>SQRT(K255)</f>
        <v>5.5177922242996566E-3</v>
      </c>
      <c r="L256" s="780"/>
      <c r="M256" s="93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spans="1:30" ht="12.75" customHeight="1" x14ac:dyDescent="0.3">
      <c r="A257" s="834" t="s">
        <v>105</v>
      </c>
      <c r="B257" s="794"/>
      <c r="C257" s="794"/>
      <c r="D257" s="794"/>
      <c r="E257" s="794"/>
      <c r="F257" s="794"/>
      <c r="G257" s="794"/>
      <c r="H257" s="794"/>
      <c r="I257" s="794"/>
      <c r="J257" s="780"/>
      <c r="K257" s="99">
        <f>(K256^4)/M255</f>
        <v>83.212387148491985</v>
      </c>
      <c r="L257" s="168"/>
      <c r="M257" s="93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spans="1:30" ht="12.75" customHeight="1" x14ac:dyDescent="0.3">
      <c r="A258" s="834" t="s">
        <v>106</v>
      </c>
      <c r="B258" s="794"/>
      <c r="C258" s="794"/>
      <c r="D258" s="794"/>
      <c r="E258" s="794"/>
      <c r="F258" s="794"/>
      <c r="G258" s="794"/>
      <c r="H258" s="794"/>
      <c r="I258" s="794"/>
      <c r="J258" s="780"/>
      <c r="K258" s="99">
        <f>1.95996+2.37356/K257+2.818745/K257^2+2.546662/K257^3+1.761829/K257^4+0.245458/K257^5+1.000764/K257^6</f>
        <v>1.9888956553160804</v>
      </c>
      <c r="L258" s="101">
        <v>2</v>
      </c>
      <c r="M258" s="93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spans="1:30" ht="12.75" customHeight="1" x14ac:dyDescent="0.3">
      <c r="A259" s="834" t="s">
        <v>107</v>
      </c>
      <c r="B259" s="794"/>
      <c r="C259" s="794"/>
      <c r="D259" s="794"/>
      <c r="E259" s="794"/>
      <c r="F259" s="794"/>
      <c r="G259" s="794"/>
      <c r="H259" s="794"/>
      <c r="I259" s="794"/>
      <c r="J259" s="780"/>
      <c r="K259" s="99">
        <f>K258*K256</f>
        <v>1.0974312981846437E-2</v>
      </c>
      <c r="L259" s="101">
        <f>L258*K256</f>
        <v>1.1035584448599313E-2</v>
      </c>
      <c r="M259" s="93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spans="1:30" ht="12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spans="1:30" ht="12.75" customHeight="1" x14ac:dyDescent="0.3">
      <c r="A261" s="48" t="s">
        <v>76</v>
      </c>
      <c r="B261" s="48"/>
      <c r="C261" s="48"/>
      <c r="D261" s="48">
        <f>A$17</f>
        <v>60</v>
      </c>
      <c r="E261" s="48" t="str">
        <f>B$17</f>
        <v>MΩ</v>
      </c>
      <c r="F261" s="4"/>
      <c r="G261" s="82"/>
      <c r="H261" s="12"/>
      <c r="I261" s="12"/>
      <c r="J261" s="12"/>
      <c r="K261" s="12"/>
      <c r="L261" s="12"/>
      <c r="M261" s="291" t="str">
        <f>M$37</f>
        <v>Resistance-Measure</v>
      </c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spans="1:30" ht="12.75" customHeight="1" x14ac:dyDescent="0.3">
      <c r="A262" s="84" t="s">
        <v>2</v>
      </c>
      <c r="B262" s="85"/>
      <c r="C262" s="85"/>
      <c r="D262" s="167">
        <f>C18</f>
        <v>11</v>
      </c>
      <c r="E262" s="167" t="str">
        <f>D18</f>
        <v>MΩ</v>
      </c>
      <c r="F262" s="111"/>
      <c r="G262" s="90"/>
      <c r="H262" s="90">
        <v>0.01</v>
      </c>
      <c r="I262" s="90"/>
      <c r="J262" s="90"/>
      <c r="K262" s="90"/>
      <c r="L262" s="90"/>
      <c r="M262" s="76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spans="1:30" ht="12.75" customHeight="1" x14ac:dyDescent="0.3">
      <c r="A263" s="91" t="s">
        <v>78</v>
      </c>
      <c r="B263" s="91" t="s">
        <v>79</v>
      </c>
      <c r="C263" s="91" t="s">
        <v>410</v>
      </c>
      <c r="D263" s="91" t="s">
        <v>80</v>
      </c>
      <c r="E263" s="91" t="s">
        <v>81</v>
      </c>
      <c r="F263" s="92" t="s">
        <v>82</v>
      </c>
      <c r="G263" s="91" t="s">
        <v>83</v>
      </c>
      <c r="H263" s="91" t="s">
        <v>84</v>
      </c>
      <c r="I263" s="91" t="s">
        <v>85</v>
      </c>
      <c r="J263" s="91" t="s">
        <v>86</v>
      </c>
      <c r="K263" s="91" t="s">
        <v>87</v>
      </c>
      <c r="L263" s="91" t="s">
        <v>88</v>
      </c>
      <c r="M263" s="91" t="s">
        <v>89</v>
      </c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spans="1:30" ht="12.75" customHeight="1" x14ac:dyDescent="0.3">
      <c r="A264" s="93" t="s">
        <v>90</v>
      </c>
      <c r="B264" s="165" t="s">
        <v>413</v>
      </c>
      <c r="C264" s="94" t="s">
        <v>42</v>
      </c>
      <c r="D264" s="162" t="str">
        <f>E262</f>
        <v>MΩ</v>
      </c>
      <c r="E264" s="161" t="s">
        <v>631</v>
      </c>
      <c r="F264" s="94">
        <f>STDEV(Data!E178:N178)/SQRT(5)</f>
        <v>0</v>
      </c>
      <c r="G264" s="94">
        <v>1</v>
      </c>
      <c r="H264" s="94">
        <f>5-1</f>
        <v>4</v>
      </c>
      <c r="I264" s="94">
        <f t="shared" ref="I264:I267" si="104">((F264)/G264)</f>
        <v>0</v>
      </c>
      <c r="J264" s="94">
        <v>1</v>
      </c>
      <c r="K264" s="94">
        <f t="shared" ref="K264:K267" si="105">I264*J264</f>
        <v>0</v>
      </c>
      <c r="L264" s="94">
        <f t="shared" ref="L264:L267" si="106">K264^2</f>
        <v>0</v>
      </c>
      <c r="M264" s="94">
        <f t="shared" ref="M264:M267" si="107">(K264^4)/H264</f>
        <v>0</v>
      </c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 spans="1:30" ht="12.75" customHeight="1" x14ac:dyDescent="0.3">
      <c r="A265" s="93" t="s">
        <v>93</v>
      </c>
      <c r="B265" s="165" t="s">
        <v>414</v>
      </c>
      <c r="C265" s="94" t="s">
        <v>95</v>
      </c>
      <c r="D265" s="162" t="str">
        <f>D264</f>
        <v>MΩ</v>
      </c>
      <c r="E265" s="94" t="s">
        <v>96</v>
      </c>
      <c r="F265" s="94">
        <f>H262/2</f>
        <v>5.0000000000000001E-3</v>
      </c>
      <c r="G265" s="94">
        <f>SQRT(3)</f>
        <v>1.7320508075688772</v>
      </c>
      <c r="H265" s="94">
        <v>50</v>
      </c>
      <c r="I265" s="94">
        <f t="shared" si="104"/>
        <v>2.886751345948129E-3</v>
      </c>
      <c r="J265" s="94">
        <v>1</v>
      </c>
      <c r="K265" s="94">
        <f t="shared" si="105"/>
        <v>2.886751345948129E-3</v>
      </c>
      <c r="L265" s="94">
        <f t="shared" si="106"/>
        <v>8.3333333333333337E-6</v>
      </c>
      <c r="M265" s="94">
        <f t="shared" si="107"/>
        <v>1.3888888888888891E-12</v>
      </c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 spans="1:30" ht="12.75" customHeight="1" x14ac:dyDescent="0.3">
      <c r="A266" s="93" t="s">
        <v>97</v>
      </c>
      <c r="B266" s="165" t="s">
        <v>415</v>
      </c>
      <c r="C266" s="94" t="s">
        <v>95</v>
      </c>
      <c r="D266" s="162" t="str">
        <f>D264</f>
        <v>MΩ</v>
      </c>
      <c r="E266" s="94" t="s">
        <v>92</v>
      </c>
      <c r="F266" s="96">
        <f>AD49</f>
        <v>3.3E-4</v>
      </c>
      <c r="G266" s="94">
        <v>2</v>
      </c>
      <c r="H266" s="94">
        <v>60</v>
      </c>
      <c r="I266" s="94">
        <f t="shared" si="104"/>
        <v>1.65E-4</v>
      </c>
      <c r="J266" s="94">
        <v>1</v>
      </c>
      <c r="K266" s="94">
        <f t="shared" si="105"/>
        <v>1.65E-4</v>
      </c>
      <c r="L266" s="94">
        <f t="shared" si="106"/>
        <v>2.7225000000000001E-8</v>
      </c>
      <c r="M266" s="94">
        <f t="shared" si="107"/>
        <v>1.2353343750000002E-17</v>
      </c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 spans="1:30" ht="12.75" customHeight="1" x14ac:dyDescent="0.3">
      <c r="A267" s="93" t="s">
        <v>99</v>
      </c>
      <c r="B267" s="165" t="s">
        <v>416</v>
      </c>
      <c r="C267" s="94" t="s">
        <v>95</v>
      </c>
      <c r="D267" s="162" t="str">
        <f>D264</f>
        <v>MΩ</v>
      </c>
      <c r="E267" s="94" t="s">
        <v>96</v>
      </c>
      <c r="F267" s="94">
        <f>U44</f>
        <v>8.5408915382665963E-3</v>
      </c>
      <c r="G267" s="94">
        <f>SQRT(3)</f>
        <v>1.7320508075688772</v>
      </c>
      <c r="H267" s="94">
        <v>50</v>
      </c>
      <c r="I267" s="94">
        <f t="shared" si="104"/>
        <v>4.9310860287376168E-3</v>
      </c>
      <c r="J267" s="94">
        <v>1</v>
      </c>
      <c r="K267" s="94">
        <f t="shared" si="105"/>
        <v>4.9310860287376168E-3</v>
      </c>
      <c r="L267" s="94">
        <f t="shared" si="106"/>
        <v>2.4315609422811321E-5</v>
      </c>
      <c r="M267" s="94">
        <f t="shared" si="107"/>
        <v>1.1824977232054215E-11</v>
      </c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spans="1:30" ht="12.75" customHeight="1" x14ac:dyDescent="0.3">
      <c r="A268" s="93"/>
      <c r="B268" s="165"/>
      <c r="C268" s="94"/>
      <c r="D268" s="96"/>
      <c r="E268" s="94"/>
      <c r="F268" s="94"/>
      <c r="G268" s="94"/>
      <c r="H268" s="94"/>
      <c r="I268" s="94"/>
      <c r="J268" s="94"/>
      <c r="K268" s="94"/>
      <c r="L268" s="94"/>
      <c r="M268" s="94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spans="1:30" ht="12.75" customHeight="1" x14ac:dyDescent="0.3">
      <c r="A269" s="834" t="s">
        <v>103</v>
      </c>
      <c r="B269" s="794"/>
      <c r="C269" s="794"/>
      <c r="D269" s="794"/>
      <c r="E269" s="794"/>
      <c r="F269" s="794"/>
      <c r="G269" s="794"/>
      <c r="H269" s="794"/>
      <c r="I269" s="794"/>
      <c r="J269" s="780"/>
      <c r="K269" s="835">
        <f>SUM(L264:L268)</f>
        <v>3.2676167756144652E-5</v>
      </c>
      <c r="L269" s="780"/>
      <c r="M269" s="93">
        <f>SUM(M264:M268)</f>
        <v>1.3213878474286853E-11</v>
      </c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 spans="1:30" ht="12.75" customHeight="1" x14ac:dyDescent="0.3">
      <c r="A270" s="834" t="s">
        <v>104</v>
      </c>
      <c r="B270" s="794"/>
      <c r="C270" s="794"/>
      <c r="D270" s="794"/>
      <c r="E270" s="794"/>
      <c r="F270" s="794"/>
      <c r="G270" s="794"/>
      <c r="H270" s="794"/>
      <c r="I270" s="794"/>
      <c r="J270" s="780"/>
      <c r="K270" s="835">
        <f>SQRT(K269)</f>
        <v>5.7163071782528139E-3</v>
      </c>
      <c r="L270" s="780"/>
      <c r="M270" s="93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 spans="1:30" ht="12.75" customHeight="1" x14ac:dyDescent="0.3">
      <c r="A271" s="834" t="s">
        <v>105</v>
      </c>
      <c r="B271" s="794"/>
      <c r="C271" s="794"/>
      <c r="D271" s="794"/>
      <c r="E271" s="794"/>
      <c r="F271" s="794"/>
      <c r="G271" s="794"/>
      <c r="H271" s="794"/>
      <c r="I271" s="794"/>
      <c r="J271" s="780"/>
      <c r="K271" s="99">
        <f>(K270^4)/M269</f>
        <v>80.803826166967369</v>
      </c>
      <c r="L271" s="168"/>
      <c r="M271" s="93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spans="1:30" ht="12.75" customHeight="1" x14ac:dyDescent="0.3">
      <c r="A272" s="834" t="s">
        <v>106</v>
      </c>
      <c r="B272" s="794"/>
      <c r="C272" s="794"/>
      <c r="D272" s="794"/>
      <c r="E272" s="794"/>
      <c r="F272" s="794"/>
      <c r="G272" s="794"/>
      <c r="H272" s="794"/>
      <c r="I272" s="794"/>
      <c r="J272" s="780"/>
      <c r="K272" s="99">
        <f>1.95996+2.37356/K271+2.818745/K271^2+2.546662/K271^3+1.761829/K271^4+0.245458/K271^5+1.000764/K271^6</f>
        <v>1.9897709298066792</v>
      </c>
      <c r="L272" s="101">
        <v>2</v>
      </c>
      <c r="M272" s="93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spans="1:30" ht="12.75" customHeight="1" x14ac:dyDescent="0.3">
      <c r="A273" s="834" t="s">
        <v>107</v>
      </c>
      <c r="B273" s="794"/>
      <c r="C273" s="794"/>
      <c r="D273" s="794"/>
      <c r="E273" s="794"/>
      <c r="F273" s="794"/>
      <c r="G273" s="794"/>
      <c r="H273" s="794"/>
      <c r="I273" s="794"/>
      <c r="J273" s="780"/>
      <c r="K273" s="99">
        <f>K272*K270</f>
        <v>1.1374141849132697E-2</v>
      </c>
      <c r="L273" s="101">
        <f>L272*K270</f>
        <v>1.1432614356505628E-2</v>
      </c>
      <c r="M273" s="93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spans="1:30" ht="12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spans="1:30" ht="12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spans="1:30" ht="12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spans="1:30" ht="12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spans="1:30" ht="12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spans="1:30" ht="12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spans="1:30" ht="12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spans="1:30" ht="12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spans="1:30" ht="12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 spans="1:30" ht="12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 spans="1:30" ht="12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 spans="1:30" ht="12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 spans="1:30" ht="12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 spans="1:30" ht="12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 spans="1:30" ht="12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 spans="1:30" ht="12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 spans="1:30" ht="12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 spans="1:30" ht="12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 spans="1:30" ht="12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 spans="1:30" ht="12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 spans="1:30" ht="12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 spans="1:30" ht="12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 spans="1:30" ht="12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 spans="1:30" ht="12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 spans="1:30" ht="12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 spans="1:30" ht="12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 spans="1:30" ht="12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 spans="1:30" ht="12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 spans="1:30" ht="12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 spans="1:30" ht="12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 spans="1:30" ht="12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 spans="1:30" ht="12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 spans="1:30" ht="12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 spans="1:30" ht="12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 spans="1:30" ht="12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 spans="1:30" ht="12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 spans="1:30" ht="12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 spans="1:30" ht="12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 spans="1:30" ht="12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 spans="1:30" ht="12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 spans="1:30" ht="12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 spans="1:30" ht="12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 spans="1:30" ht="12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 spans="1:30" ht="12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 spans="1:30" ht="12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 spans="1:30" ht="12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 spans="1:30" ht="12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 spans="1:30" ht="12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 spans="1:30" ht="12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 spans="1:30" ht="12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 spans="1:30" ht="12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 spans="1:30" ht="12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 spans="1:30" ht="12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 spans="1:30" ht="12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 spans="1:30" ht="12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 spans="1:30" ht="12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 spans="1:30" ht="12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 spans="1:30" ht="12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 spans="1:30" ht="12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 spans="1:30" ht="12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 spans="1:30" ht="12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 spans="1:30" ht="12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 spans="1:30" ht="12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 spans="1:30" ht="12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 spans="1:30" ht="12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 spans="1:30" ht="12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 spans="1:30" ht="12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 spans="1:30" ht="12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 spans="1:30" ht="12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 spans="1:30" ht="12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 spans="1:30" ht="12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 spans="1:30" ht="12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 spans="1:30" ht="12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 spans="1:30" ht="12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 spans="1:30" ht="12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 spans="1:30" ht="12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 spans="1:30" ht="12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 spans="1:30" ht="12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 spans="1:30" ht="12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 spans="1:30" ht="12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 spans="1:30" ht="12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 spans="1:30" ht="12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 spans="1:30" ht="12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 spans="1:30" ht="12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 spans="1:30" ht="12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 spans="1:30" ht="12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 spans="1:30" ht="12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 spans="1:30" ht="12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 spans="1:30" ht="12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 spans="1:30" ht="12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 spans="1:30" ht="12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 spans="1:30" ht="12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 spans="1:30" ht="12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 spans="1:30" ht="12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 spans="1:30" ht="12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 spans="1:30" ht="12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 spans="1:30" ht="12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 spans="1:30" ht="12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 spans="1:30" ht="12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 spans="1:30" ht="12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 spans="1:30" ht="12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 spans="1:30" ht="12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 spans="1:30" ht="12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 spans="1:30" ht="12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 spans="1:30" ht="12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 spans="1:30" ht="12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 spans="1:30" ht="12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 spans="1:30" ht="12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 spans="1:30" ht="12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 spans="1:30" ht="12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 spans="1:30" ht="12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 spans="1:30" ht="12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 spans="1:30" ht="12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 spans="1:30" ht="12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 spans="1:30" ht="12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 spans="1:30" ht="12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 spans="1:30" ht="12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 spans="1:30" ht="12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 spans="1:30" ht="12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 spans="1:30" ht="12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 spans="1:30" ht="12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 spans="1:30" ht="12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 spans="1:30" ht="12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 spans="1:30" ht="12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 spans="1:30" ht="12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 spans="1:30" ht="12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 spans="1:30" ht="12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 spans="1:30" ht="12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 spans="1:30" ht="12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 spans="1:30" ht="12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 spans="1:30" ht="12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 spans="1:30" ht="12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 spans="1:30" ht="12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 spans="1:30" ht="12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 spans="1:30" ht="12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 spans="1:30" ht="12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 spans="1:30" ht="12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 spans="1:30" ht="12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 spans="1:30" ht="12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 spans="1:30" ht="12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 spans="1:30" ht="12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 spans="1:30" ht="12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 spans="1:30" ht="12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 spans="1:30" ht="12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 spans="1:30" ht="12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 spans="1:30" ht="12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 spans="1:30" ht="12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 spans="1:30" ht="12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 spans="1:30" ht="12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 spans="1:30" ht="12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 spans="1:30" ht="12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 spans="1:30" ht="12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 spans="1:30" ht="12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 spans="1:30" ht="12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 spans="1:30" ht="12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 spans="1:30" ht="12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 spans="1:30" ht="12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 spans="1:30" ht="12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 spans="1:30" ht="12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 spans="1:30" ht="12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 spans="1:30" ht="12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 spans="1:30" ht="12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 spans="1:30" ht="12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 spans="1:30" ht="12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 spans="1:30" ht="12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 spans="1:30" ht="12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 spans="1:30" ht="12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 spans="1:30" ht="12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 spans="1:30" ht="12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 spans="1:30" ht="12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 spans="1:30" ht="12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 spans="1:30" ht="12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 spans="1:30" ht="12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 spans="1:30" ht="12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 spans="1:30" ht="12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 spans="1:30" ht="12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 spans="1:30" ht="12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 spans="1:30" ht="12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 spans="1:30" ht="12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 spans="1:30" ht="12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 spans="1:30" ht="12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 spans="1:30" ht="12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 spans="1:30" ht="12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 spans="1:30" ht="12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 spans="1:30" ht="12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 spans="1:30" ht="12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 spans="1:30" ht="12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 spans="1:30" ht="12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 spans="1:30" ht="12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 spans="1:30" ht="12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 spans="1:30" ht="12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 spans="1:30" ht="12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 spans="1:30" ht="12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 spans="1:30" ht="12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 spans="1:30" ht="12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 spans="1:30" ht="12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 spans="1:30" ht="12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 spans="1:30" ht="12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 spans="1:30" ht="12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 spans="1:30" ht="12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 spans="1:30" ht="12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 spans="1:30" ht="12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 spans="1:30" ht="12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 spans="1:30" ht="12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 spans="1:30" ht="12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 spans="1:30" ht="12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 spans="1:30" ht="12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 spans="1:30" ht="12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 spans="1:30" ht="12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 spans="1:30" ht="12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 spans="1:30" ht="12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 spans="1:30" ht="12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 spans="1:30" ht="12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 spans="1:30" ht="12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 spans="1:30" ht="12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 spans="1:30" ht="12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 spans="1:30" ht="12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 spans="1:30" ht="12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 spans="1:30" ht="12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 spans="1:30" ht="12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 spans="1:30" ht="12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 spans="1:30" ht="12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 spans="1:30" ht="12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 spans="1:30" ht="12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 spans="1:30" ht="12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 spans="1:30" ht="12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 spans="1:30" ht="12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 spans="1:30" ht="12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 spans="1:30" ht="12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 spans="1:30" ht="12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 spans="1:30" ht="12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 spans="1:30" ht="12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 spans="1:30" ht="12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 spans="1:30" ht="12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 spans="1:30" ht="12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 spans="1:30" ht="12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 spans="1:30" ht="12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 spans="1:30" ht="12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 spans="1:30" ht="12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 spans="1:30" ht="12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 spans="1:30" ht="12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 spans="1:30" ht="12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 spans="1:30" ht="12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 spans="1:30" ht="12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 spans="1:30" ht="12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 spans="1:30" ht="12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 spans="1:30" ht="12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 spans="1:30" ht="12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 spans="1:30" ht="12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 spans="1:30" ht="12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 spans="1:30" ht="12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 spans="1:30" ht="12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 spans="1:30" ht="12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 spans="1:30" ht="12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 spans="1:30" ht="12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 spans="1:30" ht="12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 spans="1:30" ht="12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 spans="1:30" ht="12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 spans="1:30" ht="12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 spans="1:30" ht="12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 spans="1:30" ht="12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 spans="1:30" ht="12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 spans="1:30" ht="12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 spans="1:30" ht="12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 spans="1:30" ht="12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 spans="1:30" ht="12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 spans="1:30" ht="12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 spans="1:30" ht="12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 spans="1:30" ht="12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 spans="1:30" ht="12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 spans="1:30" ht="12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 spans="1:30" ht="12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 spans="1:30" ht="12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 spans="1:30" ht="12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 spans="1:30" ht="12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 spans="1:30" ht="12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 spans="1:30" ht="12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 spans="1:30" ht="12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 spans="1:30" ht="12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 spans="1:30" ht="12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 spans="1:30" ht="12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 spans="1:30" ht="12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 spans="1:30" ht="12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 spans="1:30" ht="12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 spans="1:30" ht="12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 spans="1:30" ht="12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 spans="1:30" ht="12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 spans="1:30" ht="12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 spans="1:30" ht="12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 spans="1:30" ht="12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 spans="1:30" ht="12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 spans="1:30" ht="12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 spans="1:30" ht="12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 spans="1:30" ht="12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 spans="1:30" ht="12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 spans="1:30" ht="12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 spans="1:30" ht="12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 spans="1:30" ht="12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 spans="1:30" ht="12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 spans="1:30" ht="12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 spans="1:30" ht="12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 spans="1:30" ht="12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 spans="1:30" ht="12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 spans="1:30" ht="12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 spans="1:30" ht="12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 spans="1:30" ht="12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 spans="1:30" ht="12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 spans="1:30" ht="12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 spans="1:30" ht="12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 spans="1:30" ht="12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 spans="1:30" ht="12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 spans="1:30" ht="12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 spans="1:30" ht="12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 spans="1:30" ht="12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 spans="1:30" ht="12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 spans="1:30" ht="12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 spans="1:30" ht="12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 spans="1:30" ht="12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 spans="1:30" ht="12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 spans="1:30" ht="12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 spans="1:30" ht="12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 spans="1:30" ht="12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 spans="1:30" ht="12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 spans="1:30" ht="12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 spans="1:30" ht="12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 spans="1:30" ht="12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 spans="1:30" ht="12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 spans="1:30" ht="12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 spans="1:30" ht="12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 spans="1:30" ht="12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 spans="1:30" ht="12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 spans="1:30" ht="12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 spans="1:30" ht="12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 spans="1:30" ht="12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 spans="1:30" ht="12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 spans="1:30" ht="12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 spans="1:30" ht="12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 spans="1:30" ht="12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 spans="1:30" ht="12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 spans="1:30" ht="12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 spans="1:30" ht="12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 spans="1:30" ht="12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 spans="1:30" ht="12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 spans="1:30" ht="12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 spans="1:30" ht="12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 spans="1:30" ht="12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 spans="1:30" ht="12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 spans="1:30" ht="12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 spans="1:30" ht="12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 spans="1:30" ht="12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 spans="1:30" ht="12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 spans="1:30" ht="12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 spans="1:30" ht="12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 spans="1:30" ht="12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 spans="1:30" ht="12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 spans="1:30" ht="12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 spans="1:30" ht="12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 spans="1:30" ht="12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 spans="1:30" ht="12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 spans="1:30" ht="12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 spans="1:30" ht="12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 spans="1:30" ht="12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 spans="1:30" ht="12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 spans="1:30" ht="12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 spans="1:30" ht="12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 spans="1:30" ht="12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 spans="1:30" ht="12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 spans="1:30" ht="12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 spans="1:30" ht="12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 spans="1:30" ht="12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 spans="1:30" ht="12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 spans="1:30" ht="12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 spans="1:30" ht="12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 spans="1:30" ht="12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 spans="1:30" ht="12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 spans="1:30" ht="12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 spans="1:30" ht="12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 spans="1:30" ht="12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 spans="1:30" ht="12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 spans="1:30" ht="12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 spans="1:30" ht="12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 spans="1:30" ht="12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 spans="1:30" ht="12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 spans="1:30" ht="12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 spans="1:30" ht="12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 spans="1:30" ht="12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 spans="1:30" ht="12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 spans="1:30" ht="12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 spans="1:30" ht="12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 spans="1:30" ht="12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 spans="1:30" ht="12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 spans="1:30" ht="12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 spans="1:30" ht="12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 spans="1:30" ht="12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 spans="1:30" ht="12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 spans="1:30" ht="12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 spans="1:30" ht="12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 spans="1:30" ht="12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 spans="1:30" ht="12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 spans="1:30" ht="12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 spans="1:30" ht="12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 spans="1:30" ht="12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 spans="1:30" ht="12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 spans="1:30" ht="12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 spans="1:30" ht="12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 spans="1:30" ht="12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 spans="1:30" ht="12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 spans="1:30" ht="12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 spans="1:30" ht="12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 spans="1:30" ht="12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 spans="1:30" ht="12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 spans="1:30" ht="12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 spans="1:30" ht="12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 spans="1:30" ht="12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 spans="1:30" ht="12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 spans="1:30" ht="12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 spans="1:30" ht="12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 spans="1:30" ht="12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 spans="1:30" ht="12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 spans="1:30" ht="12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 spans="1:30" ht="12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 spans="1:30" ht="12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 spans="1:30" ht="12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 spans="1:30" ht="12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 spans="1:30" ht="12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 spans="1:30" ht="12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 spans="1:30" ht="12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 spans="1:30" ht="12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 spans="1:30" ht="12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 spans="1:30" ht="12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 spans="1:30" ht="12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 spans="1:30" ht="12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 spans="1:30" ht="12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 spans="1:30" ht="12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 spans="1:30" ht="12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 spans="1:30" ht="12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 spans="1:30" ht="12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 spans="1:30" ht="12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 spans="1:30" ht="12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 spans="1:30" ht="12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 spans="1:30" ht="12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 spans="1:30" ht="12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 spans="1:30" ht="12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 spans="1:30" ht="12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 spans="1:30" ht="12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 spans="1:30" ht="12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 spans="1:30" ht="12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 spans="1:30" ht="12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 spans="1:30" ht="12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 spans="1:30" ht="12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 spans="1:30" ht="12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 spans="1:30" ht="12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 spans="1:30" ht="12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 spans="1:30" ht="12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 spans="1:30" ht="12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 spans="1:30" ht="12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 spans="1:30" ht="12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 spans="1:30" ht="12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 spans="1:30" ht="12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 spans="1:30" ht="12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 spans="1:30" ht="12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 spans="1:30" ht="12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 spans="1:30" ht="12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 spans="1:30" ht="12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 spans="1:30" ht="12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 spans="1:30" ht="12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 spans="1:30" ht="12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 spans="1:30" ht="12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 spans="1:30" ht="12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 spans="1:30" ht="12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 spans="1:30" ht="12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 spans="1:30" ht="12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 spans="1:30" ht="12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 spans="1:30" ht="12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 spans="1:30" ht="12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 spans="1:30" ht="12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 spans="1:30" ht="12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 spans="1:30" ht="12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 spans="1:30" ht="12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 spans="1:30" ht="12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 spans="1:30" ht="12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 spans="1:30" ht="12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 spans="1:30" ht="12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 spans="1:30" ht="12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 spans="1:30" ht="12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 spans="1:30" ht="12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 spans="1:30" ht="12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 spans="1:30" ht="12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 spans="1:30" ht="12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 spans="1:30" ht="12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 spans="1:30" ht="12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 spans="1:30" ht="12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 spans="1:30" ht="12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 spans="1:30" ht="12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 spans="1:30" ht="12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 spans="1:30" ht="12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 spans="1:30" ht="12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 spans="1:30" ht="12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 spans="1:30" ht="12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 spans="1:30" ht="12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 spans="1:30" ht="12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 spans="1:30" ht="12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 spans="1:30" ht="12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 spans="1:30" ht="12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 spans="1:30" ht="12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 spans="1:30" ht="12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 spans="1:30" ht="12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 spans="1:30" ht="12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 spans="1:30" ht="12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 spans="1:30" ht="12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 spans="1:30" ht="12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 spans="1:30" ht="12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 spans="1:30" ht="12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 spans="1:30" ht="12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 spans="1:30" ht="12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 spans="1:30" ht="12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 spans="1:30" ht="12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 spans="1:30" ht="12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 spans="1:30" ht="12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 spans="1:30" ht="12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 spans="1:30" ht="12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 spans="1:30" ht="12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 spans="1:30" ht="12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 spans="1:30" ht="12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 spans="1:30" ht="12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 spans="1:30" ht="12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 spans="1:30" ht="12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 spans="1:30" ht="12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 spans="1:30" ht="12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 spans="1:30" ht="12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 spans="1:30" ht="12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 spans="1:30" ht="12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 spans="1:30" ht="12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 spans="1:30" ht="12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 spans="1:30" ht="12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 spans="1:30" ht="12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 spans="1:30" ht="12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 spans="1:30" ht="12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 spans="1:30" ht="12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 spans="1:30" ht="12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 spans="1:30" ht="12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 spans="1:30" ht="12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 spans="1:30" ht="12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 spans="1:30" ht="12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 spans="1:30" ht="12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 spans="1:30" ht="12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 spans="1:30" ht="12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 spans="1:30" ht="12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 spans="1:30" ht="12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 spans="1:30" ht="12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 spans="1:30" ht="12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 spans="1:30" ht="12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 spans="1:30" ht="12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 spans="1:30" ht="12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 spans="1:30" ht="12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 spans="1:30" ht="12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 spans="1:30" ht="12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 spans="1:30" ht="12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 spans="1:30" ht="12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 spans="1:30" ht="12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 spans="1:30" ht="12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 spans="1:30" ht="12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 spans="1:30" ht="12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 spans="1:30" ht="12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 spans="1:30" ht="12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 spans="1:30" ht="12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 spans="1:30" ht="12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 spans="1:30" ht="12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 spans="1:30" ht="12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 spans="1:30" ht="12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 spans="1:30" ht="12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 spans="1:30" ht="12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 spans="1:30" ht="12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 spans="1:30" ht="12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 spans="1:30" ht="12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 spans="1:30" ht="12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 spans="1:30" ht="12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 spans="1:30" ht="12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 spans="1:30" ht="12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 spans="1:30" ht="12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 spans="1:30" ht="12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 spans="1:30" ht="12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 spans="1:30" ht="12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 spans="1:30" ht="12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 spans="1:30" ht="12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 spans="1:30" ht="12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 spans="1:30" ht="12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 spans="1:30" ht="12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 spans="1:30" ht="12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 spans="1:30" ht="12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 spans="1:30" ht="12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 spans="1:30" ht="12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 spans="1:30" ht="12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 spans="1:30" ht="12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 spans="1:30" ht="12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 spans="1:30" ht="12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 spans="1:30" ht="12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 spans="1:30" ht="12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 spans="1:30" ht="12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 spans="1:30" ht="12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 spans="1:30" ht="12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 spans="1:30" ht="12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 spans="1:30" ht="12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 spans="1:30" ht="12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 spans="1:30" ht="12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 spans="1:30" ht="12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 spans="1:30" ht="12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 spans="1:30" ht="12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 spans="1:30" ht="12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 spans="1:30" ht="12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 spans="1:30" ht="12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 spans="1:30" ht="12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 spans="1:30" ht="12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 spans="1:30" ht="12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 spans="1:30" ht="12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 spans="1:30" ht="12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 spans="1:30" ht="12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 spans="1:30" ht="12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 spans="1:30" ht="12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 spans="1:30" ht="12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 spans="1:30" ht="12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 spans="1:30" ht="12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 spans="1:30" ht="12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 spans="1:30" ht="12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 spans="1:30" ht="12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 spans="1:30" ht="12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 spans="1:30" ht="12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 spans="1:30" ht="12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 spans="1:30" ht="12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 spans="1:30" ht="12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 spans="1:30" ht="12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 spans="1:30" ht="12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 spans="1:30" ht="12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 spans="1:30" ht="12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 spans="1:30" ht="12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 spans="1:30" ht="12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 spans="1:30" ht="12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 spans="1:30" ht="12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 spans="1:30" ht="12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 spans="1:30" ht="12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 spans="1:30" ht="12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 spans="1:30" ht="12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 spans="1:30" ht="12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 spans="1:30" ht="12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 spans="1:30" ht="12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 spans="1:30" ht="12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 spans="1:30" ht="12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 spans="1:30" ht="12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 spans="1:30" ht="12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 spans="1:30" ht="12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 spans="1:30" ht="12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 spans="1:30" ht="12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 spans="1:30" ht="12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 spans="1:30" ht="12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 spans="1:30" ht="12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 spans="1:30" ht="12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 spans="1:30" ht="12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 spans="1:30" ht="12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 spans="1:30" ht="12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 spans="1:30" ht="12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 spans="1:30" ht="12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 spans="1:30" ht="12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 spans="1:30" ht="12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 spans="1:30" ht="12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 spans="1:30" ht="12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 spans="1:30" ht="12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 spans="1:30" ht="12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 spans="1:30" ht="12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 spans="1:30" ht="12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 spans="1:30" ht="12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 spans="1:30" ht="12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 spans="1:30" ht="12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 spans="1:30" ht="12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 spans="1:30" ht="12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 spans="1:30" ht="12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 spans="1:30" ht="12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 spans="1:30" ht="12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 spans="1:30" ht="12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 spans="1:30" ht="12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 spans="1:30" ht="12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 spans="1:30" ht="12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 spans="1:30" ht="12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 spans="1:30" ht="12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 spans="1:30" ht="12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 spans="1:30" ht="12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 spans="1:30" ht="12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 spans="1:30" ht="12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 spans="1:30" ht="12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 spans="1:30" ht="12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 spans="1:30" ht="12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 spans="1:30" ht="12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 spans="1:30" ht="12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 spans="1:30" ht="12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 spans="1:30" ht="12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 spans="1:30" ht="12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 spans="1:30" ht="12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 spans="1:30" ht="12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 spans="1:30" ht="12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 spans="1:30" ht="12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 spans="1:30" ht="12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 spans="1:30" ht="12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 spans="1:30" ht="12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 spans="1:30" ht="12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 spans="1:30" ht="12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 spans="1:30" ht="12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 spans="1:30" ht="12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 spans="1:30" ht="12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 spans="1:30" ht="12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 spans="1:30" ht="12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 spans="1:30" ht="12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 spans="1:30" ht="12.7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 spans="1:30" ht="12.7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 spans="1:30" ht="12.7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 spans="1:30" ht="12.7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 spans="1:30" ht="12.7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 spans="1:30" ht="12.7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 spans="1:30" ht="12.7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 spans="1:30" ht="12.7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  <row r="992" spans="1:30" ht="12.7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</row>
    <row r="993" spans="1:30" ht="12.7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</row>
    <row r="994" spans="1:30" ht="12.7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</row>
    <row r="995" spans="1:30" ht="12.7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</row>
    <row r="996" spans="1:30" ht="12.7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</row>
    <row r="997" spans="1:30" ht="12.7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</row>
    <row r="998" spans="1:30" ht="12.7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</row>
    <row r="999" spans="1:30" ht="12.7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</row>
    <row r="1000" spans="1:30" ht="12.7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</row>
    <row r="1001" spans="1:30" ht="12.75" customHeight="1" x14ac:dyDescent="0.3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</row>
    <row r="1002" spans="1:30" ht="12.75" customHeight="1" x14ac:dyDescent="0.3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</row>
    <row r="1003" spans="1:30" ht="12.75" customHeight="1" x14ac:dyDescent="0.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</row>
    <row r="1004" spans="1:30" ht="12.75" customHeight="1" x14ac:dyDescent="0.3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</row>
    <row r="1005" spans="1:30" ht="12.75" customHeight="1" x14ac:dyDescent="0.3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</row>
    <row r="1006" spans="1:30" ht="12.75" customHeight="1" x14ac:dyDescent="0.3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</row>
    <row r="1007" spans="1:30" ht="12.75" customHeight="1" x14ac:dyDescent="0.3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</row>
    <row r="1008" spans="1:30" ht="12.75" customHeight="1" x14ac:dyDescent="0.3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</row>
    <row r="1009" spans="1:30" ht="12.75" customHeight="1" x14ac:dyDescent="0.3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</row>
    <row r="1010" spans="1:30" ht="12.75" customHeight="1" x14ac:dyDescent="0.3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</row>
    <row r="1011" spans="1:30" ht="12.75" customHeight="1" x14ac:dyDescent="0.3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</row>
    <row r="1012" spans="1:30" ht="12.75" customHeight="1" x14ac:dyDescent="0.3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</row>
    <row r="1013" spans="1:30" ht="12.75" customHeight="1" x14ac:dyDescent="0.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</row>
    <row r="1014" spans="1:30" ht="12.75" customHeight="1" x14ac:dyDescent="0.3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</row>
    <row r="1015" spans="1:30" ht="12.75" customHeight="1" x14ac:dyDescent="0.3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</row>
    <row r="1016" spans="1:30" ht="12.75" customHeight="1" x14ac:dyDescent="0.3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</row>
    <row r="1017" spans="1:30" ht="12.75" customHeight="1" x14ac:dyDescent="0.3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</row>
  </sheetData>
  <mergeCells count="128">
    <mergeCell ref="A189:J189"/>
    <mergeCell ref="A199:J199"/>
    <mergeCell ref="K199:L199"/>
    <mergeCell ref="A200:J200"/>
    <mergeCell ref="K200:L200"/>
    <mergeCell ref="A201:J201"/>
    <mergeCell ref="A202:J202"/>
    <mergeCell ref="A203:J203"/>
    <mergeCell ref="A173:J173"/>
    <mergeCell ref="A174:J174"/>
    <mergeCell ref="A175:J175"/>
    <mergeCell ref="A185:J185"/>
    <mergeCell ref="K185:L185"/>
    <mergeCell ref="A186:J186"/>
    <mergeCell ref="K186:L186"/>
    <mergeCell ref="A187:J187"/>
    <mergeCell ref="A188:J188"/>
    <mergeCell ref="A158:J158"/>
    <mergeCell ref="K158:L158"/>
    <mergeCell ref="A159:J159"/>
    <mergeCell ref="A160:J160"/>
    <mergeCell ref="A161:J161"/>
    <mergeCell ref="A171:J171"/>
    <mergeCell ref="K171:L171"/>
    <mergeCell ref="A172:J172"/>
    <mergeCell ref="K172:L172"/>
    <mergeCell ref="A143:J143"/>
    <mergeCell ref="K143:L143"/>
    <mergeCell ref="A144:J144"/>
    <mergeCell ref="K144:L144"/>
    <mergeCell ref="A145:J145"/>
    <mergeCell ref="A146:J146"/>
    <mergeCell ref="A147:J147"/>
    <mergeCell ref="A157:J157"/>
    <mergeCell ref="K157:L157"/>
    <mergeCell ref="A243:J243"/>
    <mergeCell ref="A244:J244"/>
    <mergeCell ref="A245:J245"/>
    <mergeCell ref="A227:J227"/>
    <mergeCell ref="K227:L227"/>
    <mergeCell ref="A228:J228"/>
    <mergeCell ref="K228:L228"/>
    <mergeCell ref="A229:J229"/>
    <mergeCell ref="A230:J230"/>
    <mergeCell ref="A231:J231"/>
    <mergeCell ref="A214:J214"/>
    <mergeCell ref="K214:L214"/>
    <mergeCell ref="A215:J215"/>
    <mergeCell ref="A216:J216"/>
    <mergeCell ref="A217:J217"/>
    <mergeCell ref="A241:J241"/>
    <mergeCell ref="K241:L241"/>
    <mergeCell ref="A242:J242"/>
    <mergeCell ref="K242:L242"/>
    <mergeCell ref="A91:J91"/>
    <mergeCell ref="A101:J101"/>
    <mergeCell ref="K101:L101"/>
    <mergeCell ref="A102:J102"/>
    <mergeCell ref="K102:L102"/>
    <mergeCell ref="A103:J103"/>
    <mergeCell ref="A132:J132"/>
    <mergeCell ref="A133:J133"/>
    <mergeCell ref="A213:J213"/>
    <mergeCell ref="K213:L213"/>
    <mergeCell ref="A104:J104"/>
    <mergeCell ref="A105:J105"/>
    <mergeCell ref="A115:J115"/>
    <mergeCell ref="K115:L115"/>
    <mergeCell ref="A116:J116"/>
    <mergeCell ref="K116:L116"/>
    <mergeCell ref="A117:J117"/>
    <mergeCell ref="A118:J118"/>
    <mergeCell ref="A119:J119"/>
    <mergeCell ref="A129:J129"/>
    <mergeCell ref="K129:L129"/>
    <mergeCell ref="A130:J130"/>
    <mergeCell ref="K130:L130"/>
    <mergeCell ref="A131:J131"/>
    <mergeCell ref="A75:J75"/>
    <mergeCell ref="A76:J76"/>
    <mergeCell ref="A77:J77"/>
    <mergeCell ref="A87:J87"/>
    <mergeCell ref="K87:L87"/>
    <mergeCell ref="A88:J88"/>
    <mergeCell ref="K88:L88"/>
    <mergeCell ref="A89:J89"/>
    <mergeCell ref="A90:J90"/>
    <mergeCell ref="A60:J60"/>
    <mergeCell ref="K60:L60"/>
    <mergeCell ref="A61:J61"/>
    <mergeCell ref="A62:J62"/>
    <mergeCell ref="A63:J63"/>
    <mergeCell ref="A73:J73"/>
    <mergeCell ref="K73:L73"/>
    <mergeCell ref="A74:J74"/>
    <mergeCell ref="K74:L74"/>
    <mergeCell ref="A45:J45"/>
    <mergeCell ref="K45:L45"/>
    <mergeCell ref="A46:J46"/>
    <mergeCell ref="K46:L46"/>
    <mergeCell ref="A47:J47"/>
    <mergeCell ref="A48:J48"/>
    <mergeCell ref="A49:J49"/>
    <mergeCell ref="A59:J59"/>
    <mergeCell ref="K59:L59"/>
    <mergeCell ref="A1:B1"/>
    <mergeCell ref="C1:D1"/>
    <mergeCell ref="F1:G1"/>
    <mergeCell ref="K1:L1"/>
    <mergeCell ref="A27:D27"/>
    <mergeCell ref="O27:P27"/>
    <mergeCell ref="W27:X27"/>
    <mergeCell ref="A28:D28"/>
    <mergeCell ref="A29:D29"/>
    <mergeCell ref="A270:J270"/>
    <mergeCell ref="K270:L270"/>
    <mergeCell ref="A271:J271"/>
    <mergeCell ref="A272:J272"/>
    <mergeCell ref="A273:J273"/>
    <mergeCell ref="A255:J255"/>
    <mergeCell ref="K255:L255"/>
    <mergeCell ref="A256:J256"/>
    <mergeCell ref="K256:L256"/>
    <mergeCell ref="A257:J257"/>
    <mergeCell ref="A258:J258"/>
    <mergeCell ref="A259:J259"/>
    <mergeCell ref="A269:J269"/>
    <mergeCell ref="K269:L269"/>
  </mergeCells>
  <pageMargins left="0.7" right="0.7" top="0.75" bottom="0.75" header="0" footer="0"/>
  <pageSetup orientation="portrait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001"/>
  <sheetViews>
    <sheetView workbookViewId="0"/>
  </sheetViews>
  <sheetFormatPr defaultColWidth="14.44140625" defaultRowHeight="15" customHeight="1" x14ac:dyDescent="0.3"/>
  <cols>
    <col min="1" max="7" width="9.109375" customWidth="1"/>
    <col min="8" max="26" width="8.6640625" customWidth="1"/>
  </cols>
  <sheetData>
    <row r="1" spans="1:26" ht="12.75" customHeight="1" x14ac:dyDescent="0.3">
      <c r="A1" s="1">
        <v>2024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 x14ac:dyDescent="0.3">
      <c r="A2" s="870" t="s">
        <v>531</v>
      </c>
      <c r="B2" s="809"/>
      <c r="C2" s="809"/>
      <c r="D2" s="1"/>
      <c r="E2" s="870" t="s">
        <v>532</v>
      </c>
      <c r="F2" s="809"/>
      <c r="G2" s="809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 x14ac:dyDescent="0.3">
      <c r="A3" s="169" t="s">
        <v>533</v>
      </c>
      <c r="B3" s="169" t="s">
        <v>534</v>
      </c>
      <c r="C3" s="169" t="s">
        <v>535</v>
      </c>
      <c r="D3" s="169"/>
      <c r="E3" s="169" t="s">
        <v>533</v>
      </c>
      <c r="F3" s="169" t="s">
        <v>534</v>
      </c>
      <c r="G3" s="169" t="s">
        <v>535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 x14ac:dyDescent="0.3">
      <c r="A4" s="1">
        <v>19.5</v>
      </c>
      <c r="B4" s="1">
        <v>0.5</v>
      </c>
      <c r="C4" s="5">
        <v>2</v>
      </c>
      <c r="D4" s="1"/>
      <c r="E4" s="1">
        <v>39.799999999999997</v>
      </c>
      <c r="F4" s="1">
        <v>0.2</v>
      </c>
      <c r="G4" s="1">
        <v>2.5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customHeight="1" x14ac:dyDescent="0.3">
      <c r="A5" s="5">
        <v>25</v>
      </c>
      <c r="B5" s="5">
        <v>0</v>
      </c>
      <c r="C5" s="5">
        <v>2</v>
      </c>
      <c r="D5" s="1"/>
      <c r="E5" s="5">
        <v>49</v>
      </c>
      <c r="F5" s="5">
        <v>1</v>
      </c>
      <c r="G5" s="1">
        <v>2.8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customHeight="1" x14ac:dyDescent="0.3">
      <c r="A6" s="1">
        <v>30.4</v>
      </c>
      <c r="B6" s="1">
        <v>-0.4</v>
      </c>
      <c r="C6" s="5">
        <v>2</v>
      </c>
      <c r="D6" s="1"/>
      <c r="E6" s="1">
        <v>58.8</v>
      </c>
      <c r="F6" s="1">
        <v>1.2</v>
      </c>
      <c r="G6" s="1">
        <v>3.2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customHeight="1" x14ac:dyDescent="0.3">
      <c r="A7" s="1">
        <v>35.799999999999997</v>
      </c>
      <c r="B7" s="1">
        <v>-0.8</v>
      </c>
      <c r="C7" s="5">
        <v>2</v>
      </c>
      <c r="D7" s="1"/>
      <c r="E7" s="1">
        <v>68.599999999999994</v>
      </c>
      <c r="F7" s="1">
        <v>1.4</v>
      </c>
      <c r="G7" s="5">
        <v>2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 x14ac:dyDescent="0.3">
      <c r="A8" s="1">
        <v>41.2</v>
      </c>
      <c r="B8" s="1">
        <v>-1.2</v>
      </c>
      <c r="C8" s="5">
        <v>2</v>
      </c>
      <c r="D8" s="1"/>
      <c r="E8" s="1">
        <v>78.900000000000006</v>
      </c>
      <c r="F8" s="1">
        <v>1.1000000000000001</v>
      </c>
      <c r="G8" s="1">
        <v>2.6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customHeight="1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customHeight="1" x14ac:dyDescent="0.3">
      <c r="A10" s="243">
        <v>2023</v>
      </c>
    </row>
    <row r="11" spans="1:26" ht="12.75" customHeight="1" x14ac:dyDescent="0.3">
      <c r="A11" s="870" t="s">
        <v>531</v>
      </c>
      <c r="B11" s="809"/>
      <c r="C11" s="809"/>
      <c r="D11" s="1"/>
      <c r="E11" s="870" t="s">
        <v>532</v>
      </c>
      <c r="F11" s="809"/>
      <c r="G11" s="809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.75" customHeight="1" x14ac:dyDescent="0.3">
      <c r="A12" s="169" t="s">
        <v>533</v>
      </c>
      <c r="B12" s="169" t="s">
        <v>534</v>
      </c>
      <c r="C12" s="169" t="s">
        <v>535</v>
      </c>
      <c r="D12" s="169"/>
      <c r="E12" s="169" t="s">
        <v>533</v>
      </c>
      <c r="F12" s="169" t="s">
        <v>534</v>
      </c>
      <c r="G12" s="169" t="s">
        <v>535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.75" customHeight="1" x14ac:dyDescent="0.3">
      <c r="A13" s="1">
        <v>19.7</v>
      </c>
      <c r="B13" s="1">
        <v>0.3</v>
      </c>
      <c r="C13" s="5">
        <v>2</v>
      </c>
      <c r="D13" s="1"/>
      <c r="E13" s="1">
        <v>79.099999999999994</v>
      </c>
      <c r="F13" s="1">
        <v>0.9</v>
      </c>
      <c r="G13" s="1">
        <v>2.6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.75" customHeight="1" x14ac:dyDescent="0.3">
      <c r="A14" s="1">
        <v>24.8</v>
      </c>
      <c r="B14" s="1">
        <v>0.1</v>
      </c>
      <c r="C14" s="5">
        <v>2</v>
      </c>
      <c r="D14" s="1"/>
      <c r="E14" s="1">
        <v>69.099999999999994</v>
      </c>
      <c r="F14" s="5">
        <v>1</v>
      </c>
      <c r="G14" s="1">
        <v>2.1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customHeight="1" x14ac:dyDescent="0.3">
      <c r="A15" s="1">
        <v>29.8</v>
      </c>
      <c r="B15" s="1">
        <v>0.3</v>
      </c>
      <c r="C15" s="5">
        <v>2</v>
      </c>
      <c r="D15" s="1"/>
      <c r="E15" s="1">
        <v>59.8</v>
      </c>
      <c r="F15" s="1">
        <v>0.2</v>
      </c>
      <c r="G15" s="1">
        <v>3.3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.75" customHeight="1" x14ac:dyDescent="0.3">
      <c r="A16" s="1">
        <v>35.200000000000003</v>
      </c>
      <c r="B16" s="1">
        <v>-0.2</v>
      </c>
      <c r="C16" s="5">
        <v>2</v>
      </c>
      <c r="D16" s="1"/>
      <c r="E16" s="1">
        <v>49.3</v>
      </c>
      <c r="F16" s="1">
        <v>0.7</v>
      </c>
      <c r="G16" s="1">
        <v>2.9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customHeight="1" x14ac:dyDescent="0.3">
      <c r="A17" s="1">
        <v>40.700000000000003</v>
      </c>
      <c r="B17" s="1">
        <v>-0.7</v>
      </c>
      <c r="C17" s="5">
        <v>2</v>
      </c>
      <c r="D17" s="1"/>
      <c r="E17" s="1">
        <v>38.1</v>
      </c>
      <c r="F17" s="1">
        <v>1.7</v>
      </c>
      <c r="G17" s="1">
        <v>2.9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2.75" customHeight="1" x14ac:dyDescent="0.3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4">
    <mergeCell ref="A11:C11"/>
    <mergeCell ref="E11:G11"/>
    <mergeCell ref="A2:C2"/>
    <mergeCell ref="E2:G2"/>
  </mergeCells>
  <pageMargins left="0.7" right="0.7" top="0.75" bottom="0.75" header="0" footer="0"/>
  <pageSetup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601B2-D23B-46AA-A716-D887894C629F}">
  <dimension ref="A1:A3"/>
  <sheetViews>
    <sheetView topLeftCell="A10" workbookViewId="0">
      <selection activeCell="J10" sqref="J10"/>
    </sheetView>
  </sheetViews>
  <sheetFormatPr defaultRowHeight="14.4" x14ac:dyDescent="0.3"/>
  <sheetData>
    <row r="1" spans="1:1" x14ac:dyDescent="0.3">
      <c r="A1" t="s">
        <v>639</v>
      </c>
    </row>
    <row r="2" spans="1:1" x14ac:dyDescent="0.3">
      <c r="A2" t="s">
        <v>35</v>
      </c>
    </row>
    <row r="3" spans="1:1" x14ac:dyDescent="0.3">
      <c r="A3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Sertifikat</vt:lpstr>
      <vt:lpstr>Data</vt:lpstr>
      <vt:lpstr>Sheet1</vt:lpstr>
      <vt:lpstr>Kor&amp;U95% VAC</vt:lpstr>
      <vt:lpstr>Kor&amp;U95% VDC</vt:lpstr>
      <vt:lpstr>Kor&amp;U95% IDC</vt:lpstr>
      <vt:lpstr>Kor&amp;U95% IAC</vt:lpstr>
      <vt:lpstr>Kor&amp;U95% R</vt:lpstr>
      <vt:lpstr>24_THM A21011892</vt:lpstr>
      <vt:lpstr>Database </vt:lpstr>
      <vt:lpstr>Sertifikat!Print_Area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Athalla Abhiyoga</cp:lastModifiedBy>
  <cp:lastPrinted>2026-03-12T03:27:33Z</cp:lastPrinted>
  <dcterms:created xsi:type="dcterms:W3CDTF">2021-10-05T08:53:01Z</dcterms:created>
  <dcterms:modified xsi:type="dcterms:W3CDTF">2026-03-12T03:27:33Z</dcterms:modified>
</cp:coreProperties>
</file>