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e65d6d73070849b/Desktop/"/>
    </mc:Choice>
  </mc:AlternateContent>
  <xr:revisionPtr revIDLastSave="282" documentId="13_ncr:1_{3DB25233-D61E-49BB-97BF-1ADC4EAF8A58}" xr6:coauthVersionLast="47" xr6:coauthVersionMax="47" xr10:uidLastSave="{305DBC29-363E-4F04-A784-3A6C18C8EED5}"/>
  <bookViews>
    <workbookView xWindow="-108" yWindow="-108" windowWidth="23256" windowHeight="12456" firstSheet="1" activeTab="2" xr2:uid="{86A2F13B-1779-4353-8DD3-3C6AC5054F0B}"/>
  </bookViews>
  <sheets>
    <sheet name="Sertifikat" sheetId="17" r:id="rId1"/>
    <sheet name="Data Mentah PT100" sheetId="2" r:id="rId2"/>
    <sheet name="Olahdata-PT100 C" sheetId="3" r:id="rId3"/>
    <sheet name="Budget PT100" sheetId="6" r:id="rId4"/>
    <sheet name="THM A21011860&amp;Oakton" sheetId="13" r:id="rId5"/>
    <sheet name="data sertifikat PT100" sheetId="14" r:id="rId6"/>
    <sheet name="Zero&amp;Air" sheetId="23" r:id="rId7"/>
    <sheet name="Oil Bath" sheetId="22" r:id="rId8"/>
    <sheet name="sertbawaan PT100" sheetId="16" r:id="rId9"/>
    <sheet name="Sert PT1002024" sheetId="15" r:id="rId10"/>
    <sheet name="drift beamex tc305-Pt100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/>
  <c r="D72" i="6" l="1"/>
  <c r="I20" i="3"/>
  <c r="I21" i="3"/>
  <c r="I22" i="3"/>
  <c r="I23" i="3"/>
  <c r="I24" i="3"/>
  <c r="I25" i="3"/>
  <c r="I26" i="3"/>
  <c r="I27" i="3"/>
  <c r="I28" i="3"/>
  <c r="I18" i="3"/>
  <c r="C21" i="6" s="1"/>
  <c r="D93" i="6"/>
  <c r="D29" i="6"/>
  <c r="D25" i="6"/>
  <c r="H32" i="14"/>
  <c r="E1" i="14"/>
  <c r="H20" i="3"/>
  <c r="H21" i="3"/>
  <c r="C32" i="14" l="1"/>
  <c r="E32" i="14" s="1"/>
  <c r="F32" i="14"/>
  <c r="C33" i="14"/>
  <c r="F33" i="14" s="1"/>
  <c r="E33" i="14"/>
  <c r="H33" i="14"/>
  <c r="C34" i="14"/>
  <c r="F34" i="14" s="1"/>
  <c r="E34" i="14"/>
  <c r="C35" i="14"/>
  <c r="F35" i="14" s="1"/>
  <c r="E35" i="14"/>
  <c r="C36" i="14"/>
  <c r="E36" i="14" s="1"/>
  <c r="C37" i="14"/>
  <c r="E37" i="14" s="1"/>
  <c r="F37" i="14"/>
  <c r="C38" i="14"/>
  <c r="E38" i="14"/>
  <c r="F38" i="14"/>
  <c r="C39" i="14"/>
  <c r="E39" i="14"/>
  <c r="F39" i="14"/>
  <c r="C40" i="14"/>
  <c r="E40" i="14" s="1"/>
  <c r="C41" i="14"/>
  <c r="E41" i="14" s="1"/>
  <c r="C42" i="14"/>
  <c r="E42" i="14"/>
  <c r="F42" i="14"/>
  <c r="H42" i="14"/>
  <c r="C43" i="14"/>
  <c r="E43" i="14"/>
  <c r="F43" i="14"/>
  <c r="H43" i="14"/>
  <c r="C44" i="14"/>
  <c r="E44" i="14" s="1"/>
  <c r="C45" i="14"/>
  <c r="F45" i="14" s="1"/>
  <c r="E45" i="14"/>
  <c r="C46" i="14"/>
  <c r="F46" i="14" s="1"/>
  <c r="E46" i="14"/>
  <c r="C47" i="14"/>
  <c r="E47" i="14" s="1"/>
  <c r="C48" i="14"/>
  <c r="E48" i="14"/>
  <c r="F48" i="14"/>
  <c r="C49" i="14"/>
  <c r="E49" i="14"/>
  <c r="F49" i="14"/>
  <c r="C50" i="14"/>
  <c r="F50" i="14" s="1"/>
  <c r="C51" i="14"/>
  <c r="E51" i="14" s="1"/>
  <c r="F51" i="14"/>
  <c r="H51" i="14"/>
  <c r="C52" i="14"/>
  <c r="E52" i="14" s="1"/>
  <c r="H52" i="14"/>
  <c r="C53" i="14"/>
  <c r="F53" i="14" s="1"/>
  <c r="E53" i="14"/>
  <c r="H53" i="14"/>
  <c r="C54" i="14"/>
  <c r="E54" i="14" s="1"/>
  <c r="F54" i="14"/>
  <c r="H54" i="14"/>
  <c r="C55" i="14"/>
  <c r="E55" i="14"/>
  <c r="F55" i="14"/>
  <c r="H55" i="14"/>
  <c r="C56" i="14"/>
  <c r="F56" i="14" s="1"/>
  <c r="E56" i="14"/>
  <c r="H56" i="14"/>
  <c r="C57" i="14"/>
  <c r="F57" i="14" s="1"/>
  <c r="H57" i="14"/>
  <c r="C58" i="14"/>
  <c r="E58" i="14" s="1"/>
  <c r="F58" i="14"/>
  <c r="H58" i="14"/>
  <c r="C59" i="14"/>
  <c r="E59" i="14"/>
  <c r="F59" i="14"/>
  <c r="C60" i="14"/>
  <c r="E60" i="14"/>
  <c r="F60" i="14"/>
  <c r="C61" i="14"/>
  <c r="E61" i="14" s="1"/>
  <c r="C62" i="14"/>
  <c r="F62" i="14" s="1"/>
  <c r="E62" i="14"/>
  <c r="H62" i="14"/>
  <c r="C63" i="14"/>
  <c r="E63" i="14"/>
  <c r="F63" i="14"/>
  <c r="H63" i="14"/>
  <c r="C64" i="14"/>
  <c r="E64" i="14" s="1"/>
  <c r="H64" i="14"/>
  <c r="C65" i="14"/>
  <c r="E65" i="14"/>
  <c r="F65" i="14"/>
  <c r="C66" i="14"/>
  <c r="E66" i="14"/>
  <c r="F66" i="14"/>
  <c r="C67" i="14"/>
  <c r="C68" i="14"/>
  <c r="E68" i="14" s="1"/>
  <c r="C69" i="14"/>
  <c r="E69" i="14" s="1"/>
  <c r="F69" i="14"/>
  <c r="C70" i="14"/>
  <c r="E70" i="14"/>
  <c r="F70" i="14"/>
  <c r="H70" i="14"/>
  <c r="C71" i="14"/>
  <c r="E71" i="14"/>
  <c r="F71" i="14"/>
  <c r="H71" i="14"/>
  <c r="C72" i="14"/>
  <c r="F72" i="14" s="1"/>
  <c r="E72" i="14"/>
  <c r="H72" i="14"/>
  <c r="C73" i="14"/>
  <c r="E73" i="14" s="1"/>
  <c r="H73" i="14"/>
  <c r="C74" i="14"/>
  <c r="H74" i="14"/>
  <c r="C75" i="14"/>
  <c r="E75" i="14" s="1"/>
  <c r="H75" i="14"/>
  <c r="C76" i="14"/>
  <c r="E76" i="14" s="1"/>
  <c r="H76" i="14"/>
  <c r="C77" i="14"/>
  <c r="F77" i="14" s="1"/>
  <c r="E77" i="14"/>
  <c r="H77" i="14"/>
  <c r="C78" i="14"/>
  <c r="E78" i="14"/>
  <c r="F78" i="14"/>
  <c r="H78" i="14"/>
  <c r="C79" i="14"/>
  <c r="E79" i="14" s="1"/>
  <c r="C80" i="14"/>
  <c r="E80" i="14"/>
  <c r="F80" i="14"/>
  <c r="C81" i="14"/>
  <c r="E81" i="14" s="1"/>
  <c r="C82" i="14"/>
  <c r="D82" i="14"/>
  <c r="E82" i="14"/>
  <c r="H82" i="14"/>
  <c r="C83" i="14"/>
  <c r="H83" i="14"/>
  <c r="C84" i="14"/>
  <c r="C85" i="14"/>
  <c r="E85" i="14" s="1"/>
  <c r="C86" i="14"/>
  <c r="E86" i="14"/>
  <c r="F86" i="14"/>
  <c r="C87" i="14"/>
  <c r="F87" i="14" s="1"/>
  <c r="C88" i="14"/>
  <c r="C89" i="14"/>
  <c r="F89" i="14" s="1"/>
  <c r="E89" i="14"/>
  <c r="C90" i="14"/>
  <c r="E90" i="14" s="1"/>
  <c r="C91" i="14"/>
  <c r="E91" i="14"/>
  <c r="F91" i="14"/>
  <c r="H91" i="14"/>
  <c r="C92" i="14"/>
  <c r="E92" i="14" s="1"/>
  <c r="H92" i="14"/>
  <c r="C93" i="14"/>
  <c r="E93" i="14"/>
  <c r="F93" i="14"/>
  <c r="H93" i="14"/>
  <c r="C94" i="14"/>
  <c r="E94" i="14" s="1"/>
  <c r="C95" i="14"/>
  <c r="C96" i="14"/>
  <c r="E96" i="14" s="1"/>
  <c r="C97" i="14"/>
  <c r="F97" i="14" s="1"/>
  <c r="E97" i="14"/>
  <c r="C98" i="14"/>
  <c r="E98" i="14"/>
  <c r="F98" i="14"/>
  <c r="C99" i="14"/>
  <c r="F99" i="14" s="1"/>
  <c r="E99" i="14"/>
  <c r="C100" i="14"/>
  <c r="C101" i="14"/>
  <c r="E101" i="14" s="1"/>
  <c r="F101" i="14"/>
  <c r="C102" i="14"/>
  <c r="E102" i="14" s="1"/>
  <c r="G102" i="14" s="1"/>
  <c r="F102" i="14"/>
  <c r="C103" i="14"/>
  <c r="F103" i="14" s="1"/>
  <c r="E103" i="14"/>
  <c r="H103" i="14"/>
  <c r="C104" i="14"/>
  <c r="F104" i="14" s="1"/>
  <c r="E104" i="14"/>
  <c r="C105" i="14"/>
  <c r="E105" i="14"/>
  <c r="F105" i="14"/>
  <c r="C106" i="14"/>
  <c r="E106" i="14"/>
  <c r="F106" i="14"/>
  <c r="H106" i="14"/>
  <c r="C107" i="14"/>
  <c r="E107" i="14" s="1"/>
  <c r="H107" i="14"/>
  <c r="C108" i="14"/>
  <c r="E108" i="14" s="1"/>
  <c r="C109" i="14"/>
  <c r="F109" i="14" s="1"/>
  <c r="E109" i="14"/>
  <c r="C110" i="14"/>
  <c r="F110" i="14" s="1"/>
  <c r="E110" i="14"/>
  <c r="C111" i="14"/>
  <c r="E111" i="14"/>
  <c r="F111" i="14"/>
  <c r="H111" i="14"/>
  <c r="C112" i="14"/>
  <c r="H112" i="14"/>
  <c r="C113" i="14"/>
  <c r="E113" i="14"/>
  <c r="F113" i="14"/>
  <c r="H113" i="14"/>
  <c r="C114" i="14"/>
  <c r="E114" i="14"/>
  <c r="F114" i="14"/>
  <c r="C115" i="14"/>
  <c r="F115" i="14" s="1"/>
  <c r="E115" i="14"/>
  <c r="C116" i="14"/>
  <c r="E116" i="14"/>
  <c r="F116" i="14"/>
  <c r="C117" i="14"/>
  <c r="E117" i="14"/>
  <c r="F117" i="14"/>
  <c r="C118" i="14"/>
  <c r="E118" i="14"/>
  <c r="F118" i="14"/>
  <c r="C119" i="14"/>
  <c r="F119" i="14" s="1"/>
  <c r="C120" i="14"/>
  <c r="E120" i="14"/>
  <c r="F120" i="14"/>
  <c r="C121" i="14"/>
  <c r="F121" i="14" s="1"/>
  <c r="E121" i="14"/>
  <c r="H121" i="14"/>
  <c r="C122" i="14"/>
  <c r="E122" i="14" s="1"/>
  <c r="H122" i="14"/>
  <c r="C123" i="14"/>
  <c r="E123" i="14" s="1"/>
  <c r="F123" i="14"/>
  <c r="H123" i="14"/>
  <c r="C124" i="14"/>
  <c r="E124" i="14"/>
  <c r="F124" i="14"/>
  <c r="C125" i="14"/>
  <c r="C126" i="14"/>
  <c r="E126" i="14" s="1"/>
  <c r="F126" i="14"/>
  <c r="C127" i="14"/>
  <c r="C128" i="14"/>
  <c r="E128" i="14" s="1"/>
  <c r="C129" i="14"/>
  <c r="C130" i="14"/>
  <c r="E130" i="14" s="1"/>
  <c r="C131" i="14"/>
  <c r="E131" i="14"/>
  <c r="F131" i="14"/>
  <c r="H131" i="14"/>
  <c r="C132" i="14"/>
  <c r="E132" i="14"/>
  <c r="F132" i="14"/>
  <c r="H132" i="14"/>
  <c r="C133" i="14"/>
  <c r="E133" i="14" s="1"/>
  <c r="H133" i="14"/>
  <c r="C134" i="14"/>
  <c r="F134" i="14" s="1"/>
  <c r="C135" i="14"/>
  <c r="E135" i="14" s="1"/>
  <c r="C136" i="14"/>
  <c r="F136" i="14" s="1"/>
  <c r="E136" i="14"/>
  <c r="H136" i="14"/>
  <c r="C137" i="14"/>
  <c r="E137" i="14" s="1"/>
  <c r="H137" i="14"/>
  <c r="C138" i="14"/>
  <c r="F138" i="14" s="1"/>
  <c r="E138" i="14"/>
  <c r="H138" i="14"/>
  <c r="C139" i="14"/>
  <c r="E139" i="14"/>
  <c r="F139" i="14"/>
  <c r="C140" i="14"/>
  <c r="E140" i="14" s="1"/>
  <c r="C141" i="14"/>
  <c r="E141" i="14"/>
  <c r="F141" i="14"/>
  <c r="C142" i="14"/>
  <c r="F142" i="14" s="1"/>
  <c r="C143" i="14"/>
  <c r="E143" i="14" s="1"/>
  <c r="F143" i="14"/>
  <c r="C144" i="14"/>
  <c r="E144" i="14"/>
  <c r="F144" i="14"/>
  <c r="C145" i="14"/>
  <c r="E145" i="14"/>
  <c r="F145" i="14"/>
  <c r="C146" i="14"/>
  <c r="E146" i="14" s="1"/>
  <c r="C147" i="14"/>
  <c r="C148" i="14"/>
  <c r="E148" i="14" s="1"/>
  <c r="C149" i="14"/>
  <c r="F149" i="14" s="1"/>
  <c r="E149" i="14"/>
  <c r="C150" i="14"/>
  <c r="E150" i="14"/>
  <c r="F150" i="14"/>
  <c r="C151" i="14"/>
  <c r="F151" i="14" s="1"/>
  <c r="E151" i="14"/>
  <c r="H151" i="14"/>
  <c r="C152" i="14"/>
  <c r="E152" i="14" s="1"/>
  <c r="H152" i="14"/>
  <c r="C153" i="14"/>
  <c r="E153" i="14"/>
  <c r="F153" i="14"/>
  <c r="H153" i="14"/>
  <c r="C154" i="14"/>
  <c r="E154" i="14"/>
  <c r="F154" i="14"/>
  <c r="C155" i="14"/>
  <c r="E155" i="14"/>
  <c r="F155" i="14"/>
  <c r="C156" i="14"/>
  <c r="F156" i="14" s="1"/>
  <c r="E156" i="14"/>
  <c r="C157" i="14"/>
  <c r="E157" i="14" s="1"/>
  <c r="H157" i="14"/>
  <c r="C158" i="14"/>
  <c r="E158" i="14" s="1"/>
  <c r="F158" i="14"/>
  <c r="C159" i="14"/>
  <c r="E159" i="14" s="1"/>
  <c r="F159" i="14"/>
  <c r="C160" i="14"/>
  <c r="E160" i="14" s="1"/>
  <c r="C161" i="14"/>
  <c r="F161" i="14" s="1"/>
  <c r="E161" i="14"/>
  <c r="C162" i="14"/>
  <c r="F162" i="14" s="1"/>
  <c r="E162" i="14"/>
  <c r="C163" i="14"/>
  <c r="C164" i="14"/>
  <c r="E164" i="14" s="1"/>
  <c r="C165" i="14"/>
  <c r="E165" i="14"/>
  <c r="F165" i="14"/>
  <c r="C166" i="14"/>
  <c r="F166" i="14" s="1"/>
  <c r="E166" i="14"/>
  <c r="C167" i="14"/>
  <c r="F167" i="14" s="1"/>
  <c r="E167" i="14"/>
  <c r="H167" i="14"/>
  <c r="C168" i="14"/>
  <c r="E168" i="14" s="1"/>
  <c r="H168" i="14"/>
  <c r="C169" i="14"/>
  <c r="E169" i="14" s="1"/>
  <c r="C170" i="14"/>
  <c r="E170" i="14" s="1"/>
  <c r="C171" i="14"/>
  <c r="H171" i="14"/>
  <c r="C172" i="14"/>
  <c r="E172" i="14"/>
  <c r="F172" i="14"/>
  <c r="H172" i="14"/>
  <c r="C173" i="14"/>
  <c r="E173" i="14"/>
  <c r="F173" i="14"/>
  <c r="H173" i="14"/>
  <c r="C174" i="14"/>
  <c r="E174" i="14" s="1"/>
  <c r="C175" i="14"/>
  <c r="F175" i="14" s="1"/>
  <c r="E175" i="14"/>
  <c r="C176" i="14"/>
  <c r="E176" i="14" s="1"/>
  <c r="C177" i="14"/>
  <c r="F177" i="14" s="1"/>
  <c r="E177" i="14"/>
  <c r="C178" i="14"/>
  <c r="F178" i="14" s="1"/>
  <c r="E178" i="14"/>
  <c r="C179" i="14"/>
  <c r="E179" i="14" s="1"/>
  <c r="C180" i="14"/>
  <c r="E180" i="14" s="1"/>
  <c r="C181" i="14"/>
  <c r="F181" i="14" s="1"/>
  <c r="H181" i="14"/>
  <c r="C182" i="14"/>
  <c r="E182" i="14" s="1"/>
  <c r="H182" i="14"/>
  <c r="C183" i="14"/>
  <c r="E183" i="14" s="1"/>
  <c r="H183" i="14"/>
  <c r="C184" i="14"/>
  <c r="E184" i="14" s="1"/>
  <c r="C185" i="14"/>
  <c r="E185" i="14" s="1"/>
  <c r="C186" i="14"/>
  <c r="E186" i="14"/>
  <c r="F186" i="14"/>
  <c r="C187" i="14"/>
  <c r="E187" i="14"/>
  <c r="F187" i="14"/>
  <c r="C188" i="14"/>
  <c r="F188" i="14" s="1"/>
  <c r="C189" i="14"/>
  <c r="F189" i="14" s="1"/>
  <c r="E189" i="14"/>
  <c r="C190" i="14"/>
  <c r="E190" i="14" s="1"/>
  <c r="C191" i="14"/>
  <c r="E191" i="14" s="1"/>
  <c r="F191" i="14"/>
  <c r="C192" i="14"/>
  <c r="E192" i="14"/>
  <c r="F192" i="14"/>
  <c r="H192" i="14"/>
  <c r="C193" i="14"/>
  <c r="F193" i="14" s="1"/>
  <c r="E193" i="14"/>
  <c r="C194" i="14"/>
  <c r="E194" i="14"/>
  <c r="F194" i="14"/>
  <c r="C195" i="14"/>
  <c r="E195" i="14" s="1"/>
  <c r="C196" i="14"/>
  <c r="F196" i="14" s="1"/>
  <c r="C197" i="14"/>
  <c r="E197" i="14"/>
  <c r="F197" i="14"/>
  <c r="C198" i="14"/>
  <c r="C199" i="14"/>
  <c r="C200" i="14"/>
  <c r="F200" i="14" s="1"/>
  <c r="C201" i="14"/>
  <c r="E201" i="14"/>
  <c r="F201" i="14"/>
  <c r="C202" i="14"/>
  <c r="E202" i="14"/>
  <c r="F202" i="14"/>
  <c r="C203" i="14"/>
  <c r="F203" i="14" s="1"/>
  <c r="C204" i="14"/>
  <c r="F204" i="14" s="1"/>
  <c r="C205" i="14"/>
  <c r="E205" i="14" s="1"/>
  <c r="C206" i="14"/>
  <c r="E206" i="14" s="1"/>
  <c r="F206" i="14"/>
  <c r="C207" i="14"/>
  <c r="E207" i="14" s="1"/>
  <c r="H207" i="14"/>
  <c r="C208" i="14"/>
  <c r="E208" i="14" s="1"/>
  <c r="F208" i="14"/>
  <c r="C209" i="14"/>
  <c r="E209" i="14" s="1"/>
  <c r="C210" i="14"/>
  <c r="E210" i="14" s="1"/>
  <c r="F210" i="14"/>
  <c r="C211" i="14"/>
  <c r="F211" i="14" s="1"/>
  <c r="E211" i="14"/>
  <c r="H211" i="14"/>
  <c r="C212" i="14"/>
  <c r="E212" i="14"/>
  <c r="F212" i="14"/>
  <c r="H212" i="14"/>
  <c r="C213" i="14"/>
  <c r="H213" i="14"/>
  <c r="C214" i="14"/>
  <c r="E214" i="14" s="1"/>
  <c r="C215" i="14"/>
  <c r="F215" i="14" s="1"/>
  <c r="C216" i="14"/>
  <c r="E216" i="14" s="1"/>
  <c r="F216" i="14"/>
  <c r="C217" i="14"/>
  <c r="E217" i="14"/>
  <c r="F217" i="14"/>
  <c r="H217" i="14"/>
  <c r="C218" i="14"/>
  <c r="E218" i="14"/>
  <c r="F218" i="14"/>
  <c r="C219" i="14"/>
  <c r="E219" i="14" s="1"/>
  <c r="C220" i="14"/>
  <c r="E220" i="14" s="1"/>
  <c r="C221" i="14"/>
  <c r="E221" i="14" s="1"/>
  <c r="C222" i="14"/>
  <c r="E222" i="14" s="1"/>
  <c r="F222" i="14"/>
  <c r="C223" i="14"/>
  <c r="C224" i="14"/>
  <c r="E224" i="14"/>
  <c r="F224" i="14"/>
  <c r="C225" i="14"/>
  <c r="E225" i="14"/>
  <c r="F225" i="14"/>
  <c r="C226" i="14"/>
  <c r="E226" i="14"/>
  <c r="F226" i="14"/>
  <c r="H226" i="14"/>
  <c r="C227" i="14"/>
  <c r="F227" i="14" s="1"/>
  <c r="H227" i="14"/>
  <c r="C228" i="14"/>
  <c r="F228" i="14" s="1"/>
  <c r="E228" i="14"/>
  <c r="H228" i="14"/>
  <c r="C229" i="14"/>
  <c r="E229" i="14"/>
  <c r="F229" i="14"/>
  <c r="C230" i="14"/>
  <c r="F230" i="14" s="1"/>
  <c r="E230" i="14"/>
  <c r="C231" i="14"/>
  <c r="E231" i="14" s="1"/>
  <c r="F231" i="14"/>
  <c r="C232" i="14"/>
  <c r="E232" i="14" s="1"/>
  <c r="H232" i="14"/>
  <c r="C233" i="14"/>
  <c r="F233" i="14" s="1"/>
  <c r="C234" i="14"/>
  <c r="E234" i="14" s="1"/>
  <c r="F234" i="14"/>
  <c r="C235" i="14"/>
  <c r="E235" i="14" s="1"/>
  <c r="C236" i="14"/>
  <c r="E236" i="14"/>
  <c r="F236" i="14"/>
  <c r="C237" i="14"/>
  <c r="F237" i="14" s="1"/>
  <c r="E237" i="14"/>
  <c r="C238" i="14"/>
  <c r="E238" i="14" s="1"/>
  <c r="F238" i="14"/>
  <c r="C239" i="14"/>
  <c r="C240" i="14"/>
  <c r="E240" i="14" s="1"/>
  <c r="F240" i="14"/>
  <c r="C241" i="14"/>
  <c r="E241" i="14" s="1"/>
  <c r="H241" i="14"/>
  <c r="C242" i="14"/>
  <c r="E242" i="14" s="1"/>
  <c r="H242" i="14"/>
  <c r="C243" i="14"/>
  <c r="F243" i="14" s="1"/>
  <c r="E243" i="14"/>
  <c r="H243" i="14"/>
  <c r="C244" i="14"/>
  <c r="E244" i="14" s="1"/>
  <c r="C245" i="14"/>
  <c r="C246" i="14"/>
  <c r="F246" i="14" s="1"/>
  <c r="E246" i="14"/>
  <c r="C247" i="14"/>
  <c r="F247" i="14" s="1"/>
  <c r="E247" i="14"/>
  <c r="C248" i="14"/>
  <c r="E248" i="14"/>
  <c r="F248" i="14"/>
  <c r="C249" i="14"/>
  <c r="F249" i="14" s="1"/>
  <c r="E249" i="14"/>
  <c r="C250" i="14"/>
  <c r="C251" i="14"/>
  <c r="E251" i="14" s="1"/>
  <c r="C252" i="14"/>
  <c r="E252" i="14"/>
  <c r="F252" i="14"/>
  <c r="H252" i="14"/>
  <c r="C253" i="14"/>
  <c r="E253" i="14" s="1"/>
  <c r="C254" i="14"/>
  <c r="E254" i="14"/>
  <c r="F254" i="14"/>
  <c r="C255" i="14"/>
  <c r="E255" i="14" s="1"/>
  <c r="C256" i="14"/>
  <c r="F256" i="14" s="1"/>
  <c r="E256" i="14"/>
  <c r="C257" i="14"/>
  <c r="E257" i="14" s="1"/>
  <c r="H257" i="14"/>
  <c r="C258" i="14"/>
  <c r="E258" i="14"/>
  <c r="F258" i="14"/>
  <c r="C259" i="14"/>
  <c r="E259" i="14" s="1"/>
  <c r="F259" i="14"/>
  <c r="C260" i="14"/>
  <c r="E260" i="14" s="1"/>
  <c r="C261" i="14"/>
  <c r="E261" i="14"/>
  <c r="F261" i="14"/>
  <c r="C262" i="14"/>
  <c r="E262" i="14" s="1"/>
  <c r="C263" i="14"/>
  <c r="E263" i="14" s="1"/>
  <c r="C264" i="14"/>
  <c r="E264" i="14"/>
  <c r="F264" i="14"/>
  <c r="C265" i="14"/>
  <c r="E265" i="14"/>
  <c r="F265" i="14"/>
  <c r="C266" i="14"/>
  <c r="E266" i="14"/>
  <c r="F266" i="14"/>
  <c r="C267" i="14"/>
  <c r="E267" i="14" s="1"/>
  <c r="F267" i="14"/>
  <c r="C268" i="14"/>
  <c r="E268" i="14" s="1"/>
  <c r="C269" i="14"/>
  <c r="E269" i="14" s="1"/>
  <c r="F269" i="14"/>
  <c r="C270" i="14"/>
  <c r="E270" i="14" s="1"/>
  <c r="C271" i="14"/>
  <c r="E271" i="14" s="1"/>
  <c r="F271" i="14"/>
  <c r="H271" i="14"/>
  <c r="C272" i="14"/>
  <c r="E272" i="14"/>
  <c r="F272" i="14"/>
  <c r="H272" i="14"/>
  <c r="C273" i="14"/>
  <c r="E273" i="14" s="1"/>
  <c r="H273" i="14"/>
  <c r="C274" i="14"/>
  <c r="F274" i="14" s="1"/>
  <c r="E274" i="14"/>
  <c r="C275" i="14"/>
  <c r="F275" i="14" s="1"/>
  <c r="E275" i="14"/>
  <c r="C276" i="14"/>
  <c r="E276" i="14" s="1"/>
  <c r="C277" i="14"/>
  <c r="E277" i="14"/>
  <c r="F277" i="14"/>
  <c r="C278" i="14"/>
  <c r="E278" i="14"/>
  <c r="F278" i="14"/>
  <c r="C279" i="14"/>
  <c r="E279" i="14" s="1"/>
  <c r="C280" i="14"/>
  <c r="E280" i="14" s="1"/>
  <c r="F280" i="14"/>
  <c r="C281" i="14"/>
  <c r="E281" i="14"/>
  <c r="F281" i="14"/>
  <c r="C282" i="14"/>
  <c r="E282" i="14"/>
  <c r="F282" i="14"/>
  <c r="H282" i="14"/>
  <c r="C283" i="14"/>
  <c r="E283" i="14"/>
  <c r="F283" i="14"/>
  <c r="C284" i="14"/>
  <c r="F284" i="14" s="1"/>
  <c r="E284" i="14"/>
  <c r="C285" i="14"/>
  <c r="E285" i="14" s="1"/>
  <c r="C286" i="14"/>
  <c r="E286" i="14"/>
  <c r="F286" i="14"/>
  <c r="C287" i="14"/>
  <c r="E287" i="14"/>
  <c r="F287" i="14"/>
  <c r="C288" i="14"/>
  <c r="E288" i="14"/>
  <c r="F288" i="14"/>
  <c r="C289" i="14"/>
  <c r="E289" i="14" s="1"/>
  <c r="F289" i="14"/>
  <c r="C290" i="14"/>
  <c r="F290" i="14" s="1"/>
  <c r="C291" i="14"/>
  <c r="E291" i="14"/>
  <c r="F291" i="14"/>
  <c r="C292" i="14"/>
  <c r="F292" i="14" s="1"/>
  <c r="E292" i="14"/>
  <c r="H292" i="14"/>
  <c r="C293" i="14"/>
  <c r="E293" i="14"/>
  <c r="F293" i="14"/>
  <c r="C294" i="14"/>
  <c r="F294" i="14" s="1"/>
  <c r="E294" i="14"/>
  <c r="C295" i="14"/>
  <c r="F295" i="14" s="1"/>
  <c r="C296" i="14"/>
  <c r="E296" i="14" s="1"/>
  <c r="C297" i="14"/>
  <c r="E297" i="14" s="1"/>
  <c r="C298" i="14"/>
  <c r="F298" i="14" s="1"/>
  <c r="E298" i="14"/>
  <c r="C299" i="14"/>
  <c r="E299" i="14" s="1"/>
  <c r="C300" i="14"/>
  <c r="E300" i="14"/>
  <c r="F300" i="14"/>
  <c r="C301" i="14"/>
  <c r="F301" i="14" s="1"/>
  <c r="E301" i="14"/>
  <c r="H301" i="14"/>
  <c r="C302" i="14"/>
  <c r="F302" i="14" s="1"/>
  <c r="E302" i="14"/>
  <c r="H302" i="14"/>
  <c r="C303" i="14"/>
  <c r="E303" i="14" s="1"/>
  <c r="H303" i="14"/>
  <c r="C304" i="14"/>
  <c r="E304" i="14" s="1"/>
  <c r="C305" i="14"/>
  <c r="F305" i="14" s="1"/>
  <c r="C306" i="14"/>
  <c r="F306" i="14" s="1"/>
  <c r="C307" i="14"/>
  <c r="E307" i="14"/>
  <c r="F307" i="14"/>
  <c r="H307" i="14"/>
  <c r="C308" i="14"/>
  <c r="E308" i="14" s="1"/>
  <c r="C309" i="14"/>
  <c r="F309" i="14" s="1"/>
  <c r="E309" i="14"/>
  <c r="C310" i="14"/>
  <c r="C311" i="14"/>
  <c r="F311" i="14" s="1"/>
  <c r="C312" i="14"/>
  <c r="E312" i="14" s="1"/>
  <c r="H312" i="14"/>
  <c r="C313" i="14"/>
  <c r="E313" i="14"/>
  <c r="F313" i="14"/>
  <c r="C314" i="14"/>
  <c r="C315" i="14"/>
  <c r="F315" i="14" s="1"/>
  <c r="E315" i="14"/>
  <c r="C316" i="14"/>
  <c r="E316" i="14" s="1"/>
  <c r="C317" i="14"/>
  <c r="E317" i="14"/>
  <c r="F317" i="14"/>
  <c r="C318" i="14"/>
  <c r="F318" i="14" s="1"/>
  <c r="C319" i="14"/>
  <c r="E319" i="14" s="1"/>
  <c r="C320" i="14"/>
  <c r="E320" i="14"/>
  <c r="F320" i="14"/>
  <c r="C321" i="14"/>
  <c r="E321" i="14" s="1"/>
  <c r="F321" i="14"/>
  <c r="C322" i="14"/>
  <c r="F322" i="14" s="1"/>
  <c r="H322" i="14"/>
  <c r="C323" i="14"/>
  <c r="E323" i="14"/>
  <c r="F323" i="14"/>
  <c r="H323" i="14"/>
  <c r="C324" i="14"/>
  <c r="F324" i="14" s="1"/>
  <c r="C325" i="14"/>
  <c r="E325" i="14" s="1"/>
  <c r="C326" i="14"/>
  <c r="E326" i="14"/>
  <c r="F326" i="14"/>
  <c r="C327" i="14"/>
  <c r="F327" i="14" s="1"/>
  <c r="C328" i="14"/>
  <c r="E328" i="14"/>
  <c r="F328" i="14"/>
  <c r="C329" i="14"/>
  <c r="C330" i="14"/>
  <c r="E330" i="14" s="1"/>
  <c r="H330" i="14"/>
  <c r="C331" i="14"/>
  <c r="E331" i="14" s="1"/>
  <c r="F331" i="14"/>
  <c r="H331" i="14"/>
  <c r="C332" i="14"/>
  <c r="E332" i="14"/>
  <c r="F332" i="14"/>
  <c r="H332" i="14"/>
  <c r="C333" i="14"/>
  <c r="E333" i="14" s="1"/>
  <c r="F333" i="14"/>
  <c r="C334" i="14"/>
  <c r="E334" i="14" s="1"/>
  <c r="C335" i="14"/>
  <c r="F335" i="14" s="1"/>
  <c r="E335" i="14"/>
  <c r="C336" i="14"/>
  <c r="E336" i="14" s="1"/>
  <c r="C337" i="14"/>
  <c r="E337" i="14" s="1"/>
  <c r="F337" i="14"/>
  <c r="C338" i="14"/>
  <c r="C339" i="14"/>
  <c r="E339" i="14" s="1"/>
  <c r="F339" i="14"/>
  <c r="C340" i="14"/>
  <c r="E340" i="14"/>
  <c r="F340" i="14"/>
  <c r="C341" i="14"/>
  <c r="E341" i="14" s="1"/>
  <c r="F341" i="14"/>
  <c r="C342" i="14"/>
  <c r="F342" i="14" s="1"/>
  <c r="C343" i="14"/>
  <c r="F343" i="14" s="1"/>
  <c r="E343" i="14"/>
  <c r="C344" i="14"/>
  <c r="C345" i="14"/>
  <c r="E345" i="14" s="1"/>
  <c r="F345" i="14"/>
  <c r="C346" i="14"/>
  <c r="E346" i="14"/>
  <c r="F346" i="14"/>
  <c r="C347" i="14"/>
  <c r="E347" i="14" s="1"/>
  <c r="C348" i="14"/>
  <c r="E348" i="14"/>
  <c r="F348" i="14"/>
  <c r="C349" i="14"/>
  <c r="E349" i="14" s="1"/>
  <c r="F349" i="14"/>
  <c r="C350" i="14"/>
  <c r="F350" i="14" s="1"/>
  <c r="C351" i="14"/>
  <c r="E351" i="14" s="1"/>
  <c r="C352" i="14"/>
  <c r="F352" i="14" s="1"/>
  <c r="E352" i="14"/>
  <c r="C353" i="14"/>
  <c r="E353" i="14" s="1"/>
  <c r="F353" i="14"/>
  <c r="C354" i="14"/>
  <c r="E354" i="14"/>
  <c r="F354" i="14"/>
  <c r="C355" i="14"/>
  <c r="C356" i="14"/>
  <c r="E356" i="14" s="1"/>
  <c r="F356" i="14"/>
  <c r="C357" i="14"/>
  <c r="E357" i="14" s="1"/>
  <c r="F357" i="14"/>
  <c r="C358" i="14"/>
  <c r="F358" i="14" s="1"/>
  <c r="C359" i="14"/>
  <c r="C360" i="14"/>
  <c r="F360" i="14" s="1"/>
  <c r="E360" i="14"/>
  <c r="C361" i="14"/>
  <c r="E361" i="14" s="1"/>
  <c r="F361" i="14"/>
  <c r="C362" i="14"/>
  <c r="E362" i="14"/>
  <c r="F362" i="14"/>
  <c r="C363" i="14"/>
  <c r="E363" i="14"/>
  <c r="F363" i="14"/>
  <c r="C364" i="14"/>
  <c r="F364" i="14" s="1"/>
  <c r="E364" i="14"/>
  <c r="C365" i="14"/>
  <c r="E365" i="14" s="1"/>
  <c r="F365" i="14"/>
  <c r="C366" i="14"/>
  <c r="E366" i="14" s="1"/>
  <c r="F366" i="14"/>
  <c r="C367" i="14"/>
  <c r="E367" i="14" s="1"/>
  <c r="C368" i="14"/>
  <c r="E368" i="14" s="1"/>
  <c r="F368" i="14"/>
  <c r="C369" i="14"/>
  <c r="E369" i="14" s="1"/>
  <c r="F369" i="14"/>
  <c r="C370" i="14"/>
  <c r="E370" i="14" s="1"/>
  <c r="C371" i="14"/>
  <c r="E371" i="14"/>
  <c r="F371" i="14"/>
  <c r="C372" i="14"/>
  <c r="C373" i="14"/>
  <c r="E373" i="14" s="1"/>
  <c r="C374" i="14"/>
  <c r="E374" i="14" s="1"/>
  <c r="F374" i="14"/>
  <c r="C375" i="14"/>
  <c r="F375" i="14" s="1"/>
  <c r="C376" i="14"/>
  <c r="F376" i="14" s="1"/>
  <c r="C377" i="14"/>
  <c r="E377" i="14" s="1"/>
  <c r="F377" i="14"/>
  <c r="C378" i="14"/>
  <c r="F378" i="14" s="1"/>
  <c r="E378" i="14"/>
  <c r="C379" i="14"/>
  <c r="E379" i="14"/>
  <c r="F379" i="14"/>
  <c r="C380" i="14"/>
  <c r="F380" i="14" s="1"/>
  <c r="E380" i="14"/>
  <c r="H380" i="14"/>
  <c r="C381" i="14"/>
  <c r="E381" i="14" s="1"/>
  <c r="F381" i="14"/>
  <c r="H381" i="14"/>
  <c r="C382" i="14"/>
  <c r="E382" i="14" s="1"/>
  <c r="H382" i="14"/>
  <c r="C383" i="14"/>
  <c r="E383" i="14" s="1"/>
  <c r="C384" i="14"/>
  <c r="C385" i="14"/>
  <c r="E385" i="14"/>
  <c r="F385" i="14"/>
  <c r="C386" i="14"/>
  <c r="F386" i="14" s="1"/>
  <c r="E386" i="14"/>
  <c r="C387" i="14"/>
  <c r="E387" i="14"/>
  <c r="F387" i="14"/>
  <c r="C388" i="14"/>
  <c r="F388" i="14" s="1"/>
  <c r="C389" i="14"/>
  <c r="F389" i="14" s="1"/>
  <c r="C390" i="14"/>
  <c r="E390" i="14" s="1"/>
  <c r="C391" i="14"/>
  <c r="E391" i="14" s="1"/>
  <c r="F391" i="14"/>
  <c r="C392" i="14"/>
  <c r="E392" i="14"/>
  <c r="F392" i="14"/>
  <c r="C393" i="14"/>
  <c r="F393" i="14" s="1"/>
  <c r="E393" i="14"/>
  <c r="C394" i="14"/>
  <c r="E394" i="14"/>
  <c r="F394" i="14"/>
  <c r="C395" i="14"/>
  <c r="C396" i="14"/>
  <c r="E396" i="14" s="1"/>
  <c r="C397" i="14"/>
  <c r="E397" i="14"/>
  <c r="F397" i="14"/>
  <c r="C398" i="14"/>
  <c r="E398" i="14"/>
  <c r="F398" i="14"/>
  <c r="C399" i="14"/>
  <c r="E399" i="14"/>
  <c r="F399" i="14"/>
  <c r="C400" i="14"/>
  <c r="E400" i="14" s="1"/>
  <c r="C401" i="14"/>
  <c r="F401" i="14" s="1"/>
  <c r="E401" i="14"/>
  <c r="C402" i="14"/>
  <c r="E402" i="14" s="1"/>
  <c r="F402" i="14"/>
  <c r="C403" i="14"/>
  <c r="C404" i="14"/>
  <c r="E404" i="14" s="1"/>
  <c r="F404" i="14"/>
  <c r="C405" i="14"/>
  <c r="E405" i="14" s="1"/>
  <c r="C406" i="14"/>
  <c r="C407" i="14"/>
  <c r="F407" i="14" s="1"/>
  <c r="E407" i="14"/>
  <c r="C408" i="14"/>
  <c r="F408" i="14" s="1"/>
  <c r="E408" i="14"/>
  <c r="C409" i="14"/>
  <c r="C410" i="14"/>
  <c r="F410" i="14" s="1"/>
  <c r="E410" i="14"/>
  <c r="C411" i="14"/>
  <c r="F411" i="14" s="1"/>
  <c r="E411" i="14"/>
  <c r="C412" i="14"/>
  <c r="C413" i="14"/>
  <c r="E413" i="14"/>
  <c r="F413" i="14"/>
  <c r="C414" i="14"/>
  <c r="E414" i="14"/>
  <c r="F414" i="14"/>
  <c r="C415" i="14"/>
  <c r="F415" i="14" s="1"/>
  <c r="E415" i="14"/>
  <c r="C416" i="14"/>
  <c r="E416" i="14"/>
  <c r="F416" i="14"/>
  <c r="C417" i="14"/>
  <c r="E417" i="14" s="1"/>
  <c r="C418" i="14"/>
  <c r="E418" i="14"/>
  <c r="F418" i="14"/>
  <c r="C419" i="14"/>
  <c r="E419" i="14" s="1"/>
  <c r="F419" i="14"/>
  <c r="C420" i="14"/>
  <c r="F420" i="14" s="1"/>
  <c r="C421" i="14"/>
  <c r="E421" i="14" s="1"/>
  <c r="C422" i="14"/>
  <c r="E422" i="14" s="1"/>
  <c r="F422" i="14"/>
  <c r="C423" i="14"/>
  <c r="C424" i="14"/>
  <c r="F424" i="14" s="1"/>
  <c r="E424" i="14"/>
  <c r="C425" i="14"/>
  <c r="E425" i="14"/>
  <c r="F425" i="14"/>
  <c r="C426" i="14"/>
  <c r="F426" i="14" s="1"/>
  <c r="E426" i="14"/>
  <c r="C427" i="14"/>
  <c r="C428" i="14"/>
  <c r="E428" i="14" s="1"/>
  <c r="C429" i="14"/>
  <c r="E429" i="14" s="1"/>
  <c r="C430" i="14"/>
  <c r="E430" i="14" s="1"/>
  <c r="F430" i="14"/>
  <c r="H430" i="14"/>
  <c r="C431" i="14"/>
  <c r="F431" i="14" s="1"/>
  <c r="E431" i="14"/>
  <c r="H431" i="14"/>
  <c r="C432" i="14"/>
  <c r="E432" i="14" s="1"/>
  <c r="F432" i="14"/>
  <c r="H432" i="14"/>
  <c r="C433" i="14"/>
  <c r="F433" i="14" s="1"/>
  <c r="E433" i="14"/>
  <c r="C434" i="14"/>
  <c r="E434" i="14" s="1"/>
  <c r="C435" i="14"/>
  <c r="E435" i="14" s="1"/>
  <c r="F435" i="14"/>
  <c r="C436" i="14"/>
  <c r="E436" i="14" s="1"/>
  <c r="C437" i="14"/>
  <c r="E437" i="14" s="1"/>
  <c r="F437" i="14"/>
  <c r="C438" i="14"/>
  <c r="E438" i="14"/>
  <c r="F438" i="14"/>
  <c r="C439" i="14"/>
  <c r="C440" i="14"/>
  <c r="E440" i="14" s="1"/>
  <c r="C441" i="14"/>
  <c r="E441" i="14"/>
  <c r="F441" i="14"/>
  <c r="C442" i="14"/>
  <c r="F442" i="14" s="1"/>
  <c r="C443" i="14"/>
  <c r="E443" i="14"/>
  <c r="F443" i="14"/>
  <c r="C444" i="14"/>
  <c r="E444" i="14" s="1"/>
  <c r="C445" i="14"/>
  <c r="E445" i="14" s="1"/>
  <c r="C446" i="14"/>
  <c r="E446" i="14" s="1"/>
  <c r="C447" i="14"/>
  <c r="E447" i="14"/>
  <c r="F447" i="14"/>
  <c r="C448" i="14"/>
  <c r="E448" i="14"/>
  <c r="F448" i="14"/>
  <c r="C449" i="14"/>
  <c r="F449" i="14" s="1"/>
  <c r="E449" i="14"/>
  <c r="C450" i="14"/>
  <c r="C451" i="14"/>
  <c r="F451" i="14" s="1"/>
  <c r="E451" i="14"/>
  <c r="C452" i="14"/>
  <c r="F452" i="14" s="1"/>
  <c r="E452" i="14"/>
  <c r="C453" i="14"/>
  <c r="E453" i="14" s="1"/>
  <c r="F453" i="14"/>
  <c r="C454" i="14"/>
  <c r="E454" i="14"/>
  <c r="F454" i="14"/>
  <c r="C455" i="14"/>
  <c r="F455" i="14" s="1"/>
  <c r="E455" i="14"/>
  <c r="C456" i="14"/>
  <c r="E456" i="14" s="1"/>
  <c r="F456" i="14"/>
  <c r="C457" i="14"/>
  <c r="E457" i="14" s="1"/>
  <c r="C458" i="14"/>
  <c r="C459" i="14"/>
  <c r="F459" i="14" s="1"/>
  <c r="E459" i="14"/>
  <c r="C460" i="14"/>
  <c r="E460" i="14"/>
  <c r="F460" i="14"/>
  <c r="C461" i="14"/>
  <c r="F461" i="14" s="1"/>
  <c r="E461" i="14"/>
  <c r="C462" i="14"/>
  <c r="E462" i="14"/>
  <c r="F462" i="14"/>
  <c r="C463" i="14"/>
  <c r="E463" i="14"/>
  <c r="F463" i="14"/>
  <c r="C464" i="14"/>
  <c r="F464" i="14" s="1"/>
  <c r="C465" i="14"/>
  <c r="E465" i="14" s="1"/>
  <c r="C466" i="14"/>
  <c r="E466" i="14"/>
  <c r="F466" i="14"/>
  <c r="C467" i="14"/>
  <c r="E467" i="14" s="1"/>
  <c r="F467" i="14"/>
  <c r="C468" i="14"/>
  <c r="E468" i="14" s="1"/>
  <c r="F468" i="14"/>
  <c r="C469" i="14"/>
  <c r="E469" i="14" s="1"/>
  <c r="F469" i="14"/>
  <c r="C470" i="14"/>
  <c r="F470" i="14" s="1"/>
  <c r="C471" i="14"/>
  <c r="E471" i="14" s="1"/>
  <c r="C472" i="14"/>
  <c r="F472" i="14" s="1"/>
  <c r="E472" i="14"/>
  <c r="C473" i="14"/>
  <c r="F473" i="14" s="1"/>
  <c r="C474" i="14"/>
  <c r="F474" i="14" s="1"/>
  <c r="E474" i="14"/>
  <c r="C475" i="14"/>
  <c r="E475" i="14" s="1"/>
  <c r="C476" i="14"/>
  <c r="F476" i="14" s="1"/>
  <c r="E476" i="14"/>
  <c r="C477" i="14"/>
  <c r="F477" i="14" s="1"/>
  <c r="E477" i="14"/>
  <c r="C478" i="14"/>
  <c r="C479" i="14"/>
  <c r="E479" i="14"/>
  <c r="F479" i="14"/>
  <c r="C480" i="14"/>
  <c r="F480" i="14" s="1"/>
  <c r="E480" i="14"/>
  <c r="C481" i="14"/>
  <c r="E481" i="14" s="1"/>
  <c r="F481" i="14"/>
  <c r="H481" i="14"/>
  <c r="C482" i="14"/>
  <c r="E482" i="14"/>
  <c r="F482" i="14"/>
  <c r="C483" i="14"/>
  <c r="E483" i="14" s="1"/>
  <c r="C484" i="14"/>
  <c r="F484" i="14" s="1"/>
  <c r="C485" i="14"/>
  <c r="E485" i="14"/>
  <c r="F485" i="14"/>
  <c r="C486" i="14"/>
  <c r="E486" i="14"/>
  <c r="F486" i="14"/>
  <c r="C487" i="14"/>
  <c r="E487" i="14" s="1"/>
  <c r="C488" i="14"/>
  <c r="C489" i="14"/>
  <c r="E489" i="14" s="1"/>
  <c r="C490" i="14"/>
  <c r="E490" i="14" s="1"/>
  <c r="C491" i="14"/>
  <c r="F491" i="14" s="1"/>
  <c r="E491" i="14"/>
  <c r="C492" i="14"/>
  <c r="E492" i="14"/>
  <c r="F492" i="14"/>
  <c r="C493" i="14"/>
  <c r="F493" i="14" s="1"/>
  <c r="E493" i="14"/>
  <c r="C494" i="14"/>
  <c r="E494" i="14" s="1"/>
  <c r="F494" i="14"/>
  <c r="C495" i="14"/>
  <c r="E495" i="14" s="1"/>
  <c r="C496" i="14"/>
  <c r="F496" i="14" s="1"/>
  <c r="E496" i="14"/>
  <c r="C497" i="14"/>
  <c r="E497" i="14" s="1"/>
  <c r="C498" i="14"/>
  <c r="E498" i="14"/>
  <c r="F498" i="14"/>
  <c r="C499" i="14"/>
  <c r="F499" i="14" s="1"/>
  <c r="E499" i="14"/>
  <c r="C500" i="14"/>
  <c r="F500" i="14" s="1"/>
  <c r="E500" i="14"/>
  <c r="C501" i="14"/>
  <c r="E501" i="14" s="1"/>
  <c r="F501" i="14"/>
  <c r="C502" i="14"/>
  <c r="E502" i="14"/>
  <c r="F502" i="14"/>
  <c r="C503" i="14"/>
  <c r="F503" i="14" s="1"/>
  <c r="D26" i="6"/>
  <c r="E243" i="6"/>
  <c r="D243" i="6"/>
  <c r="G243" i="6" s="1"/>
  <c r="I243" i="6" s="1"/>
  <c r="J243" i="6" s="1"/>
  <c r="K243" i="6" s="1"/>
  <c r="E222" i="6"/>
  <c r="D222" i="6"/>
  <c r="G222" i="6" s="1"/>
  <c r="I222" i="6" s="1"/>
  <c r="J222" i="6" s="1"/>
  <c r="K222" i="6" s="1"/>
  <c r="E201" i="6"/>
  <c r="D201" i="6"/>
  <c r="E180" i="6"/>
  <c r="D180" i="6"/>
  <c r="G180" i="6" s="1"/>
  <c r="I180" i="6" s="1"/>
  <c r="J180" i="6" s="1"/>
  <c r="K180" i="6" s="1"/>
  <c r="E159" i="6"/>
  <c r="D159" i="6"/>
  <c r="G159" i="6" s="1"/>
  <c r="I159" i="6" s="1"/>
  <c r="J159" i="6" s="1"/>
  <c r="K159" i="6" s="1"/>
  <c r="E138" i="6"/>
  <c r="D138" i="6"/>
  <c r="E117" i="6"/>
  <c r="D117" i="6"/>
  <c r="E96" i="6"/>
  <c r="D96" i="6"/>
  <c r="E75" i="6"/>
  <c r="D75" i="6"/>
  <c r="G75" i="6" s="1"/>
  <c r="I75" i="6" s="1"/>
  <c r="J75" i="6" s="1"/>
  <c r="K75" i="6" s="1"/>
  <c r="E54" i="6"/>
  <c r="D54" i="6"/>
  <c r="G54" i="6" s="1"/>
  <c r="I54" i="6" s="1"/>
  <c r="J54" i="6" s="1"/>
  <c r="K54" i="6" s="1"/>
  <c r="E236" i="6"/>
  <c r="D236" i="6"/>
  <c r="E215" i="6"/>
  <c r="D215" i="6"/>
  <c r="G215" i="6" s="1"/>
  <c r="I215" i="6" s="1"/>
  <c r="J215" i="6" s="1"/>
  <c r="K215" i="6" s="1"/>
  <c r="E194" i="6"/>
  <c r="D194" i="6"/>
  <c r="G194" i="6" s="1"/>
  <c r="I194" i="6" s="1"/>
  <c r="J194" i="6" s="1"/>
  <c r="K194" i="6" s="1"/>
  <c r="E173" i="6"/>
  <c r="D173" i="6"/>
  <c r="E152" i="6"/>
  <c r="D152" i="6"/>
  <c r="E131" i="6"/>
  <c r="D131" i="6"/>
  <c r="E110" i="6"/>
  <c r="D110" i="6"/>
  <c r="G110" i="6" s="1"/>
  <c r="I110" i="6" s="1"/>
  <c r="J110" i="6" s="1"/>
  <c r="K110" i="6" s="1"/>
  <c r="E89" i="6"/>
  <c r="D89" i="6"/>
  <c r="G89" i="6" s="1"/>
  <c r="I89" i="6" s="1"/>
  <c r="J89" i="6" s="1"/>
  <c r="K89" i="6" s="1"/>
  <c r="E68" i="6"/>
  <c r="D68" i="6"/>
  <c r="E47" i="6"/>
  <c r="D47" i="6"/>
  <c r="G47" i="6" s="1"/>
  <c r="I47" i="6" s="1"/>
  <c r="J47" i="6" s="1"/>
  <c r="K47" i="6" s="1"/>
  <c r="D33" i="6"/>
  <c r="G113" i="14" l="1"/>
  <c r="F489" i="14"/>
  <c r="F436" i="14"/>
  <c r="F405" i="14"/>
  <c r="F367" i="14"/>
  <c r="F242" i="14"/>
  <c r="F183" i="14"/>
  <c r="F169" i="14"/>
  <c r="F96" i="14"/>
  <c r="F75" i="14"/>
  <c r="F40" i="14"/>
  <c r="E112" i="14"/>
  <c r="F112" i="14"/>
  <c r="F475" i="14"/>
  <c r="E420" i="14"/>
  <c r="F390" i="14"/>
  <c r="E375" i="14"/>
  <c r="E322" i="14"/>
  <c r="E305" i="14"/>
  <c r="F235" i="14"/>
  <c r="E57" i="14"/>
  <c r="E50" i="14"/>
  <c r="E181" i="14"/>
  <c r="G43" i="14"/>
  <c r="G158" i="14"/>
  <c r="E503" i="14"/>
  <c r="F487" i="14"/>
  <c r="E442" i="14"/>
  <c r="E388" i="14"/>
  <c r="F334" i="14"/>
  <c r="F270" i="14"/>
  <c r="F255" i="14"/>
  <c r="F241" i="14"/>
  <c r="F182" i="14"/>
  <c r="F160" i="14"/>
  <c r="F148" i="14"/>
  <c r="F133" i="14"/>
  <c r="F108" i="14"/>
  <c r="F94" i="14"/>
  <c r="F44" i="14"/>
  <c r="G33" i="14"/>
  <c r="E473" i="14"/>
  <c r="E464" i="14"/>
  <c r="F457" i="14"/>
  <c r="E358" i="14"/>
  <c r="E350" i="14"/>
  <c r="E342" i="14"/>
  <c r="E327" i="14"/>
  <c r="F303" i="14"/>
  <c r="F276" i="14"/>
  <c r="E233" i="14"/>
  <c r="E227" i="14"/>
  <c r="F220" i="14"/>
  <c r="E188" i="14"/>
  <c r="E119" i="14"/>
  <c r="F61" i="14"/>
  <c r="F400" i="14"/>
  <c r="F316" i="14"/>
  <c r="F308" i="14"/>
  <c r="F297" i="14"/>
  <c r="F205" i="14"/>
  <c r="F176" i="14"/>
  <c r="F152" i="14"/>
  <c r="F146" i="14"/>
  <c r="F140" i="14"/>
  <c r="F92" i="14"/>
  <c r="F85" i="14"/>
  <c r="F79" i="14"/>
  <c r="F52" i="14"/>
  <c r="F41" i="14"/>
  <c r="E470" i="14"/>
  <c r="F429" i="14"/>
  <c r="F351" i="14"/>
  <c r="E290" i="14"/>
  <c r="F170" i="14"/>
  <c r="F164" i="14"/>
  <c r="E134" i="14"/>
  <c r="F128" i="14"/>
  <c r="F434" i="14"/>
  <c r="F82" i="14"/>
  <c r="F444" i="14"/>
  <c r="F347" i="14"/>
  <c r="F325" i="14"/>
  <c r="F304" i="14"/>
  <c r="F299" i="14"/>
  <c r="F260" i="14"/>
  <c r="F207" i="14"/>
  <c r="F185" i="14"/>
  <c r="F137" i="14"/>
  <c r="F81" i="14"/>
  <c r="F417" i="14"/>
  <c r="F382" i="14"/>
  <c r="E376" i="14"/>
  <c r="E311" i="14"/>
  <c r="F253" i="14"/>
  <c r="E142" i="14"/>
  <c r="E87" i="14"/>
  <c r="F76" i="14"/>
  <c r="F497" i="14"/>
  <c r="F465" i="14"/>
  <c r="F440" i="14"/>
  <c r="F428" i="14"/>
  <c r="F421" i="14"/>
  <c r="F396" i="14"/>
  <c r="F383" i="14"/>
  <c r="F336" i="14"/>
  <c r="F319" i="14"/>
  <c r="F296" i="14"/>
  <c r="F285" i="14"/>
  <c r="F263" i="14"/>
  <c r="F244" i="14"/>
  <c r="F190" i="14"/>
  <c r="F180" i="14"/>
  <c r="F174" i="14"/>
  <c r="F157" i="14"/>
  <c r="F107" i="14"/>
  <c r="F90" i="14"/>
  <c r="F68" i="14"/>
  <c r="F47" i="14"/>
  <c r="F446" i="14"/>
  <c r="E389" i="14"/>
  <c r="E324" i="14"/>
  <c r="E306" i="14"/>
  <c r="F257" i="14"/>
  <c r="F251" i="14"/>
  <c r="E204" i="14"/>
  <c r="E196" i="14"/>
  <c r="F135" i="14"/>
  <c r="F73" i="14"/>
  <c r="F490" i="14"/>
  <c r="F471" i="14"/>
  <c r="F370" i="14"/>
  <c r="F330" i="14"/>
  <c r="F312" i="14"/>
  <c r="F279" i="14"/>
  <c r="F273" i="14"/>
  <c r="F268" i="14"/>
  <c r="F262" i="14"/>
  <c r="F232" i="14"/>
  <c r="F221" i="14"/>
  <c r="F214" i="14"/>
  <c r="F209" i="14"/>
  <c r="F184" i="14"/>
  <c r="F122" i="14"/>
  <c r="F36" i="14"/>
  <c r="F483" i="14"/>
  <c r="F445" i="14"/>
  <c r="E318" i="14"/>
  <c r="E295" i="14"/>
  <c r="E203" i="14"/>
  <c r="F195" i="14"/>
  <c r="F179" i="14"/>
  <c r="F168" i="14"/>
  <c r="E403" i="14"/>
  <c r="F403" i="14"/>
  <c r="E409" i="14"/>
  <c r="F409" i="14"/>
  <c r="E344" i="14"/>
  <c r="F344" i="14"/>
  <c r="E198" i="14"/>
  <c r="F198" i="14"/>
  <c r="E250" i="14"/>
  <c r="F250" i="14"/>
  <c r="F359" i="14"/>
  <c r="E359" i="14"/>
  <c r="F488" i="14"/>
  <c r="E488" i="14"/>
  <c r="E213" i="14"/>
  <c r="F213" i="14"/>
  <c r="F427" i="14"/>
  <c r="E427" i="14"/>
  <c r="F458" i="14"/>
  <c r="E458" i="14"/>
  <c r="F245" i="14"/>
  <c r="E245" i="14"/>
  <c r="E329" i="14"/>
  <c r="F329" i="14"/>
  <c r="F95" i="14"/>
  <c r="E95" i="14"/>
  <c r="E406" i="14"/>
  <c r="F406" i="14"/>
  <c r="E423" i="14"/>
  <c r="F423" i="14"/>
  <c r="E355" i="14"/>
  <c r="F355" i="14"/>
  <c r="E199" i="14"/>
  <c r="F199" i="14"/>
  <c r="E125" i="14"/>
  <c r="F125" i="14"/>
  <c r="E74" i="14"/>
  <c r="F74" i="14"/>
  <c r="E384" i="14"/>
  <c r="F384" i="14"/>
  <c r="F314" i="14"/>
  <c r="E314" i="14"/>
  <c r="E129" i="14"/>
  <c r="F129" i="14"/>
  <c r="E239" i="14"/>
  <c r="F239" i="14"/>
  <c r="E127" i="14"/>
  <c r="F127" i="14"/>
  <c r="E83" i="14"/>
  <c r="F83" i="14"/>
  <c r="E310" i="14"/>
  <c r="F310" i="14"/>
  <c r="E412" i="14"/>
  <c r="F412" i="14"/>
  <c r="E223" i="14"/>
  <c r="F223" i="14"/>
  <c r="E171" i="14"/>
  <c r="F171" i="14"/>
  <c r="F130" i="14"/>
  <c r="F64" i="14"/>
  <c r="E450" i="14"/>
  <c r="F450" i="14"/>
  <c r="E100" i="14"/>
  <c r="F100" i="14"/>
  <c r="F395" i="14"/>
  <c r="E395" i="14"/>
  <c r="E67" i="14"/>
  <c r="F67" i="14"/>
  <c r="E372" i="14"/>
  <c r="F372" i="14"/>
  <c r="E163" i="14"/>
  <c r="F163" i="14"/>
  <c r="E478" i="14"/>
  <c r="F478" i="14"/>
  <c r="E439" i="14"/>
  <c r="F439" i="14"/>
  <c r="E338" i="14"/>
  <c r="F338" i="14"/>
  <c r="E147" i="14"/>
  <c r="F147" i="14"/>
  <c r="F495" i="14"/>
  <c r="E484" i="14"/>
  <c r="F373" i="14"/>
  <c r="E200" i="14"/>
  <c r="E84" i="14"/>
  <c r="F84" i="14"/>
  <c r="E88" i="14"/>
  <c r="F88" i="14"/>
  <c r="F219" i="14"/>
  <c r="E215" i="14"/>
  <c r="G68" i="6"/>
  <c r="I68" i="6" s="1"/>
  <c r="J68" i="6" s="1"/>
  <c r="K68" i="6" s="1"/>
  <c r="G236" i="6"/>
  <c r="I236" i="6" s="1"/>
  <c r="J236" i="6" s="1"/>
  <c r="K236" i="6" s="1"/>
  <c r="G201" i="6"/>
  <c r="I201" i="6" s="1"/>
  <c r="J201" i="6" s="1"/>
  <c r="K201" i="6" s="1"/>
  <c r="G131" i="6"/>
  <c r="I131" i="6" s="1"/>
  <c r="J131" i="6" s="1"/>
  <c r="K131" i="6" s="1"/>
  <c r="G96" i="6"/>
  <c r="I96" i="6" s="1"/>
  <c r="J96" i="6" s="1"/>
  <c r="K96" i="6" s="1"/>
  <c r="G152" i="6"/>
  <c r="I152" i="6" s="1"/>
  <c r="J152" i="6" s="1"/>
  <c r="K152" i="6" s="1"/>
  <c r="G117" i="6"/>
  <c r="I117" i="6" s="1"/>
  <c r="J117" i="6" s="1"/>
  <c r="K117" i="6" s="1"/>
  <c r="G173" i="6"/>
  <c r="I173" i="6" s="1"/>
  <c r="J173" i="6" s="1"/>
  <c r="K173" i="6" s="1"/>
  <c r="G138" i="6"/>
  <c r="I138" i="6" s="1"/>
  <c r="J138" i="6" s="1"/>
  <c r="K138" i="6" s="1"/>
  <c r="G112" i="14" l="1"/>
  <c r="E33" i="6"/>
  <c r="G33" i="6" s="1"/>
  <c r="E26" i="6"/>
  <c r="G26" i="6" s="1"/>
  <c r="I26" i="6" s="1"/>
  <c r="J26" i="6" s="1"/>
  <c r="A231" i="6"/>
  <c r="A210" i="6"/>
  <c r="A189" i="6"/>
  <c r="A168" i="6"/>
  <c r="A147" i="6"/>
  <c r="A126" i="6"/>
  <c r="A105" i="6"/>
  <c r="A84" i="6"/>
  <c r="A63" i="6"/>
  <c r="A42" i="6"/>
  <c r="I33" i="6" l="1"/>
  <c r="J33" i="6" s="1"/>
  <c r="K33" i="6" s="1"/>
  <c r="J60" i="17" l="1"/>
  <c r="M20" i="17"/>
  <c r="O4" i="17"/>
  <c r="D77" i="6"/>
  <c r="D76" i="6"/>
  <c r="D55" i="6"/>
  <c r="D98" i="6"/>
  <c r="D97" i="6"/>
  <c r="D119" i="6"/>
  <c r="D118" i="6"/>
  <c r="D140" i="6"/>
  <c r="D139" i="6"/>
  <c r="D161" i="6"/>
  <c r="D160" i="6"/>
  <c r="D182" i="6"/>
  <c r="D181" i="6"/>
  <c r="D203" i="6"/>
  <c r="D202" i="6"/>
  <c r="D224" i="6"/>
  <c r="D223" i="6"/>
  <c r="D245" i="6"/>
  <c r="D244" i="6"/>
  <c r="D50" i="6"/>
  <c r="D71" i="6"/>
  <c r="D92" i="6"/>
  <c r="D113" i="6"/>
  <c r="D197" i="6"/>
  <c r="D218" i="6"/>
  <c r="D239" i="6"/>
  <c r="K25" i="3"/>
  <c r="L25" i="3"/>
  <c r="M25" i="3"/>
  <c r="N25" i="3"/>
  <c r="K26" i="3"/>
  <c r="L26" i="3"/>
  <c r="M26" i="3"/>
  <c r="N26" i="3"/>
  <c r="K27" i="3"/>
  <c r="L27" i="3"/>
  <c r="M27" i="3"/>
  <c r="N27" i="3"/>
  <c r="K28" i="3"/>
  <c r="L28" i="3"/>
  <c r="M28" i="3"/>
  <c r="N28" i="3"/>
  <c r="J26" i="3"/>
  <c r="J27" i="3"/>
  <c r="J28" i="3"/>
  <c r="B26" i="3"/>
  <c r="C26" i="3"/>
  <c r="D26" i="3"/>
  <c r="E26" i="3"/>
  <c r="B27" i="3"/>
  <c r="C27" i="3"/>
  <c r="D27" i="3"/>
  <c r="E27" i="3"/>
  <c r="B28" i="3"/>
  <c r="C28" i="3"/>
  <c r="D28" i="3"/>
  <c r="E28" i="3"/>
  <c r="A27" i="3"/>
  <c r="A28" i="3"/>
  <c r="A26" i="3"/>
  <c r="C33" i="3"/>
  <c r="E33" i="3"/>
  <c r="D217" i="6" l="1"/>
  <c r="G217" i="6" s="1"/>
  <c r="D234" i="6"/>
  <c r="O28" i="3"/>
  <c r="P28" i="3" s="1"/>
  <c r="F26" i="3"/>
  <c r="D196" i="6"/>
  <c r="G196" i="6" s="1"/>
  <c r="D213" i="6"/>
  <c r="O27" i="3"/>
  <c r="P27" i="3" s="1"/>
  <c r="D238" i="6"/>
  <c r="G238" i="6" s="1"/>
  <c r="D192" i="6"/>
  <c r="O26" i="3"/>
  <c r="P26" i="3" s="1"/>
  <c r="F28" i="3"/>
  <c r="G28" i="3" s="1"/>
  <c r="D240" i="6" s="1"/>
  <c r="F27" i="3"/>
  <c r="H7" i="3"/>
  <c r="Q27" i="3" l="1"/>
  <c r="X90" i="3" s="1"/>
  <c r="G26" i="3"/>
  <c r="D198" i="6" s="1"/>
  <c r="G27" i="3"/>
  <c r="D219" i="6" s="1"/>
  <c r="Q26" i="3"/>
  <c r="X89" i="3" s="1"/>
  <c r="Q28" i="3"/>
  <c r="X91" i="3" s="1"/>
  <c r="H28" i="3"/>
  <c r="H27" i="3" l="1"/>
  <c r="H26" i="3"/>
  <c r="Y91" i="3"/>
  <c r="C231" i="6"/>
  <c r="Y90" i="3"/>
  <c r="C210" i="6"/>
  <c r="K13" i="3"/>
  <c r="P13" i="3" s="1"/>
  <c r="K12" i="3"/>
  <c r="P12" i="3" s="1"/>
  <c r="D13" i="3"/>
  <c r="G13" i="3" s="1"/>
  <c r="D12" i="3"/>
  <c r="G12" i="3" s="1"/>
  <c r="D221" i="6" l="1"/>
  <c r="H221" i="6"/>
  <c r="D242" i="6"/>
  <c r="H242" i="6"/>
  <c r="Y89" i="3"/>
  <c r="C189" i="6"/>
  <c r="D176" i="6"/>
  <c r="D155" i="6"/>
  <c r="D134" i="6"/>
  <c r="D200" i="6" l="1"/>
  <c r="H200" i="6"/>
  <c r="D56" i="6"/>
  <c r="D35" i="6"/>
  <c r="D34" i="6"/>
  <c r="E35" i="6"/>
  <c r="E34" i="6"/>
  <c r="G34" i="6" l="1"/>
  <c r="I34" i="6" s="1"/>
  <c r="J34" i="6" s="1"/>
  <c r="K34" i="6" s="1"/>
  <c r="G35" i="6"/>
  <c r="I35" i="6" s="1"/>
  <c r="A25" i="3"/>
  <c r="B25" i="3"/>
  <c r="C25" i="3"/>
  <c r="D25" i="3"/>
  <c r="E25" i="3"/>
  <c r="J25" i="3"/>
  <c r="D175" i="6" l="1"/>
  <c r="G175" i="6" s="1"/>
  <c r="D171" i="6"/>
  <c r="O25" i="3"/>
  <c r="P25" i="3" s="1"/>
  <c r="J35" i="6"/>
  <c r="K35" i="6" s="1"/>
  <c r="F25" i="3"/>
  <c r="G25" i="3" l="1"/>
  <c r="H25" i="3" s="1"/>
  <c r="Y88" i="3" s="1"/>
  <c r="Q25" i="3"/>
  <c r="X88" i="3" s="1"/>
  <c r="J18" i="3"/>
  <c r="D177" i="6" l="1"/>
  <c r="C168" i="6"/>
  <c r="H179" i="6" l="1"/>
  <c r="D179" i="6"/>
  <c r="E93" i="17"/>
  <c r="J63" i="17"/>
  <c r="O21" i="10" l="1"/>
  <c r="M21" i="10"/>
  <c r="E21" i="10"/>
  <c r="B21" i="10"/>
  <c r="C21" i="10" s="1"/>
  <c r="O20" i="10"/>
  <c r="M20" i="10"/>
  <c r="E20" i="10"/>
  <c r="B20" i="10"/>
  <c r="C20" i="10" s="1"/>
  <c r="O19" i="10"/>
  <c r="M19" i="10"/>
  <c r="AI19" i="10" s="1"/>
  <c r="E19" i="10"/>
  <c r="B19" i="10"/>
  <c r="C19" i="10" s="1"/>
  <c r="AG19" i="10" s="1"/>
  <c r="O18" i="10"/>
  <c r="M18" i="10"/>
  <c r="AI18" i="10" s="1"/>
  <c r="E18" i="10"/>
  <c r="B18" i="10"/>
  <c r="C18" i="10" s="1"/>
  <c r="O17" i="10"/>
  <c r="M17" i="10"/>
  <c r="E17" i="10"/>
  <c r="B17" i="10"/>
  <c r="C17" i="10" s="1"/>
  <c r="O16" i="10"/>
  <c r="M16" i="10"/>
  <c r="E16" i="10"/>
  <c r="B16" i="10"/>
  <c r="C16" i="10" s="1"/>
  <c r="O15" i="10"/>
  <c r="M15" i="10"/>
  <c r="AI15" i="10" s="1"/>
  <c r="E15" i="10"/>
  <c r="B15" i="10"/>
  <c r="C15" i="10" s="1"/>
  <c r="AG15" i="10" s="1"/>
  <c r="O14" i="10"/>
  <c r="M14" i="10"/>
  <c r="AI14" i="10" s="1"/>
  <c r="E14" i="10"/>
  <c r="B14" i="10"/>
  <c r="O13" i="10"/>
  <c r="M13" i="10"/>
  <c r="E13" i="10"/>
  <c r="B13" i="10"/>
  <c r="C13" i="10" s="1"/>
  <c r="O12" i="10"/>
  <c r="M12" i="10"/>
  <c r="E12" i="10"/>
  <c r="B12" i="10"/>
  <c r="C12" i="10" s="1"/>
  <c r="O11" i="10"/>
  <c r="M11" i="10"/>
  <c r="AI11" i="10" s="1"/>
  <c r="E11" i="10"/>
  <c r="B11" i="10"/>
  <c r="C11" i="10" s="1"/>
  <c r="O10" i="10"/>
  <c r="M10" i="10"/>
  <c r="AI10" i="10" s="1"/>
  <c r="E10" i="10"/>
  <c r="B10" i="10"/>
  <c r="C10" i="10" s="1"/>
  <c r="AG10" i="10" s="1"/>
  <c r="O9" i="10"/>
  <c r="M9" i="10"/>
  <c r="E9" i="10"/>
  <c r="B9" i="10"/>
  <c r="C9" i="10" s="1"/>
  <c r="O8" i="10"/>
  <c r="M8" i="10"/>
  <c r="E8" i="10"/>
  <c r="B8" i="10"/>
  <c r="C8" i="10" s="1"/>
  <c r="O7" i="10"/>
  <c r="M7" i="10"/>
  <c r="AI7" i="10" s="1"/>
  <c r="E7" i="10"/>
  <c r="B7" i="10"/>
  <c r="C7" i="10" s="1"/>
  <c r="O6" i="10"/>
  <c r="M6" i="10"/>
  <c r="AI6" i="10" s="1"/>
  <c r="E6" i="10"/>
  <c r="B6" i="10"/>
  <c r="C6" i="10" s="1"/>
  <c r="AG6" i="10" s="1"/>
  <c r="O5" i="10"/>
  <c r="E5" i="10"/>
  <c r="C5" i="10"/>
  <c r="B5" i="10"/>
  <c r="Z1" i="10"/>
  <c r="AK4" i="10" s="1"/>
  <c r="U1" i="10"/>
  <c r="AJ18" i="10" s="1"/>
  <c r="P1" i="10"/>
  <c r="AI5" i="10" s="1"/>
  <c r="K1" i="10"/>
  <c r="AH4" i="10" s="1"/>
  <c r="F1" i="10"/>
  <c r="AG4" i="10" s="1"/>
  <c r="AG12" i="10" l="1"/>
  <c r="C14" i="10"/>
  <c r="O33" i="6" s="1"/>
  <c r="N33" i="6"/>
  <c r="AG8" i="10"/>
  <c r="AI8" i="10"/>
  <c r="AI12" i="10"/>
  <c r="AK1" i="10"/>
  <c r="AI9" i="10"/>
  <c r="AI13" i="10"/>
  <c r="AI17" i="10"/>
  <c r="AI21" i="10"/>
  <c r="AJ6" i="10"/>
  <c r="AJ10" i="10"/>
  <c r="AJ19" i="10"/>
  <c r="AK8" i="10"/>
  <c r="AG16" i="10"/>
  <c r="AG20" i="10"/>
  <c r="AJ20" i="10"/>
  <c r="AJ21" i="10"/>
  <c r="AJ4" i="10"/>
  <c r="AJ8" i="10"/>
  <c r="AJ12" i="10"/>
  <c r="AJ15" i="10"/>
  <c r="AG5" i="10"/>
  <c r="AK6" i="10"/>
  <c r="AK10" i="10"/>
  <c r="AK12" i="10"/>
  <c r="AJ16" i="10"/>
  <c r="AJ5" i="10"/>
  <c r="AG7" i="10"/>
  <c r="AJ7" i="10"/>
  <c r="AG9" i="10"/>
  <c r="AJ9" i="10"/>
  <c r="AG11" i="10"/>
  <c r="AJ11" i="10"/>
  <c r="AG13" i="10"/>
  <c r="AJ13" i="10"/>
  <c r="AG17" i="10"/>
  <c r="AJ17" i="10"/>
  <c r="AG21" i="10"/>
  <c r="AI4" i="10"/>
  <c r="AM4" i="10" s="1"/>
  <c r="AK5" i="10"/>
  <c r="AK7" i="10"/>
  <c r="AK9" i="10"/>
  <c r="AK11" i="10"/>
  <c r="AG14" i="10"/>
  <c r="AJ14" i="10"/>
  <c r="AI16" i="10"/>
  <c r="AG18" i="10"/>
  <c r="AI20" i="10"/>
  <c r="AK13" i="10"/>
  <c r="AK14" i="10"/>
  <c r="AK15" i="10"/>
  <c r="AK16" i="10"/>
  <c r="AK17" i="10"/>
  <c r="AK18" i="10"/>
  <c r="AK19" i="10"/>
  <c r="AK20" i="10"/>
  <c r="AK21" i="10"/>
  <c r="AH5" i="10"/>
  <c r="AM5" i="10" s="1"/>
  <c r="AH6" i="10"/>
  <c r="AM6" i="10" s="1"/>
  <c r="AN6" i="10" s="1"/>
  <c r="P25" i="6" s="1"/>
  <c r="AH7" i="10"/>
  <c r="AH8" i="10"/>
  <c r="AH9" i="10"/>
  <c r="AH10" i="10"/>
  <c r="AH11" i="10"/>
  <c r="AH12" i="10"/>
  <c r="AH13" i="10"/>
  <c r="AH14" i="10"/>
  <c r="AH15" i="10"/>
  <c r="AM15" i="10" s="1"/>
  <c r="AH16" i="10"/>
  <c r="AH17" i="10"/>
  <c r="AH18" i="10"/>
  <c r="AH19" i="10"/>
  <c r="AH20" i="10"/>
  <c r="AH21" i="10"/>
  <c r="AM21" i="10" s="1"/>
  <c r="AK2" i="10"/>
  <c r="AN5" i="10" l="1"/>
  <c r="P24" i="6" s="1"/>
  <c r="AN15" i="10"/>
  <c r="P34" i="6" s="1"/>
  <c r="AM13" i="10"/>
  <c r="AN13" i="10" s="1"/>
  <c r="P32" i="6" s="1"/>
  <c r="AM7" i="10"/>
  <c r="AN7" i="10" s="1"/>
  <c r="P26" i="6" s="1"/>
  <c r="AM16" i="10"/>
  <c r="AN16" i="10" s="1"/>
  <c r="P35" i="6" s="1"/>
  <c r="AN21" i="10"/>
  <c r="P40" i="6" s="1"/>
  <c r="AM17" i="10"/>
  <c r="AN17" i="10" s="1"/>
  <c r="P36" i="6" s="1"/>
  <c r="AM14" i="10"/>
  <c r="AN14" i="10" s="1"/>
  <c r="P33" i="6" s="1"/>
  <c r="AM12" i="10"/>
  <c r="AN12" i="10" s="1"/>
  <c r="P31" i="6" s="1"/>
  <c r="AM11" i="10"/>
  <c r="AN11" i="10" s="1"/>
  <c r="P30" i="6" s="1"/>
  <c r="AM10" i="10"/>
  <c r="AN10" i="10" s="1"/>
  <c r="P29" i="6" s="1"/>
  <c r="AM9" i="10"/>
  <c r="AN9" i="10" s="1"/>
  <c r="P28" i="6" s="1"/>
  <c r="AM20" i="10"/>
  <c r="AN20" i="10" s="1"/>
  <c r="P39" i="6" s="1"/>
  <c r="AM8" i="10"/>
  <c r="AN8" i="10" s="1"/>
  <c r="P27" i="6" s="1"/>
  <c r="AM19" i="10"/>
  <c r="AN19" i="10" s="1"/>
  <c r="P38" i="6" s="1"/>
  <c r="AM18" i="10"/>
  <c r="AN18" i="10" s="1"/>
  <c r="P37" i="6" s="1"/>
  <c r="AN4" i="10"/>
  <c r="H18" i="17" l="1"/>
  <c r="H14" i="17"/>
  <c r="H12" i="17"/>
  <c r="H10" i="17"/>
  <c r="J62" i="17"/>
  <c r="J61" i="17"/>
  <c r="J59" i="17"/>
  <c r="J58" i="17"/>
  <c r="J57" i="17"/>
  <c r="O25" i="6" l="1"/>
  <c r="O26" i="6"/>
  <c r="O27" i="6"/>
  <c r="O28" i="6"/>
  <c r="O29" i="6"/>
  <c r="O30" i="6"/>
  <c r="O31" i="6"/>
  <c r="O32" i="6"/>
  <c r="O34" i="6"/>
  <c r="O35" i="6"/>
  <c r="O36" i="6"/>
  <c r="O37" i="6"/>
  <c r="O38" i="6"/>
  <c r="O39" i="6"/>
  <c r="O40" i="6"/>
  <c r="O24" i="6"/>
  <c r="N25" i="6"/>
  <c r="N26" i="6"/>
  <c r="N27" i="6"/>
  <c r="N28" i="6"/>
  <c r="N29" i="6"/>
  <c r="N30" i="6"/>
  <c r="N31" i="6"/>
  <c r="N32" i="6"/>
  <c r="N34" i="6"/>
  <c r="N35" i="6"/>
  <c r="N36" i="6"/>
  <c r="N37" i="6"/>
  <c r="N38" i="6"/>
  <c r="N39" i="6"/>
  <c r="N40" i="6"/>
  <c r="N24" i="6"/>
  <c r="Q53" i="17" l="1"/>
  <c r="Q54" i="17"/>
  <c r="H16" i="17"/>
  <c r="J21" i="3" l="1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D150" i="6" l="1"/>
  <c r="O24" i="3"/>
  <c r="P24" i="3" s="1"/>
  <c r="D108" i="6"/>
  <c r="O22" i="3"/>
  <c r="P22" i="3" s="1"/>
  <c r="D129" i="6"/>
  <c r="O23" i="3"/>
  <c r="P23" i="3" s="1"/>
  <c r="D87" i="6"/>
  <c r="O21" i="3"/>
  <c r="P21" i="3" s="1"/>
  <c r="Q52" i="17"/>
  <c r="F533" i="14" l="1"/>
  <c r="E533" i="14"/>
  <c r="H532" i="14"/>
  <c r="C532" i="14"/>
  <c r="F532" i="14" s="1"/>
  <c r="H531" i="14"/>
  <c r="C531" i="14"/>
  <c r="F531" i="14" s="1"/>
  <c r="H530" i="14"/>
  <c r="C530" i="14"/>
  <c r="H529" i="14"/>
  <c r="C529" i="14"/>
  <c r="C528" i="14"/>
  <c r="F528" i="14" s="1"/>
  <c r="C527" i="14"/>
  <c r="E527" i="14" s="1"/>
  <c r="C526" i="14"/>
  <c r="F526" i="14" s="1"/>
  <c r="C525" i="14"/>
  <c r="C524" i="14"/>
  <c r="E524" i="14" s="1"/>
  <c r="C523" i="14"/>
  <c r="E523" i="14" s="1"/>
  <c r="C522" i="14"/>
  <c r="F522" i="14" s="1"/>
  <c r="C521" i="14"/>
  <c r="C520" i="14"/>
  <c r="E520" i="14" s="1"/>
  <c r="C519" i="14"/>
  <c r="E519" i="14" s="1"/>
  <c r="C518" i="14"/>
  <c r="F518" i="14" s="1"/>
  <c r="C517" i="14"/>
  <c r="C516" i="14"/>
  <c r="E516" i="14" s="1"/>
  <c r="C515" i="14"/>
  <c r="E515" i="14" s="1"/>
  <c r="C514" i="14"/>
  <c r="F514" i="14" s="1"/>
  <c r="C513" i="14"/>
  <c r="C512" i="14"/>
  <c r="E512" i="14" s="1"/>
  <c r="C511" i="14"/>
  <c r="E511" i="14" s="1"/>
  <c r="C510" i="14"/>
  <c r="F510" i="14" s="1"/>
  <c r="C509" i="14"/>
  <c r="C508" i="14"/>
  <c r="E508" i="14" s="1"/>
  <c r="C507" i="14"/>
  <c r="E507" i="14" s="1"/>
  <c r="C506" i="14"/>
  <c r="F506" i="14" s="1"/>
  <c r="C505" i="14"/>
  <c r="C504" i="14"/>
  <c r="E504" i="14" s="1"/>
  <c r="G155" i="14" l="1"/>
  <c r="G224" i="14"/>
  <c r="G307" i="14"/>
  <c r="G50" i="14"/>
  <c r="G227" i="14"/>
  <c r="G32" i="14"/>
  <c r="G42" i="14"/>
  <c r="G65" i="14"/>
  <c r="G105" i="14"/>
  <c r="G116" i="14"/>
  <c r="G120" i="14"/>
  <c r="G132" i="14"/>
  <c r="G148" i="14"/>
  <c r="G152" i="14"/>
  <c r="G212" i="14"/>
  <c r="G381" i="14"/>
  <c r="G82" i="14"/>
  <c r="G260" i="14"/>
  <c r="G70" i="14"/>
  <c r="G121" i="14"/>
  <c r="G176" i="14"/>
  <c r="G194" i="14"/>
  <c r="G242" i="14"/>
  <c r="G321" i="14"/>
  <c r="G345" i="14"/>
  <c r="G361" i="14"/>
  <c r="G185" i="14"/>
  <c r="G89" i="14"/>
  <c r="G149" i="14"/>
  <c r="G214" i="14"/>
  <c r="G340" i="14"/>
  <c r="G126" i="14"/>
  <c r="G206" i="14"/>
  <c r="G225" i="14"/>
  <c r="G238" i="14"/>
  <c r="G140" i="14"/>
  <c r="G257" i="14"/>
  <c r="G331" i="14"/>
  <c r="G382" i="14"/>
  <c r="G49" i="14"/>
  <c r="G122" i="14"/>
  <c r="G196" i="14"/>
  <c r="G145" i="14"/>
  <c r="G248" i="14"/>
  <c r="G118" i="14"/>
  <c r="G137" i="14"/>
  <c r="G178" i="14"/>
  <c r="G281" i="14"/>
  <c r="G374" i="14"/>
  <c r="G249" i="14"/>
  <c r="G332" i="14"/>
  <c r="G481" i="14"/>
  <c r="G81" i="14"/>
  <c r="G106" i="14"/>
  <c r="G236" i="14"/>
  <c r="G301" i="14"/>
  <c r="G339" i="14"/>
  <c r="G354" i="14"/>
  <c r="G107" i="14"/>
  <c r="G269" i="14"/>
  <c r="G292" i="14"/>
  <c r="G228" i="14"/>
  <c r="G325" i="14"/>
  <c r="G350" i="14"/>
  <c r="G190" i="14"/>
  <c r="G356" i="14"/>
  <c r="G252" i="14"/>
  <c r="G270" i="14"/>
  <c r="G62" i="14"/>
  <c r="G75" i="14"/>
  <c r="G182" i="14"/>
  <c r="G266" i="14"/>
  <c r="G367" i="14"/>
  <c r="G90" i="14"/>
  <c r="G109" i="14"/>
  <c r="G276" i="14"/>
  <c r="G85" i="14"/>
  <c r="G128" i="14"/>
  <c r="G221" i="14"/>
  <c r="G240" i="14"/>
  <c r="G253" i="14"/>
  <c r="G141" i="14"/>
  <c r="G169" i="14"/>
  <c r="G133" i="14"/>
  <c r="G328" i="14"/>
  <c r="G111" i="14"/>
  <c r="G124" i="14"/>
  <c r="G156" i="14"/>
  <c r="G180" i="14"/>
  <c r="G209" i="14"/>
  <c r="G264" i="14"/>
  <c r="G333" i="14"/>
  <c r="G349" i="14"/>
  <c r="G365" i="14"/>
  <c r="G370" i="14"/>
  <c r="G52" i="14"/>
  <c r="G78" i="14"/>
  <c r="G161" i="14"/>
  <c r="G205" i="14"/>
  <c r="G218" i="14"/>
  <c r="G97" i="14"/>
  <c r="G157" i="14"/>
  <c r="G265" i="14"/>
  <c r="G288" i="14"/>
  <c r="G366" i="14"/>
  <c r="G168" i="14"/>
  <c r="G261" i="14"/>
  <c r="G284" i="14"/>
  <c r="G312" i="14"/>
  <c r="G317" i="14"/>
  <c r="G335" i="14"/>
  <c r="G98" i="14"/>
  <c r="G293" i="14"/>
  <c r="G71" i="14"/>
  <c r="G341" i="14"/>
  <c r="G150" i="14"/>
  <c r="G164" i="14"/>
  <c r="G216" i="14"/>
  <c r="G226" i="14"/>
  <c r="G262" i="14"/>
  <c r="G285" i="14"/>
  <c r="G352" i="14"/>
  <c r="G230" i="14"/>
  <c r="G308" i="14"/>
  <c r="G379" i="14"/>
  <c r="G258" i="14"/>
  <c r="G55" i="14"/>
  <c r="G91" i="14"/>
  <c r="G146" i="14"/>
  <c r="G165" i="14"/>
  <c r="G60" i="14"/>
  <c r="G134" i="14"/>
  <c r="G189" i="14"/>
  <c r="G232" i="14"/>
  <c r="G273" i="14"/>
  <c r="G305" i="14"/>
  <c r="G316" i="14"/>
  <c r="G181" i="14"/>
  <c r="G237" i="14"/>
  <c r="G297" i="14"/>
  <c r="G153" i="14"/>
  <c r="G172" i="14"/>
  <c r="G210" i="14"/>
  <c r="G256" i="14"/>
  <c r="G144" i="14"/>
  <c r="G371" i="14"/>
  <c r="G93" i="14"/>
  <c r="G117" i="14"/>
  <c r="G177" i="14"/>
  <c r="G201" i="14"/>
  <c r="G220" i="14"/>
  <c r="G233" i="14"/>
  <c r="G280" i="14"/>
  <c r="G322" i="14"/>
  <c r="G66" i="14"/>
  <c r="G362" i="14"/>
  <c r="G378" i="14"/>
  <c r="G58" i="14"/>
  <c r="G229" i="14"/>
  <c r="G289" i="14"/>
  <c r="G357" i="14"/>
  <c r="G154" i="14"/>
  <c r="G234" i="14"/>
  <c r="G202" i="14"/>
  <c r="G336" i="14"/>
  <c r="G94" i="14"/>
  <c r="G313" i="14"/>
  <c r="G197" i="14"/>
  <c r="G244" i="14"/>
  <c r="G358" i="14"/>
  <c r="G59" i="14"/>
  <c r="G68" i="14"/>
  <c r="G101" i="14"/>
  <c r="G114" i="14"/>
  <c r="G300" i="14"/>
  <c r="G353" i="14"/>
  <c r="G348" i="14"/>
  <c r="G304" i="14"/>
  <c r="G369" i="14"/>
  <c r="G277" i="14"/>
  <c r="G217" i="14"/>
  <c r="G337" i="14"/>
  <c r="G73" i="14"/>
  <c r="G282" i="14"/>
  <c r="G119" i="14"/>
  <c r="G103" i="14"/>
  <c r="G63" i="14"/>
  <c r="G159" i="14"/>
  <c r="G360" i="14"/>
  <c r="G110" i="14"/>
  <c r="G204" i="14"/>
  <c r="G295" i="14"/>
  <c r="G306" i="14"/>
  <c r="G287" i="14"/>
  <c r="G54" i="14"/>
  <c r="G278" i="14"/>
  <c r="G193" i="14"/>
  <c r="G51" i="14"/>
  <c r="G255" i="14"/>
  <c r="G69" i="14"/>
  <c r="G259" i="14"/>
  <c r="G263" i="14"/>
  <c r="G231" i="14"/>
  <c r="G191" i="14"/>
  <c r="G136" i="14"/>
  <c r="G380" i="14"/>
  <c r="G272" i="14"/>
  <c r="G175" i="14"/>
  <c r="G323" i="14"/>
  <c r="G143" i="14"/>
  <c r="G99" i="14"/>
  <c r="G142" i="14"/>
  <c r="G326" i="14"/>
  <c r="G166" i="14"/>
  <c r="G291" i="14"/>
  <c r="G77" i="14"/>
  <c r="G275" i="14"/>
  <c r="G318" i="14"/>
  <c r="G79" i="14"/>
  <c r="G342" i="14"/>
  <c r="G364" i="14"/>
  <c r="G123" i="14"/>
  <c r="G319" i="14"/>
  <c r="G243" i="14"/>
  <c r="G320" i="14"/>
  <c r="G377" i="14"/>
  <c r="G368" i="14"/>
  <c r="G207" i="14"/>
  <c r="G327" i="14"/>
  <c r="G160" i="14"/>
  <c r="G61" i="14"/>
  <c r="G343" i="14"/>
  <c r="G334" i="14"/>
  <c r="G192" i="14"/>
  <c r="G296" i="14"/>
  <c r="G151" i="14"/>
  <c r="G351" i="14"/>
  <c r="G241" i="14"/>
  <c r="G53" i="14"/>
  <c r="G211" i="14"/>
  <c r="G87" i="14"/>
  <c r="G56" i="14"/>
  <c r="G375" i="14"/>
  <c r="G203" i="14"/>
  <c r="G309" i="14"/>
  <c r="G92" i="14"/>
  <c r="G108" i="14"/>
  <c r="G139" i="14"/>
  <c r="G247" i="14"/>
  <c r="G167" i="14"/>
  <c r="G251" i="14"/>
  <c r="G80" i="14"/>
  <c r="G135" i="14"/>
  <c r="G271" i="14"/>
  <c r="G303" i="14"/>
  <c r="G86" i="14"/>
  <c r="G286" i="14"/>
  <c r="G131" i="14"/>
  <c r="G222" i="14"/>
  <c r="G183" i="14"/>
  <c r="G184" i="14"/>
  <c r="G290" i="14"/>
  <c r="G267" i="14"/>
  <c r="G208" i="14"/>
  <c r="G138" i="14"/>
  <c r="G174" i="14"/>
  <c r="G302" i="14"/>
  <c r="G324" i="14"/>
  <c r="G279" i="14"/>
  <c r="G298" i="14"/>
  <c r="G347" i="14"/>
  <c r="G72" i="14"/>
  <c r="G115" i="14"/>
  <c r="G179" i="14"/>
  <c r="G268" i="14"/>
  <c r="G330" i="14"/>
  <c r="G173" i="14"/>
  <c r="G311" i="14"/>
  <c r="G363" i="14"/>
  <c r="G254" i="14"/>
  <c r="G376" i="14"/>
  <c r="G104" i="14"/>
  <c r="G294" i="14"/>
  <c r="G283" i="14"/>
  <c r="G315" i="14"/>
  <c r="G246" i="14"/>
  <c r="G76" i="14"/>
  <c r="G186" i="14"/>
  <c r="G170" i="14"/>
  <c r="G274" i="14"/>
  <c r="G195" i="14"/>
  <c r="G346" i="14"/>
  <c r="G162" i="14"/>
  <c r="G299" i="14"/>
  <c r="G57" i="14"/>
  <c r="G235" i="14"/>
  <c r="G96" i="14"/>
  <c r="G187" i="14"/>
  <c r="G188" i="14"/>
  <c r="G64" i="14"/>
  <c r="G213" i="14"/>
  <c r="G314" i="14"/>
  <c r="G130" i="14"/>
  <c r="G198" i="14"/>
  <c r="G147" i="14"/>
  <c r="G250" i="14"/>
  <c r="G200" i="14"/>
  <c r="G84" i="14"/>
  <c r="G373" i="14"/>
  <c r="G171" i="14"/>
  <c r="G127" i="14"/>
  <c r="G74" i="14"/>
  <c r="G219" i="14"/>
  <c r="G338" i="14"/>
  <c r="G100" i="14"/>
  <c r="G125" i="14"/>
  <c r="G199" i="14"/>
  <c r="G359" i="14"/>
  <c r="G239" i="14"/>
  <c r="G245" i="14"/>
  <c r="G83" i="14"/>
  <c r="G372" i="14"/>
  <c r="G344" i="14"/>
  <c r="G223" i="14"/>
  <c r="G329" i="14"/>
  <c r="G355" i="14"/>
  <c r="G310" i="14"/>
  <c r="G88" i="14"/>
  <c r="G129" i="14"/>
  <c r="G67" i="14"/>
  <c r="G215" i="14"/>
  <c r="G95" i="14"/>
  <c r="G163" i="14"/>
  <c r="F508" i="14"/>
  <c r="F511" i="14"/>
  <c r="H240" i="6"/>
  <c r="H239" i="6"/>
  <c r="H238" i="6"/>
  <c r="I238" i="6" s="1"/>
  <c r="J238" i="6" s="1"/>
  <c r="K238" i="6" s="1"/>
  <c r="H217" i="6"/>
  <c r="I217" i="6" s="1"/>
  <c r="J217" i="6" s="1"/>
  <c r="K217" i="6" s="1"/>
  <c r="H219" i="6"/>
  <c r="H218" i="6"/>
  <c r="H196" i="6"/>
  <c r="I196" i="6" s="1"/>
  <c r="J196" i="6" s="1"/>
  <c r="K196" i="6" s="1"/>
  <c r="H198" i="6"/>
  <c r="H197" i="6"/>
  <c r="H175" i="6"/>
  <c r="I175" i="6" s="1"/>
  <c r="J175" i="6" s="1"/>
  <c r="K175" i="6" s="1"/>
  <c r="H177" i="6"/>
  <c r="H176" i="6"/>
  <c r="F520" i="14"/>
  <c r="F512" i="14"/>
  <c r="F524" i="14"/>
  <c r="F527" i="14"/>
  <c r="F504" i="14"/>
  <c r="F516" i="14"/>
  <c r="F519" i="14"/>
  <c r="F507" i="14"/>
  <c r="F515" i="14"/>
  <c r="F523" i="14"/>
  <c r="E532" i="14"/>
  <c r="G532" i="14" s="1"/>
  <c r="E531" i="14"/>
  <c r="E506" i="14"/>
  <c r="E510" i="14"/>
  <c r="E514" i="14"/>
  <c r="E518" i="14"/>
  <c r="E522" i="14"/>
  <c r="E526" i="14"/>
  <c r="E528" i="14"/>
  <c r="F529" i="14"/>
  <c r="E529" i="14"/>
  <c r="F505" i="14"/>
  <c r="E505" i="14"/>
  <c r="F509" i="14"/>
  <c r="E509" i="14"/>
  <c r="F513" i="14"/>
  <c r="E513" i="14"/>
  <c r="F517" i="14"/>
  <c r="E517" i="14"/>
  <c r="F521" i="14"/>
  <c r="E521" i="14"/>
  <c r="F525" i="14"/>
  <c r="E525" i="14"/>
  <c r="F530" i="14"/>
  <c r="E530" i="14"/>
  <c r="I32" i="14" l="1"/>
  <c r="G530" i="14"/>
  <c r="K32" i="3" l="1"/>
  <c r="K33" i="3"/>
  <c r="K31" i="3"/>
  <c r="A21" i="3" l="1"/>
  <c r="B21" i="3"/>
  <c r="C21" i="3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D154" i="6" s="1"/>
  <c r="G154" i="6" s="1"/>
  <c r="B24" i="3"/>
  <c r="C24" i="3"/>
  <c r="D24" i="3"/>
  <c r="E24" i="3"/>
  <c r="E245" i="6"/>
  <c r="G245" i="6" s="1"/>
  <c r="I245" i="6" s="1"/>
  <c r="J245" i="6" s="1"/>
  <c r="K245" i="6" s="1"/>
  <c r="E244" i="6"/>
  <c r="G244" i="6" s="1"/>
  <c r="I244" i="6" s="1"/>
  <c r="J244" i="6" s="1"/>
  <c r="K244" i="6" s="1"/>
  <c r="E242" i="6"/>
  <c r="G241" i="6"/>
  <c r="I241" i="6" s="1"/>
  <c r="J241" i="6" s="1"/>
  <c r="K241" i="6" s="1"/>
  <c r="E240" i="6"/>
  <c r="G239" i="6"/>
  <c r="I239" i="6" s="1"/>
  <c r="J239" i="6" s="1"/>
  <c r="K239" i="6" s="1"/>
  <c r="E235" i="6"/>
  <c r="E224" i="6"/>
  <c r="G224" i="6" s="1"/>
  <c r="I224" i="6" s="1"/>
  <c r="J224" i="6" s="1"/>
  <c r="K224" i="6" s="1"/>
  <c r="E223" i="6"/>
  <c r="G223" i="6" s="1"/>
  <c r="I223" i="6" s="1"/>
  <c r="J223" i="6" s="1"/>
  <c r="K223" i="6" s="1"/>
  <c r="E221" i="6"/>
  <c r="G220" i="6"/>
  <c r="I220" i="6" s="1"/>
  <c r="J220" i="6" s="1"/>
  <c r="K220" i="6" s="1"/>
  <c r="E219" i="6"/>
  <c r="G218" i="6"/>
  <c r="I218" i="6" s="1"/>
  <c r="J218" i="6" s="1"/>
  <c r="K218" i="6" s="1"/>
  <c r="E214" i="6"/>
  <c r="E203" i="6"/>
  <c r="G203" i="6" s="1"/>
  <c r="I203" i="6" s="1"/>
  <c r="J203" i="6" s="1"/>
  <c r="K203" i="6" s="1"/>
  <c r="E202" i="6"/>
  <c r="G202" i="6" s="1"/>
  <c r="I202" i="6" s="1"/>
  <c r="J202" i="6" s="1"/>
  <c r="K202" i="6" s="1"/>
  <c r="E200" i="6"/>
  <c r="G199" i="6"/>
  <c r="I199" i="6" s="1"/>
  <c r="J199" i="6" s="1"/>
  <c r="K199" i="6" s="1"/>
  <c r="E198" i="6"/>
  <c r="G197" i="6"/>
  <c r="E193" i="6"/>
  <c r="E182" i="6"/>
  <c r="G182" i="6" s="1"/>
  <c r="I182" i="6" s="1"/>
  <c r="J182" i="6" s="1"/>
  <c r="K182" i="6" s="1"/>
  <c r="E181" i="6"/>
  <c r="G181" i="6" s="1"/>
  <c r="I181" i="6" s="1"/>
  <c r="J181" i="6" s="1"/>
  <c r="K181" i="6" s="1"/>
  <c r="E179" i="6"/>
  <c r="G178" i="6"/>
  <c r="I178" i="6" s="1"/>
  <c r="J178" i="6" s="1"/>
  <c r="K178" i="6" s="1"/>
  <c r="E177" i="6"/>
  <c r="G176" i="6"/>
  <c r="I176" i="6" s="1"/>
  <c r="J176" i="6" s="1"/>
  <c r="E172" i="6"/>
  <c r="E161" i="6"/>
  <c r="G161" i="6" s="1"/>
  <c r="I161" i="6" s="1"/>
  <c r="J161" i="6" s="1"/>
  <c r="K161" i="6" s="1"/>
  <c r="E160" i="6"/>
  <c r="G160" i="6" s="1"/>
  <c r="I160" i="6" s="1"/>
  <c r="J160" i="6" s="1"/>
  <c r="K160" i="6" s="1"/>
  <c r="E158" i="6"/>
  <c r="G157" i="6"/>
  <c r="I157" i="6" s="1"/>
  <c r="J157" i="6" s="1"/>
  <c r="K157" i="6" s="1"/>
  <c r="E156" i="6"/>
  <c r="G155" i="6"/>
  <c r="E151" i="6"/>
  <c r="E140" i="6"/>
  <c r="G140" i="6" s="1"/>
  <c r="I140" i="6" s="1"/>
  <c r="J140" i="6" s="1"/>
  <c r="K140" i="6" s="1"/>
  <c r="E139" i="6"/>
  <c r="G139" i="6" s="1"/>
  <c r="I139" i="6" s="1"/>
  <c r="J139" i="6" s="1"/>
  <c r="K139" i="6" s="1"/>
  <c r="E137" i="6"/>
  <c r="G136" i="6"/>
  <c r="I136" i="6" s="1"/>
  <c r="J136" i="6" s="1"/>
  <c r="K136" i="6" s="1"/>
  <c r="E135" i="6"/>
  <c r="G134" i="6"/>
  <c r="E130" i="6"/>
  <c r="E119" i="6"/>
  <c r="G119" i="6" s="1"/>
  <c r="I119" i="6" s="1"/>
  <c r="J119" i="6" s="1"/>
  <c r="K119" i="6" s="1"/>
  <c r="E118" i="6"/>
  <c r="G118" i="6" s="1"/>
  <c r="I118" i="6" s="1"/>
  <c r="J118" i="6" s="1"/>
  <c r="K118" i="6" s="1"/>
  <c r="E116" i="6"/>
  <c r="G115" i="6"/>
  <c r="I115" i="6" s="1"/>
  <c r="J115" i="6" s="1"/>
  <c r="K115" i="6" s="1"/>
  <c r="E114" i="6"/>
  <c r="G113" i="6"/>
  <c r="E109" i="6"/>
  <c r="E98" i="6"/>
  <c r="G98" i="6" s="1"/>
  <c r="I98" i="6" s="1"/>
  <c r="J98" i="6" s="1"/>
  <c r="K98" i="6" s="1"/>
  <c r="E97" i="6"/>
  <c r="G97" i="6" s="1"/>
  <c r="I97" i="6" s="1"/>
  <c r="J97" i="6" s="1"/>
  <c r="K97" i="6" s="1"/>
  <c r="E95" i="6"/>
  <c r="G94" i="6"/>
  <c r="I94" i="6" s="1"/>
  <c r="J94" i="6" s="1"/>
  <c r="K94" i="6" s="1"/>
  <c r="E93" i="6"/>
  <c r="G92" i="6"/>
  <c r="E88" i="6"/>
  <c r="E77" i="6"/>
  <c r="G77" i="6" s="1"/>
  <c r="I77" i="6" s="1"/>
  <c r="J77" i="6" s="1"/>
  <c r="K77" i="6" s="1"/>
  <c r="E76" i="6"/>
  <c r="G76" i="6" s="1"/>
  <c r="I76" i="6" s="1"/>
  <c r="J76" i="6" s="1"/>
  <c r="K76" i="6" s="1"/>
  <c r="E74" i="6"/>
  <c r="G73" i="6"/>
  <c r="I73" i="6" s="1"/>
  <c r="J73" i="6" s="1"/>
  <c r="K73" i="6" s="1"/>
  <c r="E72" i="6"/>
  <c r="G71" i="6"/>
  <c r="E67" i="6"/>
  <c r="E56" i="6"/>
  <c r="G56" i="6" s="1"/>
  <c r="I56" i="6" s="1"/>
  <c r="J56" i="6" s="1"/>
  <c r="K56" i="6" s="1"/>
  <c r="E55" i="6"/>
  <c r="G55" i="6" s="1"/>
  <c r="I55" i="6" s="1"/>
  <c r="J55" i="6" s="1"/>
  <c r="K55" i="6" s="1"/>
  <c r="E53" i="6"/>
  <c r="G52" i="6"/>
  <c r="I52" i="6" s="1"/>
  <c r="J52" i="6" s="1"/>
  <c r="K52" i="6" s="1"/>
  <c r="E51" i="6"/>
  <c r="G50" i="6"/>
  <c r="E46" i="6"/>
  <c r="E32" i="6"/>
  <c r="G31" i="6"/>
  <c r="E30" i="6"/>
  <c r="G29" i="6"/>
  <c r="E25" i="6"/>
  <c r="D88" i="6"/>
  <c r="A35" i="3"/>
  <c r="N20" i="3"/>
  <c r="M20" i="3"/>
  <c r="L20" i="3"/>
  <c r="K20" i="3"/>
  <c r="J20" i="3"/>
  <c r="E20" i="3"/>
  <c r="D20" i="3"/>
  <c r="C20" i="3"/>
  <c r="B20" i="3"/>
  <c r="A20" i="3"/>
  <c r="N19" i="3"/>
  <c r="M19" i="3"/>
  <c r="L19" i="3"/>
  <c r="K19" i="3"/>
  <c r="J19" i="3"/>
  <c r="E19" i="3"/>
  <c r="D19" i="3"/>
  <c r="C19" i="3"/>
  <c r="B19" i="3"/>
  <c r="A19" i="3"/>
  <c r="N18" i="3"/>
  <c r="M18" i="3"/>
  <c r="L18" i="3"/>
  <c r="K18" i="3"/>
  <c r="E18" i="3"/>
  <c r="D18" i="3"/>
  <c r="C18" i="3"/>
  <c r="B18" i="3"/>
  <c r="A18" i="3"/>
  <c r="J13" i="3"/>
  <c r="O13" i="3" s="1"/>
  <c r="I13" i="3"/>
  <c r="N13" i="3" s="1"/>
  <c r="C13" i="3"/>
  <c r="F13" i="3" s="1"/>
  <c r="B13" i="3"/>
  <c r="E13" i="3" s="1"/>
  <c r="J12" i="3"/>
  <c r="O12" i="3" s="1"/>
  <c r="I12" i="3"/>
  <c r="C12" i="3"/>
  <c r="F12" i="3" s="1"/>
  <c r="B12" i="3"/>
  <c r="C10" i="3"/>
  <c r="C9" i="3"/>
  <c r="C8" i="3"/>
  <c r="C7" i="3"/>
  <c r="E12" i="3" l="1"/>
  <c r="C14" i="3" s="1"/>
  <c r="D14" i="3" s="1"/>
  <c r="N12" i="3"/>
  <c r="J14" i="3"/>
  <c r="K14" i="3" s="1"/>
  <c r="D28" i="6"/>
  <c r="G28" i="6" s="1"/>
  <c r="F18" i="3"/>
  <c r="D112" i="6"/>
  <c r="G112" i="6" s="1"/>
  <c r="F22" i="3"/>
  <c r="D49" i="6"/>
  <c r="G49" i="6" s="1"/>
  <c r="F19" i="3"/>
  <c r="I197" i="6"/>
  <c r="J197" i="6" s="1"/>
  <c r="K197" i="6" s="1"/>
  <c r="D66" i="6"/>
  <c r="G66" i="6" s="1"/>
  <c r="O20" i="3"/>
  <c r="P20" i="3" s="1"/>
  <c r="D70" i="6"/>
  <c r="G70" i="6" s="1"/>
  <c r="F20" i="3"/>
  <c r="D133" i="6"/>
  <c r="G133" i="6" s="1"/>
  <c r="F23" i="3"/>
  <c r="D45" i="6"/>
  <c r="G45" i="6" s="1"/>
  <c r="O19" i="3"/>
  <c r="P19" i="3" s="1"/>
  <c r="D24" i="6"/>
  <c r="G24" i="6" s="1"/>
  <c r="O18" i="3"/>
  <c r="P18" i="3" s="1"/>
  <c r="D91" i="6"/>
  <c r="G91" i="6" s="1"/>
  <c r="F21" i="3"/>
  <c r="I31" i="6"/>
  <c r="J31" i="6" s="1"/>
  <c r="K31" i="6" s="1"/>
  <c r="G88" i="6"/>
  <c r="F24" i="3"/>
  <c r="G213" i="6"/>
  <c r="G108" i="6"/>
  <c r="D151" i="6"/>
  <c r="G151" i="6" s="1"/>
  <c r="D109" i="6"/>
  <c r="G109" i="6" s="1"/>
  <c r="D67" i="6"/>
  <c r="G67" i="6" s="1"/>
  <c r="D172" i="6"/>
  <c r="G172" i="6" s="1"/>
  <c r="G25" i="6"/>
  <c r="D193" i="6"/>
  <c r="G193" i="6" s="1"/>
  <c r="D46" i="6"/>
  <c r="G46" i="6" s="1"/>
  <c r="D130" i="6"/>
  <c r="G130" i="6" s="1"/>
  <c r="G87" i="6"/>
  <c r="D235" i="6"/>
  <c r="G235" i="6" s="1"/>
  <c r="D214" i="6"/>
  <c r="G214" i="6" s="1"/>
  <c r="G234" i="6"/>
  <c r="G129" i="6"/>
  <c r="G150" i="6"/>
  <c r="G192" i="6"/>
  <c r="G171" i="6"/>
  <c r="G23" i="3" l="1"/>
  <c r="H23" i="3" s="1"/>
  <c r="G19" i="3"/>
  <c r="G21" i="3"/>
  <c r="G22" i="3"/>
  <c r="H22" i="3" s="1"/>
  <c r="G24" i="3"/>
  <c r="H24" i="3" s="1"/>
  <c r="G18" i="3"/>
  <c r="H18" i="3" s="1"/>
  <c r="G20" i="3"/>
  <c r="D51" i="6"/>
  <c r="Q23" i="3"/>
  <c r="X86" i="3" s="1"/>
  <c r="Q18" i="3"/>
  <c r="X81" i="3" s="1"/>
  <c r="W64" i="17"/>
  <c r="Q22" i="3"/>
  <c r="X85" i="3" s="1"/>
  <c r="Q21" i="3"/>
  <c r="X84" i="3" s="1"/>
  <c r="Q24" i="3"/>
  <c r="X87" i="3" s="1"/>
  <c r="W63" i="17"/>
  <c r="G221" i="6"/>
  <c r="G179" i="6"/>
  <c r="G200" i="6"/>
  <c r="I200" i="6" s="1"/>
  <c r="J200" i="6" s="1"/>
  <c r="K200" i="6" s="1"/>
  <c r="G242" i="6"/>
  <c r="I242" i="6" s="1"/>
  <c r="J242" i="6" s="1"/>
  <c r="K242" i="6" s="1"/>
  <c r="D156" i="6" l="1"/>
  <c r="Z91" i="3"/>
  <c r="AB91" i="3"/>
  <c r="AA91" i="3"/>
  <c r="D30" i="6"/>
  <c r="AB89" i="3"/>
  <c r="AB90" i="3"/>
  <c r="AA89" i="3"/>
  <c r="AA90" i="3"/>
  <c r="Z90" i="3"/>
  <c r="Z89" i="3"/>
  <c r="Y87" i="3"/>
  <c r="Y86" i="3"/>
  <c r="D135" i="6"/>
  <c r="Y85" i="3"/>
  <c r="D114" i="6"/>
  <c r="G114" i="6" s="1"/>
  <c r="Y82" i="3"/>
  <c r="G177" i="6"/>
  <c r="I177" i="6" s="1"/>
  <c r="J177" i="6" s="1"/>
  <c r="Q20" i="3"/>
  <c r="X83" i="3" s="1"/>
  <c r="Q19" i="3"/>
  <c r="X82" i="3" s="1"/>
  <c r="G93" i="6"/>
  <c r="G219" i="6"/>
  <c r="I219" i="6" s="1"/>
  <c r="J219" i="6" s="1"/>
  <c r="K219" i="6" s="1"/>
  <c r="I179" i="6"/>
  <c r="J179" i="6" s="1"/>
  <c r="K179" i="6" s="1"/>
  <c r="I221" i="6"/>
  <c r="J221" i="6" s="1"/>
  <c r="K221" i="6" s="1"/>
  <c r="C63" i="6" l="1"/>
  <c r="Y83" i="3"/>
  <c r="AA83" i="3" s="1"/>
  <c r="Y81" i="3"/>
  <c r="AB81" i="3" s="1"/>
  <c r="G30" i="6"/>
  <c r="Y84" i="3"/>
  <c r="Z83" i="3"/>
  <c r="C147" i="6"/>
  <c r="AB87" i="3"/>
  <c r="C105" i="6"/>
  <c r="AA85" i="3"/>
  <c r="C126" i="6"/>
  <c r="AA86" i="3"/>
  <c r="C42" i="6"/>
  <c r="AA82" i="3"/>
  <c r="Z82" i="3"/>
  <c r="I88" i="17"/>
  <c r="AB88" i="3"/>
  <c r="AA88" i="3"/>
  <c r="Z84" i="3"/>
  <c r="Z88" i="3"/>
  <c r="Z86" i="3"/>
  <c r="Z85" i="3"/>
  <c r="Z81" i="3"/>
  <c r="Z87" i="3"/>
  <c r="G198" i="6"/>
  <c r="I198" i="6" s="1"/>
  <c r="J198" i="6" s="1"/>
  <c r="G72" i="6"/>
  <c r="G135" i="6"/>
  <c r="G240" i="6"/>
  <c r="I240" i="6" s="1"/>
  <c r="J240" i="6" s="1"/>
  <c r="G156" i="6"/>
  <c r="H53" i="6" l="1"/>
  <c r="D53" i="6"/>
  <c r="H116" i="6"/>
  <c r="H112" i="6" s="1"/>
  <c r="I112" i="6" s="1"/>
  <c r="J112" i="6" s="1"/>
  <c r="K112" i="6" s="1"/>
  <c r="D116" i="6"/>
  <c r="G116" i="6" s="1"/>
  <c r="H137" i="6"/>
  <c r="H134" i="6" s="1"/>
  <c r="D137" i="6"/>
  <c r="G137" i="6" s="1"/>
  <c r="H158" i="6"/>
  <c r="H156" i="6" s="1"/>
  <c r="D158" i="6"/>
  <c r="G158" i="6" s="1"/>
  <c r="H32" i="6"/>
  <c r="H28" i="6" s="1"/>
  <c r="I28" i="6" s="1"/>
  <c r="J28" i="6" s="1"/>
  <c r="K28" i="6" s="1"/>
  <c r="D32" i="6"/>
  <c r="G32" i="6" s="1"/>
  <c r="H74" i="6"/>
  <c r="H72" i="6" s="1"/>
  <c r="D74" i="6"/>
  <c r="G74" i="6" s="1"/>
  <c r="H49" i="6"/>
  <c r="I49" i="6" s="1"/>
  <c r="J49" i="6" s="1"/>
  <c r="K49" i="6" s="1"/>
  <c r="G53" i="6"/>
  <c r="H50" i="6"/>
  <c r="H51" i="6"/>
  <c r="AA81" i="3"/>
  <c r="AB83" i="3"/>
  <c r="AB84" i="3"/>
  <c r="C84" i="6"/>
  <c r="AB85" i="3"/>
  <c r="AB82" i="3"/>
  <c r="AA84" i="3"/>
  <c r="AA87" i="3"/>
  <c r="AB86" i="3"/>
  <c r="K198" i="6"/>
  <c r="K240" i="6"/>
  <c r="H95" i="6" l="1"/>
  <c r="D95" i="6"/>
  <c r="H114" i="6"/>
  <c r="H113" i="6"/>
  <c r="I116" i="6"/>
  <c r="J116" i="6" s="1"/>
  <c r="K116" i="6" s="1"/>
  <c r="I74" i="6"/>
  <c r="J74" i="6" s="1"/>
  <c r="K74" i="6" s="1"/>
  <c r="I53" i="6"/>
  <c r="J53" i="6" s="1"/>
  <c r="K53" i="6" s="1"/>
  <c r="H29" i="6"/>
  <c r="I29" i="6" s="1"/>
  <c r="J29" i="6" s="1"/>
  <c r="H30" i="6"/>
  <c r="I30" i="6" s="1"/>
  <c r="J30" i="6" s="1"/>
  <c r="K30" i="6" s="1"/>
  <c r="I137" i="6"/>
  <c r="J137" i="6" s="1"/>
  <c r="K137" i="6" s="1"/>
  <c r="I32" i="6"/>
  <c r="J32" i="6" s="1"/>
  <c r="K32" i="6" s="1"/>
  <c r="I158" i="6"/>
  <c r="J158" i="6" s="1"/>
  <c r="K158" i="6" s="1"/>
  <c r="H133" i="6"/>
  <c r="I133" i="6" s="1"/>
  <c r="J133" i="6" s="1"/>
  <c r="K133" i="6" s="1"/>
  <c r="H135" i="6"/>
  <c r="H92" i="6"/>
  <c r="G95" i="6"/>
  <c r="H71" i="6"/>
  <c r="H154" i="6"/>
  <c r="I154" i="6" s="1"/>
  <c r="J154" i="6" s="1"/>
  <c r="K154" i="6" s="1"/>
  <c r="H155" i="6"/>
  <c r="H70" i="6"/>
  <c r="I70" i="6" s="1"/>
  <c r="J70" i="6" s="1"/>
  <c r="K70" i="6" s="1"/>
  <c r="X95" i="3" a="1"/>
  <c r="X98" i="3" s="1"/>
  <c r="G51" i="6"/>
  <c r="I51" i="6" s="1"/>
  <c r="J51" i="6" s="1"/>
  <c r="I95" i="6" l="1"/>
  <c r="J95" i="6" s="1"/>
  <c r="K95" i="6" s="1"/>
  <c r="H93" i="6"/>
  <c r="H91" i="6"/>
  <c r="I91" i="6" s="1"/>
  <c r="J91" i="6" s="1"/>
  <c r="K91" i="6" s="1"/>
  <c r="Y96" i="3"/>
  <c r="Z98" i="3"/>
  <c r="Z96" i="3"/>
  <c r="X96" i="3"/>
  <c r="Z99" i="3"/>
  <c r="X97" i="3"/>
  <c r="Z97" i="3"/>
  <c r="Y98" i="3"/>
  <c r="F27" i="6" s="1"/>
  <c r="F90" i="6" s="1"/>
  <c r="X95" i="3"/>
  <c r="I86" i="17" s="1"/>
  <c r="X99" i="3"/>
  <c r="Y99" i="3"/>
  <c r="Y97" i="3"/>
  <c r="D27" i="6" s="1"/>
  <c r="Z95" i="3"/>
  <c r="Y95" i="3"/>
  <c r="K51" i="6"/>
  <c r="Y109" i="3" l="1"/>
  <c r="AI109" i="3"/>
  <c r="AG109" i="3"/>
  <c r="AC109" i="3"/>
  <c r="Z109" i="3"/>
  <c r="AH109" i="3"/>
  <c r="AB109" i="3"/>
  <c r="AD109" i="3"/>
  <c r="AE109" i="3"/>
  <c r="AA109" i="3"/>
  <c r="AF109" i="3"/>
  <c r="AA124" i="3"/>
  <c r="AH125" i="3"/>
  <c r="AH122" i="3"/>
  <c r="AE125" i="3"/>
  <c r="AI123" i="3"/>
  <c r="AF123" i="3"/>
  <c r="AB123" i="3"/>
  <c r="Y125" i="3"/>
  <c r="AG122" i="3"/>
  <c r="AE122" i="3"/>
  <c r="AC123" i="3"/>
  <c r="Y124" i="3"/>
  <c r="AI122" i="3"/>
  <c r="AB125" i="3"/>
  <c r="AH123" i="3"/>
  <c r="AF122" i="3"/>
  <c r="AA123" i="3"/>
  <c r="AE123" i="3"/>
  <c r="AD124" i="3"/>
  <c r="AF125" i="3"/>
  <c r="AF124" i="3"/>
  <c r="AH124" i="3"/>
  <c r="AB124" i="3"/>
  <c r="AG124" i="3"/>
  <c r="Z123" i="3"/>
  <c r="AC124" i="3"/>
  <c r="AE124" i="3"/>
  <c r="AG123" i="3"/>
  <c r="AC125" i="3"/>
  <c r="AG125" i="3"/>
  <c r="AI125" i="3"/>
  <c r="Z125" i="3"/>
  <c r="H234" i="6" s="1"/>
  <c r="AI124" i="3"/>
  <c r="Y123" i="3"/>
  <c r="H192" i="6" s="1"/>
  <c r="AD125" i="3"/>
  <c r="Z124" i="3"/>
  <c r="AD123" i="3"/>
  <c r="AA125" i="3"/>
  <c r="Y105" i="3"/>
  <c r="F216" i="6"/>
  <c r="F237" i="6"/>
  <c r="F48" i="6"/>
  <c r="F174" i="6"/>
  <c r="F153" i="6"/>
  <c r="F132" i="6"/>
  <c r="F111" i="6"/>
  <c r="F195" i="6"/>
  <c r="F69" i="6"/>
  <c r="H213" i="6" l="1"/>
  <c r="H195" i="6"/>
  <c r="H193" i="6"/>
  <c r="I193" i="6" s="1"/>
  <c r="J193" i="6" s="1"/>
  <c r="K193" i="6" s="1"/>
  <c r="I192" i="6"/>
  <c r="J192" i="6" s="1"/>
  <c r="K192" i="6" s="1"/>
  <c r="H216" i="6"/>
  <c r="H214" i="6"/>
  <c r="I214" i="6" s="1"/>
  <c r="J214" i="6" s="1"/>
  <c r="K214" i="6" s="1"/>
  <c r="I213" i="6"/>
  <c r="J213" i="6" s="1"/>
  <c r="K213" i="6" s="1"/>
  <c r="H235" i="6"/>
  <c r="I235" i="6" s="1"/>
  <c r="J235" i="6" s="1"/>
  <c r="K235" i="6" s="1"/>
  <c r="H237" i="6"/>
  <c r="I234" i="6"/>
  <c r="J234" i="6" s="1"/>
  <c r="K234" i="6" s="1"/>
  <c r="Z105" i="3"/>
  <c r="D195" i="6"/>
  <c r="G195" i="6" s="1"/>
  <c r="I195" i="6" s="1"/>
  <c r="J195" i="6" s="1"/>
  <c r="D90" i="6"/>
  <c r="G90" i="6" s="1"/>
  <c r="D153" i="6"/>
  <c r="G153" i="6" s="1"/>
  <c r="D132" i="6"/>
  <c r="G132" i="6" s="1"/>
  <c r="D237" i="6"/>
  <c r="G237" i="6" s="1"/>
  <c r="D111" i="6"/>
  <c r="G111" i="6" s="1"/>
  <c r="D69" i="6"/>
  <c r="G69" i="6" s="1"/>
  <c r="D48" i="6"/>
  <c r="G48" i="6" s="1"/>
  <c r="D174" i="6"/>
  <c r="G174" i="6" s="1"/>
  <c r="D216" i="6"/>
  <c r="G216" i="6" s="1"/>
  <c r="G27" i="6"/>
  <c r="I85" i="17"/>
  <c r="AH106" i="3"/>
  <c r="AC122" i="3"/>
  <c r="AB107" i="3"/>
  <c r="AG108" i="3"/>
  <c r="AA110" i="3"/>
  <c r="AF111" i="3"/>
  <c r="Z113" i="3"/>
  <c r="AE114" i="3"/>
  <c r="Y116" i="3"/>
  <c r="AD117" i="3"/>
  <c r="AI118" i="3"/>
  <c r="AC120" i="3"/>
  <c r="AH121" i="3"/>
  <c r="AA122" i="3"/>
  <c r="Z107" i="3"/>
  <c r="AE108" i="3"/>
  <c r="Y110" i="3"/>
  <c r="AD111" i="3"/>
  <c r="AI112" i="3"/>
  <c r="AC114" i="3"/>
  <c r="AH115" i="3"/>
  <c r="AB117" i="3"/>
  <c r="Z122" i="3"/>
  <c r="Y107" i="3"/>
  <c r="AD108" i="3"/>
  <c r="AC111" i="3"/>
  <c r="AH112" i="3"/>
  <c r="AB114" i="3"/>
  <c r="AG115" i="3"/>
  <c r="AA117" i="3"/>
  <c r="AF118" i="3"/>
  <c r="Z120" i="3"/>
  <c r="AE121" i="3"/>
  <c r="AI107" i="3"/>
  <c r="AG113" i="3"/>
  <c r="Z119" i="3"/>
  <c r="AA111" i="3"/>
  <c r="Y117" i="3"/>
  <c r="AF120" i="3"/>
  <c r="AF108" i="3"/>
  <c r="AD114" i="3"/>
  <c r="AD119" i="3"/>
  <c r="AD105" i="3"/>
  <c r="AH114" i="3"/>
  <c r="AE119" i="3"/>
  <c r="AE105" i="3"/>
  <c r="AB122" i="3"/>
  <c r="AA107" i="3"/>
  <c r="AA106" i="3"/>
  <c r="AF107" i="3"/>
  <c r="AE110" i="3"/>
  <c r="Y112" i="3"/>
  <c r="AD113" i="3"/>
  <c r="AI114" i="3"/>
  <c r="AC116" i="3"/>
  <c r="AH117" i="3"/>
  <c r="AB119" i="3"/>
  <c r="AG120" i="3"/>
  <c r="AB105" i="3"/>
  <c r="Y106" i="3"/>
  <c r="AD107" i="3"/>
  <c r="AI108" i="3"/>
  <c r="AC110" i="3"/>
  <c r="AH111" i="3"/>
  <c r="AB113" i="3"/>
  <c r="AG114" i="3"/>
  <c r="AA116" i="3"/>
  <c r="AF117" i="3"/>
  <c r="AD122" i="3"/>
  <c r="AC107" i="3"/>
  <c r="AH108" i="3"/>
  <c r="AB110" i="3"/>
  <c r="AG111" i="3"/>
  <c r="AA113" i="3"/>
  <c r="AF114" i="3"/>
  <c r="Z116" i="3"/>
  <c r="AE117" i="3"/>
  <c r="Y119" i="3"/>
  <c r="AD120" i="3"/>
  <c r="AI121" i="3"/>
  <c r="Y122" i="3"/>
  <c r="AC108" i="3"/>
  <c r="AB111" i="3"/>
  <c r="AA114" i="3"/>
  <c r="Z117" i="3"/>
  <c r="Y120" i="3"/>
  <c r="AA108" i="3"/>
  <c r="Z111" i="3"/>
  <c r="Y114" i="3"/>
  <c r="AI116" i="3"/>
  <c r="AF106" i="3"/>
  <c r="AD112" i="3"/>
  <c r="AC115" i="3"/>
  <c r="AB118" i="3"/>
  <c r="AA121" i="3"/>
  <c r="AH110" i="3"/>
  <c r="Z118" i="3"/>
  <c r="AH105" i="3"/>
  <c r="Z114" i="3"/>
  <c r="AI119" i="3"/>
  <c r="Z110" i="3"/>
  <c r="AC117" i="3"/>
  <c r="AF121" i="3"/>
  <c r="AB116" i="3"/>
  <c r="Y121" i="3"/>
  <c r="Y111" i="3"/>
  <c r="AG105" i="3"/>
  <c r="AE120" i="3"/>
  <c r="AD118" i="3"/>
  <c r="Y113" i="3"/>
  <c r="AI111" i="3"/>
  <c r="AE107" i="3"/>
  <c r="AI110" i="3"/>
  <c r="AG116" i="3"/>
  <c r="AF105" i="3"/>
  <c r="AG110" i="3"/>
  <c r="AE116" i="3"/>
  <c r="Y115" i="3"/>
  <c r="AH120" i="3"/>
  <c r="AF116" i="3"/>
  <c r="AF112" i="3"/>
  <c r="AI105" i="3"/>
  <c r="AI120" i="3"/>
  <c r="AB120" i="3"/>
  <c r="Z106" i="3"/>
  <c r="AE106" i="3"/>
  <c r="AC112" i="3"/>
  <c r="AB115" i="3"/>
  <c r="AA118" i="3"/>
  <c r="Z121" i="3"/>
  <c r="AC106" i="3"/>
  <c r="AA112" i="3"/>
  <c r="Z115" i="3"/>
  <c r="Y118" i="3"/>
  <c r="AG107" i="3"/>
  <c r="AF110" i="3"/>
  <c r="AE113" i="3"/>
  <c r="AD116" i="3"/>
  <c r="AC119" i="3"/>
  <c r="AC105" i="3"/>
  <c r="AB112" i="3"/>
  <c r="AH119" i="3"/>
  <c r="AB108" i="3"/>
  <c r="AE115" i="3"/>
  <c r="AC121" i="3"/>
  <c r="AE111" i="3"/>
  <c r="AG118" i="3"/>
  <c r="AD110" i="3"/>
  <c r="AG117" i="3"/>
  <c r="AG121" i="3"/>
  <c r="AD106" i="3"/>
  <c r="AI106" i="3"/>
  <c r="AG112" i="3"/>
  <c r="AF115" i="3"/>
  <c r="AE118" i="3"/>
  <c r="AD121" i="3"/>
  <c r="AG106" i="3"/>
  <c r="AE112" i="3"/>
  <c r="AD115" i="3"/>
  <c r="AC118" i="3"/>
  <c r="Z108" i="3"/>
  <c r="AI113" i="3"/>
  <c r="AH116" i="3"/>
  <c r="AG119" i="3"/>
  <c r="AA115" i="3"/>
  <c r="AA105" i="3"/>
  <c r="AA120" i="3"/>
  <c r="AH118" i="3"/>
  <c r="Y108" i="3"/>
  <c r="AH113" i="3"/>
  <c r="AF119" i="3"/>
  <c r="AH107" i="3"/>
  <c r="AF113" i="3"/>
  <c r="AB106" i="3"/>
  <c r="Z112" i="3"/>
  <c r="AI117" i="3"/>
  <c r="AB121" i="3"/>
  <c r="AA119" i="3"/>
  <c r="AI115" i="3"/>
  <c r="AC113" i="3"/>
  <c r="I216" i="6" l="1"/>
  <c r="J216" i="6" s="1"/>
  <c r="H150" i="6"/>
  <c r="I237" i="6"/>
  <c r="J237" i="6" s="1"/>
  <c r="K237" i="6" s="1"/>
  <c r="H108" i="6"/>
  <c r="O79" i="17"/>
  <c r="O72" i="17"/>
  <c r="O71" i="17"/>
  <c r="O77" i="17"/>
  <c r="O78" i="17"/>
  <c r="O81" i="17"/>
  <c r="O75" i="17"/>
  <c r="O80" i="17"/>
  <c r="O76" i="17"/>
  <c r="O74" i="17"/>
  <c r="O73" i="17"/>
  <c r="H45" i="6"/>
  <c r="H129" i="6"/>
  <c r="H171" i="6"/>
  <c r="H87" i="6"/>
  <c r="W110" i="3"/>
  <c r="W111" i="3" s="1"/>
  <c r="H66" i="6" s="1"/>
  <c r="H24" i="6"/>
  <c r="I24" i="6" s="1"/>
  <c r="J24" i="6" s="1"/>
  <c r="K216" i="6"/>
  <c r="J225" i="6"/>
  <c r="J226" i="6" s="1"/>
  <c r="K195" i="6"/>
  <c r="J204" i="6"/>
  <c r="J205" i="6" s="1"/>
  <c r="J246" i="6" l="1"/>
  <c r="J247" i="6" s="1"/>
  <c r="J248" i="6" s="1"/>
  <c r="J249" i="6" s="1"/>
  <c r="J250" i="6" s="1"/>
  <c r="U81" i="17" s="1"/>
  <c r="I114" i="6"/>
  <c r="J114" i="6" s="1"/>
  <c r="K114" i="6" s="1"/>
  <c r="H109" i="6"/>
  <c r="I109" i="6" s="1"/>
  <c r="J109" i="6" s="1"/>
  <c r="K109" i="6" s="1"/>
  <c r="H111" i="6"/>
  <c r="I111" i="6" s="1"/>
  <c r="J111" i="6" s="1"/>
  <c r="K111" i="6" s="1"/>
  <c r="I87" i="6"/>
  <c r="J87" i="6" s="1"/>
  <c r="K87" i="6" s="1"/>
  <c r="H90" i="6"/>
  <c r="I90" i="6" s="1"/>
  <c r="J90" i="6" s="1"/>
  <c r="H88" i="6"/>
  <c r="K177" i="6"/>
  <c r="H172" i="6"/>
  <c r="I172" i="6" s="1"/>
  <c r="J172" i="6" s="1"/>
  <c r="K172" i="6" s="1"/>
  <c r="H174" i="6"/>
  <c r="I174" i="6" s="1"/>
  <c r="J174" i="6" s="1"/>
  <c r="K174" i="6" s="1"/>
  <c r="I129" i="6"/>
  <c r="J129" i="6" s="1"/>
  <c r="K129" i="6" s="1"/>
  <c r="H132" i="6"/>
  <c r="I132" i="6" s="1"/>
  <c r="J132" i="6" s="1"/>
  <c r="H130" i="6"/>
  <c r="H46" i="6"/>
  <c r="I46" i="6" s="1"/>
  <c r="J46" i="6" s="1"/>
  <c r="K46" i="6" s="1"/>
  <c r="H48" i="6"/>
  <c r="I48" i="6" s="1"/>
  <c r="J48" i="6" s="1"/>
  <c r="I66" i="6"/>
  <c r="J66" i="6" s="1"/>
  <c r="K66" i="6" s="1"/>
  <c r="H69" i="6"/>
  <c r="I69" i="6" s="1"/>
  <c r="J69" i="6" s="1"/>
  <c r="H67" i="6"/>
  <c r="I67" i="6" s="1"/>
  <c r="J67" i="6" s="1"/>
  <c r="K67" i="6" s="1"/>
  <c r="H153" i="6"/>
  <c r="I153" i="6" s="1"/>
  <c r="J153" i="6" s="1"/>
  <c r="H151" i="6"/>
  <c r="H25" i="6"/>
  <c r="I25" i="6" s="1"/>
  <c r="J25" i="6" s="1"/>
  <c r="H27" i="6"/>
  <c r="I27" i="6" s="1"/>
  <c r="J27" i="6" s="1"/>
  <c r="K26" i="6"/>
  <c r="I72" i="6"/>
  <c r="J72" i="6" s="1"/>
  <c r="K72" i="6" s="1"/>
  <c r="I45" i="6"/>
  <c r="J45" i="6" s="1"/>
  <c r="K45" i="6" s="1"/>
  <c r="I171" i="6"/>
  <c r="J171" i="6" s="1"/>
  <c r="K171" i="6" s="1"/>
  <c r="I92" i="6"/>
  <c r="J92" i="6" s="1"/>
  <c r="K92" i="6" s="1"/>
  <c r="I93" i="6"/>
  <c r="J93" i="6" s="1"/>
  <c r="K93" i="6" s="1"/>
  <c r="J206" i="6"/>
  <c r="J207" i="6" s="1"/>
  <c r="J208" i="6" s="1"/>
  <c r="U79" i="17" s="1"/>
  <c r="J227" i="6"/>
  <c r="J228" i="6" s="1"/>
  <c r="J229" i="6" s="1"/>
  <c r="U80" i="17" s="1"/>
  <c r="I108" i="6"/>
  <c r="J108" i="6" s="1"/>
  <c r="K108" i="6" s="1"/>
  <c r="I150" i="6"/>
  <c r="J150" i="6" s="1"/>
  <c r="K176" i="6" l="1"/>
  <c r="I113" i="6"/>
  <c r="J113" i="6" s="1"/>
  <c r="K113" i="6" s="1"/>
  <c r="K69" i="6"/>
  <c r="I71" i="6"/>
  <c r="J71" i="6" s="1"/>
  <c r="K71" i="6" s="1"/>
  <c r="K90" i="6"/>
  <c r="I130" i="6"/>
  <c r="J130" i="6" s="1"/>
  <c r="K130" i="6" s="1"/>
  <c r="I88" i="6"/>
  <c r="J88" i="6" s="1"/>
  <c r="K88" i="6" s="1"/>
  <c r="K150" i="6"/>
  <c r="K132" i="6"/>
  <c r="I156" i="6"/>
  <c r="J156" i="6" s="1"/>
  <c r="K156" i="6" s="1"/>
  <c r="K153" i="6"/>
  <c r="K25" i="6"/>
  <c r="I50" i="6"/>
  <c r="J50" i="6" s="1"/>
  <c r="K50" i="6" s="1"/>
  <c r="K24" i="6"/>
  <c r="I155" i="6"/>
  <c r="J155" i="6" s="1"/>
  <c r="K155" i="6" s="1"/>
  <c r="I151" i="6"/>
  <c r="J151" i="6" s="1"/>
  <c r="K151" i="6" s="1"/>
  <c r="J120" i="6" l="1"/>
  <c r="J121" i="6" s="1"/>
  <c r="J122" i="6" s="1"/>
  <c r="J123" i="6" s="1"/>
  <c r="J124" i="6" s="1"/>
  <c r="U75" i="17" s="1"/>
  <c r="J183" i="6"/>
  <c r="J184" i="6" s="1"/>
  <c r="J185" i="6" s="1"/>
  <c r="J186" i="6" s="1"/>
  <c r="J187" i="6" s="1"/>
  <c r="U78" i="17" s="1"/>
  <c r="J78" i="6"/>
  <c r="J79" i="6" s="1"/>
  <c r="J80" i="6" s="1"/>
  <c r="J81" i="6" s="1"/>
  <c r="J82" i="6" s="1"/>
  <c r="U73" i="17" s="1"/>
  <c r="J99" i="6"/>
  <c r="J100" i="6" s="1"/>
  <c r="J101" i="6" s="1"/>
  <c r="J102" i="6" s="1"/>
  <c r="J103" i="6" s="1"/>
  <c r="U74" i="17" s="1"/>
  <c r="I135" i="6"/>
  <c r="J135" i="6" s="1"/>
  <c r="K135" i="6" s="1"/>
  <c r="I134" i="6"/>
  <c r="J134" i="6" s="1"/>
  <c r="K134" i="6" s="1"/>
  <c r="J162" i="6"/>
  <c r="J163" i="6" s="1"/>
  <c r="J164" i="6" s="1"/>
  <c r="J165" i="6" s="1"/>
  <c r="J166" i="6" s="1"/>
  <c r="U77" i="17" s="1"/>
  <c r="K48" i="6"/>
  <c r="J57" i="6"/>
  <c r="J58" i="6" s="1"/>
  <c r="K29" i="6"/>
  <c r="K27" i="6"/>
  <c r="J59" i="6" l="1"/>
  <c r="J60" i="6" s="1"/>
  <c r="J61" i="6" s="1"/>
  <c r="U72" i="17" s="1"/>
  <c r="J141" i="6"/>
  <c r="J142" i="6" s="1"/>
  <c r="J143" i="6" s="1"/>
  <c r="J144" i="6" s="1"/>
  <c r="J145" i="6" s="1"/>
  <c r="U76" i="17" s="1"/>
  <c r="J36" i="6"/>
  <c r="J37" i="6" s="1"/>
  <c r="J38" i="6" s="1"/>
  <c r="J39" i="6" s="1"/>
  <c r="J40" i="6" s="1"/>
  <c r="U71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M20" authorId="0" shapeId="0" xr:uid="{398C9491-2276-412E-A309-B481AEF0D78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Antara nilai dg satuan spasi</t>
        </r>
      </text>
    </comment>
    <comment ref="H27" authorId="0" shapeId="0" xr:uid="{EAB36E82-CBA8-461B-A04A-A18B63C98C4A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- . di PT ilang
- jgn difill white, takut kena backgound logo kemenperin</t>
        </r>
      </text>
    </comment>
    <comment ref="A28" authorId="0" shapeId="0" xr:uid="{AA50EB5A-2C2B-4024-BE04-3E8A43F5DC5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Baris kurangi 1, krn nama perusahaan cm 1 baris</t>
        </r>
      </text>
    </comment>
    <comment ref="J60" authorId="0" shapeId="0" xr:uid="{4A141B19-27FF-43B8-9C55-26AF97E3F751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() diilangin, jgn lupa spasi antara nilai n satuan</t>
        </r>
      </text>
    </comment>
    <comment ref="Z78" authorId="0" shapeId="0" xr:uid="{4B8B532B-3584-4278-8AE7-D27C145BFFC0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Kurang kayak e</t>
        </r>
      </text>
    </comment>
    <comment ref="P84" authorId="0" shapeId="0" xr:uid="{E6E4BB19-4FFF-4BC4-8D44-E5DC392E2E7F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Pake persamaan yg lengkap, krn dibawah nilai C dideifinisikan, walau nilainya 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Nur Islami Dewi Hasyim</author>
  </authors>
  <commentList>
    <comment ref="C12" authorId="0" shapeId="0" xr:uid="{76DFFB0B-92F9-4F7B-A887-ADFB15BDB00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rotronic
</t>
        </r>
      </text>
    </comment>
    <comment ref="A36" authorId="1" shapeId="0" xr:uid="{E9DD77AC-36D2-4619-8BB1-2D75112DF1A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TC305 gak pake Precision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  <author>Trismiyati</author>
  </authors>
  <commentList>
    <comment ref="J12" authorId="0" shapeId="0" xr:uid="{39452A41-78FF-49C1-BEE6-A6A71B654DBE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Digit gak komplit</t>
        </r>
      </text>
    </comment>
    <comment ref="C14" authorId="0" shapeId="0" xr:uid="{9F4909CB-C030-4C1B-AEF8-E91524A71BD3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Rumus salah</t>
        </r>
      </text>
    </comment>
    <comment ref="D14" authorId="0" shapeId="0" xr:uid="{494551D5-3545-404D-B8D1-8B1925452B2E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Rumus kurang</t>
        </r>
      </text>
    </comment>
    <comment ref="J14" authorId="0" shapeId="0" xr:uid="{A30F99A9-E4C3-4D9E-8653-71E7DE79AA13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Rumus salah</t>
        </r>
      </text>
    </comment>
    <comment ref="K14" authorId="0" shapeId="0" xr:uid="{82787559-2EA2-4123-92D7-FB877416EA36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Rumus salah</t>
        </r>
      </text>
    </comment>
    <comment ref="P18" authorId="0" shapeId="0" xr:uid="{6CD2B36A-E701-4CC7-9FBF-9B866D89D2A5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o-nya kurang</t>
        </r>
      </text>
    </comment>
    <comment ref="N25" authorId="0" shapeId="0" xr:uid="{43A8F928-5868-40E0-BBF3-58016C70725D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Salah tulis kyknya, gak mgkn beda 1Ohm utk pengulangan, cek lg</t>
        </r>
      </text>
    </comment>
    <comment ref="Y97" authorId="1" shapeId="0" xr:uid="{5DDAEE3B-EF2D-4C37-AD97-50A96374DEB5}">
      <text>
        <r>
          <rPr>
            <b/>
            <sz val="9"/>
            <color indexed="81"/>
            <rFont val="Tahoma"/>
            <family val="2"/>
          </rPr>
          <t>Trismiyati:</t>
        </r>
        <r>
          <rPr>
            <sz val="9"/>
            <color indexed="81"/>
            <rFont val="Tahoma"/>
            <family val="2"/>
          </rPr>
          <t xml:space="preserve">
SEE
</t>
        </r>
      </text>
    </comment>
    <comment ref="Y98" authorId="0" shapeId="0" xr:uid="{0B4D919E-BCA3-46BE-AC8C-90B445A047C1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DoF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  <author>Trismiyati</author>
  </authors>
  <commentList>
    <comment ref="B23" authorId="0" shapeId="0" xr:uid="{82D9541D-04F8-4F49-BA65-A819FDEE9E3B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Satuan sesuaiin semua</t>
        </r>
      </text>
    </comment>
    <comment ref="D24" authorId="0" shapeId="0" xr:uid="{EF323364-5B5F-4B54-BDB6-AFC0014BECB0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Semua titik ukur blm dibagi dg sqrt(n)</t>
        </r>
      </text>
    </comment>
    <comment ref="A25" authorId="0" shapeId="0" xr:uid="{9A8FC834-18EF-453C-8C82-CBAD88C17B59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Krn gantian, gak bs ditambah utk indikator Std</t>
        </r>
      </text>
    </comment>
    <comment ref="A26" authorId="0" shapeId="0" xr:uid="{1A9FCC1B-0F06-47E0-A640-E9B43490B8C7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Nambah</t>
        </r>
      </text>
    </comment>
    <comment ref="D26" authorId="0" shapeId="0" xr:uid="{2D29A8A9-F3E3-4060-B3BB-605085670A3F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Ambil nilai tertinggi (2-4) mK</t>
        </r>
      </text>
    </comment>
    <comment ref="D27" authorId="0" shapeId="0" xr:uid="{EFB52FAE-F877-462B-9A32-D4BF10B453E0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Pengaruh salah data kyknya</t>
        </r>
      </text>
    </comment>
    <comment ref="E27" authorId="0" shapeId="0" xr:uid="{CA5F0135-59DD-4796-B72F-290466019574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Di PK.S-05 nilainya 1</t>
        </r>
      </text>
    </comment>
    <comment ref="F27" authorId="0" shapeId="0" xr:uid="{94126A55-F2C0-4E56-A6E9-28AC58AEF371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DoF</t>
        </r>
      </text>
    </comment>
    <comment ref="I27" authorId="0" shapeId="0" xr:uid="{30CD53FF-CE24-45BE-AC4A-08A6618A77EF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Salah rumus utk semua SP</t>
        </r>
      </text>
    </comment>
    <comment ref="J27" authorId="0" shapeId="0" xr:uid="{9C1305B8-F6C1-4F18-84EC-A9906616A065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Salah rumus utk semua SP</t>
        </r>
      </text>
    </comment>
    <comment ref="A28" authorId="0" shapeId="0" xr:uid="{96D25473-9111-4AC0-9EE8-7BEFFEC5864C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Tambah 1 komponen</t>
        </r>
      </text>
    </comment>
    <comment ref="A29" authorId="0" shapeId="0" xr:uid="{DC368520-E6BD-4B50-B653-9A2BF0FA18B3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Krn gantian gak bs ditambah utk indikator UUT</t>
        </r>
      </text>
    </comment>
    <comment ref="A33" authorId="0" shapeId="0" xr:uid="{2B41A216-00D0-42A7-B047-D9E3E0CCAD42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Nambah</t>
        </r>
      </text>
    </comment>
    <comment ref="D33" authorId="0" shapeId="0" xr:uid="{0B67DB8B-E41D-4710-BA8B-19722DF6EFB6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Ngikut panduan</t>
        </r>
      </text>
    </comment>
    <comment ref="E108" authorId="0" shapeId="0" xr:uid="{788932A5-B039-4F2B-BB37-4B779B01810C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Ganti 1</t>
        </r>
      </text>
    </comment>
    <comment ref="E129" authorId="0" shapeId="0" xr:uid="{EADE4336-E34C-4501-AC73-D136B2997158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Sd TU 100</t>
        </r>
      </text>
    </comment>
    <comment ref="K145" authorId="1" shapeId="0" xr:uid="{1840B9C8-2727-4A2A-A3EA-EAD45C12F447}">
      <text>
        <r>
          <rPr>
            <b/>
            <sz val="9"/>
            <color indexed="81"/>
            <rFont val="Tahoma"/>
            <family val="2"/>
          </rPr>
          <t>Trismiyati:</t>
        </r>
        <r>
          <rPr>
            <sz val="9"/>
            <color indexed="81"/>
            <rFont val="Tahoma"/>
            <family val="2"/>
          </rPr>
          <t xml:space="preserve">
cmc: 0,22 u 30 C
cmc 0,41 jika t&gt;30</t>
        </r>
      </text>
    </comment>
    <comment ref="D150" authorId="0" shapeId="0" xr:uid="{77FE837E-A75F-4C7E-9353-B81648D4C5D1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Link salah</t>
        </r>
      </text>
    </comment>
    <comment ref="E150" authorId="0" shapeId="0" xr:uid="{BFC651E0-D562-4D81-98E7-E805DE18E333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Sd TU 100</t>
        </r>
      </text>
    </comment>
    <comment ref="D171" authorId="0" shapeId="0" xr:uid="{7605D45F-BA7B-4556-808C-F075AD59C5C2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- Link salah
- Data cek lagi, terlalu besar nilai stdev-nya utk resolusi indikator 0,005</t>
        </r>
      </text>
    </comment>
    <comment ref="D192" authorId="0" shapeId="0" xr:uid="{6D235D19-08BE-433C-9BAB-55BEACE5AEB7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Link salah</t>
        </r>
      </text>
    </comment>
    <comment ref="E192" authorId="0" shapeId="0" xr:uid="{7BF8D7C5-7AEB-4204-810C-A75920048CA7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Sd TU 100</t>
        </r>
      </text>
    </comment>
    <comment ref="H192" authorId="0" shapeId="0" xr:uid="{049F4154-34B1-404E-878A-18F754810EA0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Blm disesuaikan SP</t>
        </r>
      </text>
    </comment>
    <comment ref="K208" authorId="0" shapeId="0" xr:uid="{BE936F00-812E-43BC-8508-DF3732A07D48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&gt;200</t>
        </r>
      </text>
    </comment>
    <comment ref="D213" authorId="0" shapeId="0" xr:uid="{7ED460FB-5FC8-4E08-AF0C-D77D2B651197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Link salah</t>
        </r>
      </text>
    </comment>
    <comment ref="E213" authorId="0" shapeId="0" xr:uid="{11F0B3CF-730F-46C0-A57F-EE689C8CE82B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Sd TU 100</t>
        </r>
      </text>
    </comment>
    <comment ref="H213" authorId="0" shapeId="0" xr:uid="{CE15609F-6754-4703-A4E6-36D6D055CEDD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Blm disesuaikan SP</t>
        </r>
      </text>
    </comment>
    <comment ref="K229" authorId="0" shapeId="0" xr:uid="{30362282-1BD0-485B-ABFA-A0E2A040D720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Blm diganti</t>
        </r>
      </text>
    </comment>
    <comment ref="D234" authorId="0" shapeId="0" xr:uid="{40B7E93A-0E01-46F1-B262-3FC3A83817FA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Link salah</t>
        </r>
      </text>
    </comment>
    <comment ref="E234" authorId="0" shapeId="0" xr:uid="{7795FD85-8F83-4B8E-99DA-BE5EAE9A44CF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Sd TU 100</t>
        </r>
      </text>
    </comment>
    <comment ref="H234" authorId="0" shapeId="0" xr:uid="{470F536B-B5C1-4A78-BCCB-B47CF714C347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Blm disesuaikan dg SP</t>
        </r>
      </text>
    </comment>
    <comment ref="K250" authorId="0" shapeId="0" xr:uid="{15250B50-F62E-4537-BD24-1D6BB47F52CB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Blm diganti</t>
        </r>
      </text>
    </comment>
  </commentList>
</comments>
</file>

<file path=xl/sharedStrings.xml><?xml version="1.0" encoding="utf-8"?>
<sst xmlns="http://schemas.openxmlformats.org/spreadsheetml/2006/main" count="1043" uniqueCount="283">
  <si>
    <t>No. Order</t>
  </si>
  <si>
    <t>Nama Alat</t>
  </si>
  <si>
    <t>PT100</t>
  </si>
  <si>
    <t>No. Seri</t>
  </si>
  <si>
    <t>Standar Acuan</t>
  </si>
  <si>
    <t>Tanggal Terima</t>
  </si>
  <si>
    <t>Tanggal Kalibrasi</t>
  </si>
  <si>
    <t>Temperatur</t>
  </si>
  <si>
    <t>No.</t>
  </si>
  <si>
    <t>Catatan</t>
  </si>
  <si>
    <t>Nur ID</t>
  </si>
  <si>
    <t>KALIBRASI PT100</t>
  </si>
  <si>
    <t>LABORATORIUM KALIBRASI DAN PENGUJIAN</t>
  </si>
  <si>
    <t>BALAI BESAR LOGAM DAN MESIN</t>
  </si>
  <si>
    <t>BANDUNG</t>
  </si>
  <si>
    <t>Merk</t>
  </si>
  <si>
    <t>:</t>
  </si>
  <si>
    <t>Tipe</t>
  </si>
  <si>
    <t>Kapasitas/Graduasi :</t>
  </si>
  <si>
    <t>Standar Acuan    :</t>
  </si>
  <si>
    <t>Temperatur Ruangan (T)</t>
  </si>
  <si>
    <t xml:space="preserve">Kelembaban (RH)  </t>
  </si>
  <si>
    <r>
      <rPr>
        <sz val="11"/>
        <color rgb="FF000000"/>
        <rFont val="Times New Roman"/>
        <family val="1"/>
      </rPr>
      <t xml:space="preserve">T </t>
    </r>
    <r>
      <rPr>
        <vertAlign val="subscript"/>
        <sz val="11"/>
        <color rgb="FF000000"/>
        <rFont val="Times New Roman"/>
        <family val="1"/>
      </rPr>
      <t>awal</t>
    </r>
  </si>
  <si>
    <t xml:space="preserve">°C </t>
  </si>
  <si>
    <r>
      <rPr>
        <sz val="11"/>
        <color rgb="FF000000"/>
        <rFont val="Times New Roman"/>
        <family val="1"/>
      </rPr>
      <t xml:space="preserve">RH </t>
    </r>
    <r>
      <rPr>
        <vertAlign val="subscript"/>
        <sz val="11"/>
        <color rgb="FF000000"/>
        <rFont val="Times New Roman"/>
        <family val="1"/>
      </rPr>
      <t>awal</t>
    </r>
  </si>
  <si>
    <r>
      <rPr>
        <sz val="11"/>
        <color rgb="FF000000"/>
        <rFont val="Times New Roman"/>
        <family val="1"/>
      </rPr>
      <t>T</t>
    </r>
    <r>
      <rPr>
        <vertAlign val="subscript"/>
        <sz val="11"/>
        <color rgb="FF000000"/>
        <rFont val="Times New Roman"/>
        <family val="1"/>
      </rPr>
      <t>akhir</t>
    </r>
  </si>
  <si>
    <r>
      <rPr>
        <sz val="11"/>
        <color rgb="FF000000"/>
        <rFont val="Times New Roman"/>
        <family val="1"/>
      </rPr>
      <t xml:space="preserve">RH </t>
    </r>
    <r>
      <rPr>
        <vertAlign val="subscript"/>
        <sz val="11"/>
        <color rgb="FF000000"/>
        <rFont val="Times New Roman"/>
        <family val="1"/>
      </rPr>
      <t>akhir</t>
    </r>
  </si>
  <si>
    <t>(Oakton)</t>
  </si>
  <si>
    <r>
      <rPr>
        <sz val="11"/>
        <color rgb="FF000000"/>
        <rFont val="Times New Roman"/>
        <family val="1"/>
      </rPr>
      <t>Pembacaan  Standar (</t>
    </r>
    <r>
      <rPr>
        <sz val="11"/>
        <color rgb="FF000000"/>
        <rFont val="Symbol"/>
        <family val="1"/>
        <charset val="2"/>
      </rPr>
      <t>W)</t>
    </r>
  </si>
  <si>
    <t>Pembacaan Alat (W)</t>
  </si>
  <si>
    <t>S1</t>
  </si>
  <si>
    <t>S2</t>
  </si>
  <si>
    <t>S3</t>
  </si>
  <si>
    <t>S4</t>
  </si>
  <si>
    <t>S5</t>
  </si>
  <si>
    <t>X1</t>
  </si>
  <si>
    <t>X2</t>
  </si>
  <si>
    <t>X3</t>
  </si>
  <si>
    <t>X4</t>
  </si>
  <si>
    <t>X5</t>
  </si>
  <si>
    <t>Paraf</t>
  </si>
  <si>
    <t>Tgl.terima</t>
  </si>
  <si>
    <t>Tgl.kalibrasi</t>
  </si>
  <si>
    <t>Kalibrator yang digunakan :</t>
  </si>
  <si>
    <t>Type :</t>
  </si>
  <si>
    <t>Kapasitas/Graduasi</t>
  </si>
  <si>
    <r>
      <rPr>
        <sz val="11"/>
        <color rgb="FF000000"/>
        <rFont val="Times New Roman"/>
        <family val="1"/>
      </rPr>
      <t xml:space="preserve">T </t>
    </r>
    <r>
      <rPr>
        <vertAlign val="subscript"/>
        <sz val="11"/>
        <color rgb="FF000000"/>
        <rFont val="Times New Roman"/>
        <family val="1"/>
      </rPr>
      <t>awal</t>
    </r>
    <r>
      <rPr>
        <sz val="11"/>
        <color rgb="FF000000"/>
        <rFont val="Times New Roman"/>
        <family val="1"/>
      </rPr>
      <t xml:space="preserve">     :</t>
    </r>
  </si>
  <si>
    <r>
      <rPr>
        <sz val="11"/>
        <color rgb="FF000000"/>
        <rFont val="Times New Roman"/>
        <family val="1"/>
      </rPr>
      <t xml:space="preserve">RH </t>
    </r>
    <r>
      <rPr>
        <vertAlign val="subscript"/>
        <sz val="11"/>
        <color rgb="FF000000"/>
        <rFont val="Times New Roman"/>
        <family val="1"/>
      </rPr>
      <t>awal</t>
    </r>
  </si>
  <si>
    <r>
      <rPr>
        <sz val="11"/>
        <color rgb="FF000000"/>
        <rFont val="Times New Roman"/>
        <family val="1"/>
      </rPr>
      <t>T</t>
    </r>
    <r>
      <rPr>
        <vertAlign val="subscript"/>
        <sz val="11"/>
        <color rgb="FF000000"/>
        <rFont val="Times New Roman"/>
        <family val="1"/>
      </rPr>
      <t>akhir</t>
    </r>
    <r>
      <rPr>
        <sz val="11"/>
        <color rgb="FF000000"/>
        <rFont val="Times New Roman"/>
        <family val="1"/>
      </rPr>
      <t xml:space="preserve">     :</t>
    </r>
  </si>
  <si>
    <r>
      <rPr>
        <sz val="11"/>
        <color rgb="FF000000"/>
        <rFont val="Times New Roman"/>
        <family val="1"/>
      </rPr>
      <t xml:space="preserve">RH </t>
    </r>
    <r>
      <rPr>
        <vertAlign val="subscript"/>
        <sz val="11"/>
        <color rgb="FF000000"/>
        <rFont val="Times New Roman"/>
        <family val="1"/>
      </rPr>
      <t>akhir</t>
    </r>
  </si>
  <si>
    <r>
      <rPr>
        <sz val="11"/>
        <color rgb="FF000000"/>
        <rFont val="Times New Roman"/>
        <family val="1"/>
      </rPr>
      <t>T</t>
    </r>
    <r>
      <rPr>
        <vertAlign val="subscript"/>
        <sz val="11"/>
        <color rgb="FF000000"/>
        <rFont val="Times New Roman"/>
        <family val="1"/>
      </rPr>
      <t xml:space="preserve">rata-rata terkoreksi         </t>
    </r>
    <r>
      <rPr>
        <sz val="11"/>
        <color rgb="FF000000"/>
        <rFont val="Times New Roman"/>
        <family val="1"/>
      </rPr>
      <t>(</t>
    </r>
  </si>
  <si>
    <r>
      <rPr>
        <sz val="11"/>
        <color rgb="FF000000"/>
        <rFont val="Times New Roman"/>
        <family val="1"/>
      </rPr>
      <t xml:space="preserve">RH </t>
    </r>
    <r>
      <rPr>
        <vertAlign val="subscript"/>
        <sz val="11"/>
        <color rgb="FF000000"/>
        <rFont val="Times New Roman"/>
        <family val="1"/>
      </rPr>
      <t xml:space="preserve">rata-rata terkoreksi         </t>
    </r>
    <r>
      <rPr>
        <sz val="11"/>
        <color rgb="FF000000"/>
        <rFont val="Times New Roman"/>
        <family val="1"/>
      </rPr>
      <t xml:space="preserve"> (</t>
    </r>
  </si>
  <si>
    <r>
      <rPr>
        <sz val="11"/>
        <color rgb="FF000000"/>
        <rFont val="Times New Roman"/>
        <family val="1"/>
      </rPr>
      <t>Pembacaan  Standar (</t>
    </r>
    <r>
      <rPr>
        <sz val="11"/>
        <color rgb="FF000000"/>
        <rFont val="Symbol"/>
        <family val="1"/>
        <charset val="2"/>
      </rPr>
      <t>W)</t>
    </r>
  </si>
  <si>
    <t xml:space="preserve">Koreksi </t>
  </si>
  <si>
    <t>P.Standar</t>
  </si>
  <si>
    <r>
      <rPr>
        <sz val="11"/>
        <color rgb="FF000000"/>
        <rFont val="Times New Roman"/>
        <family val="1"/>
      </rPr>
      <t>Pembacaan Alat (</t>
    </r>
    <r>
      <rPr>
        <sz val="11"/>
        <color rgb="FF000000"/>
        <rFont val="Calibri"/>
        <family val="2"/>
      </rPr>
      <t>Ω</t>
    </r>
    <r>
      <rPr>
        <sz val="11"/>
        <color rgb="FF000000"/>
        <rFont val="Times New Roman"/>
        <family val="1"/>
      </rPr>
      <t>)</t>
    </r>
  </si>
  <si>
    <t>X</t>
  </si>
  <si>
    <t>Koreksi Beamex ohm</t>
  </si>
  <si>
    <t>R alat terkoreksi</t>
  </si>
  <si>
    <t>Srata-rata</t>
  </si>
  <si>
    <t>°C</t>
  </si>
  <si>
    <t>Terkoreksi °C</t>
  </si>
  <si>
    <t>rata-rata ohm</t>
  </si>
  <si>
    <t>Ω</t>
  </si>
  <si>
    <t>Dikalibrasi</t>
  </si>
  <si>
    <t>Diperiksa</t>
  </si>
  <si>
    <t>Disetujui</t>
  </si>
  <si>
    <t xml:space="preserve">FPA 03-02-LK Rev.2
</t>
  </si>
  <si>
    <t>(Kop dan alamat Laboratorium Kalibrasi  pemohon akreditasi)</t>
  </si>
  <si>
    <t>Form A</t>
  </si>
  <si>
    <r>
      <rPr>
        <b/>
        <sz val="10"/>
        <color rgb="FF000000"/>
        <rFont val="Calibri"/>
        <family val="2"/>
      </rPr>
      <t>Uncertainty Budget sebagai Pendukung Kemampuan Kalibrasi dan Pengukuran (CMC)</t>
    </r>
  </si>
  <si>
    <t>Nama laboratorium</t>
  </si>
  <si>
    <t>Balai Besar Logam dan Mesin</t>
  </si>
  <si>
    <t>Alamat</t>
  </si>
  <si>
    <t>Jl Sangkuriang No.12 Bandung</t>
  </si>
  <si>
    <t>UNCERTAINTY BUDGET SEBAGAI PENDUKUNG KLAIM CMC</t>
  </si>
  <si>
    <t>Besaran yang diukur</t>
  </si>
  <si>
    <t>Jenis alat yang dikalibrasi</t>
  </si>
  <si>
    <t>Standar yang digunakan</t>
  </si>
  <si>
    <t xml:space="preserve">Beamex TC305 dan PT100 Burns Engr </t>
  </si>
  <si>
    <t>Model matematis pengukuran</t>
  </si>
  <si>
    <t>t = ts</t>
  </si>
  <si>
    <t>K = tref. - ta</t>
  </si>
  <si>
    <t>Dimana :</t>
  </si>
  <si>
    <t>K      = Koreksi</t>
  </si>
  <si>
    <t>tref. = Penunjukan temperatur standar setelah dikoreksi</t>
  </si>
  <si>
    <t>ta     = Penunjukan temperatur alat</t>
  </si>
  <si>
    <t>Komponen</t>
  </si>
  <si>
    <t>Satuan</t>
  </si>
  <si>
    <t>Distribusi</t>
  </si>
  <si>
    <t>U</t>
  </si>
  <si>
    <t>Pembagi</t>
  </si>
  <si>
    <t>ni</t>
  </si>
  <si>
    <t>Ui</t>
  </si>
  <si>
    <t>Ci</t>
  </si>
  <si>
    <t>UiCi</t>
  </si>
  <si>
    <t>(UiCi)2</t>
  </si>
  <si>
    <t>(UiCi)4/ni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</si>
  <si>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</si>
  <si>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</si>
  <si>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</si>
  <si>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</si>
  <si>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</si>
  <si>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</si>
  <si>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</si>
  <si>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</si>
  <si>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</si>
  <si>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</si>
  <si>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</si>
  <si>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T(C)</t>
  </si>
  <si>
    <t>koreksi</t>
  </si>
  <si>
    <t>drift beamex pt100</t>
  </si>
  <si>
    <t>Ketidakpastian Repeatability, u(ta1)</t>
  </si>
  <si>
    <t>⁰C</t>
  </si>
  <si>
    <t>T.Std</t>
  </si>
  <si>
    <t>Ketidakpastian Readability/Resolusi,u(ta2)</t>
  </si>
  <si>
    <t>Rect.</t>
  </si>
  <si>
    <t>Normal</t>
  </si>
  <si>
    <t>Sums</t>
  </si>
  <si>
    <t>Ketidakpastian baku gabungan, uc, (mg)</t>
  </si>
  <si>
    <t>Derajat kebebasan efektif, neff</t>
  </si>
  <si>
    <t>Faktor cakupan, k-student’s untuk neff dan CL 95 %</t>
  </si>
  <si>
    <t>U95%</t>
  </si>
  <si>
    <t>drift</t>
  </si>
  <si>
    <t>ohm beamex</t>
  </si>
  <si>
    <t>Koreksi</t>
  </si>
  <si>
    <t>Ketidakpastian</t>
  </si>
  <si>
    <t>Termokopel</t>
  </si>
  <si>
    <t>P.Alat</t>
  </si>
  <si>
    <t>m</t>
  </si>
  <si>
    <t>g</t>
  </si>
  <si>
    <t>um</t>
  </si>
  <si>
    <t>ug</t>
  </si>
  <si>
    <t>U 95%</t>
  </si>
  <si>
    <t>Alat</t>
  </si>
  <si>
    <t>X Rata-rata</t>
  </si>
  <si>
    <t xml:space="preserve"> (°C)</t>
  </si>
  <si>
    <t>Rotronic</t>
  </si>
  <si>
    <t>Oakton</t>
  </si>
  <si>
    <t xml:space="preserve">Temperatur (°C) </t>
  </si>
  <si>
    <t>Kelembaban Relatif(%RH)</t>
  </si>
  <si>
    <t>Temperatur (°C)</t>
  </si>
  <si>
    <t>Alat rata-rata</t>
  </si>
  <si>
    <t>Koreksi Alat</t>
  </si>
  <si>
    <t>Kelembaban Relatif (%RH)</t>
  </si>
  <si>
    <t>Dipertiksa</t>
  </si>
  <si>
    <t>drift dalam ohm</t>
  </si>
  <si>
    <t>F-IK-04-KT-04</t>
  </si>
  <si>
    <t>A</t>
  </si>
  <si>
    <t>B</t>
  </si>
  <si>
    <t>-</t>
  </si>
  <si>
    <t>y</t>
  </si>
  <si>
    <t>S E R T I F I K A T    K A L I B R A S I</t>
  </si>
  <si>
    <t>C A L I B R A T I O N     C E R T I F I C A T E</t>
  </si>
  <si>
    <t>Nomor /</t>
  </si>
  <si>
    <t>Number</t>
  </si>
  <si>
    <t>IDENTITAS  ALAT</t>
  </si>
  <si>
    <t>INSTRUMENT DETAILS</t>
  </si>
  <si>
    <r>
      <t>Instrument</t>
    </r>
    <r>
      <rPr>
        <vertAlign val="superscript"/>
        <sz val="11"/>
        <color rgb="FF000000"/>
        <rFont val="Bookman Old Style"/>
        <family val="1"/>
      </rPr>
      <t xml:space="preserve"> </t>
    </r>
    <r>
      <rPr>
        <i/>
        <vertAlign val="superscript"/>
        <sz val="11"/>
        <color rgb="FF000000"/>
        <rFont val="Bookman Old Style"/>
        <family val="1"/>
      </rPr>
      <t>Name</t>
    </r>
  </si>
  <si>
    <t>Merek</t>
  </si>
  <si>
    <t>Brand</t>
  </si>
  <si>
    <t>Type</t>
  </si>
  <si>
    <t>Nomor Identitas</t>
  </si>
  <si>
    <t>Identity Number</t>
  </si>
  <si>
    <t>Nomor Seri</t>
  </si>
  <si>
    <t>Serial Number</t>
  </si>
  <si>
    <t>Lain-lain</t>
  </si>
  <si>
    <t>Kapasitas</t>
  </si>
  <si>
    <t>Others</t>
  </si>
  <si>
    <t>IDENTITAS PEMILIK</t>
  </si>
  <si>
    <t>OWNER'S IDENTIFICATION</t>
  </si>
  <si>
    <r>
      <rPr>
        <sz val="11"/>
        <color rgb="FF000000"/>
        <rFont val="Bookman Old Style"/>
        <family val="1"/>
      </rP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</si>
  <si>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</si>
  <si>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rPr>
        <sz val="11"/>
        <color rgb="FF000000"/>
        <rFont val="Bookman Old Style"/>
        <family val="1"/>
      </rP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</si>
  <si>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</si>
  <si>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Halaman</t>
  </si>
  <si>
    <t>dari</t>
  </si>
  <si>
    <t>halaman</t>
  </si>
  <si>
    <t>Page</t>
  </si>
  <si>
    <t>of</t>
  </si>
  <si>
    <t>pages</t>
  </si>
  <si>
    <t>Diterbitkan Tanggal</t>
  </si>
  <si>
    <t>Date of Issue</t>
  </si>
  <si>
    <t>Nomor</t>
  </si>
  <si>
    <t xml:space="preserve">Halaman </t>
  </si>
  <si>
    <t>SPESIFIKASI ALAT</t>
  </si>
  <si>
    <t>Nama</t>
  </si>
  <si>
    <t>No. Identitas / No. Seri</t>
  </si>
  <si>
    <t xml:space="preserve">Kapasitas </t>
  </si>
  <si>
    <t>Prosedur Kalibrasi</t>
  </si>
  <si>
    <t>Kondisi ruang</t>
  </si>
  <si>
    <t>Suhu ruang</t>
  </si>
  <si>
    <t>Kelembapan</t>
  </si>
  <si>
    <t>HASIL KALIBRASI</t>
  </si>
  <si>
    <t>1.</t>
  </si>
  <si>
    <t>2.</t>
  </si>
  <si>
    <t>3.</t>
  </si>
  <si>
    <t>4.</t>
  </si>
  <si>
    <t>5.</t>
  </si>
  <si>
    <t>6.</t>
  </si>
  <si>
    <t>7.</t>
  </si>
  <si>
    <t>No. ID :</t>
  </si>
  <si>
    <t>8.</t>
  </si>
  <si>
    <t xml:space="preserve">Pembacaan Standar    </t>
  </si>
  <si>
    <t>Dengan</t>
  </si>
  <si>
    <t>t</t>
  </si>
  <si>
    <t xml:space="preserve">: </t>
  </si>
  <si>
    <t>Suhu yang ditunjukkan PRT dalam satuan °C</t>
  </si>
  <si>
    <t>C</t>
  </si>
  <si>
    <t>Yoyon S</t>
  </si>
  <si>
    <t>F-IK-K-04-KT-04</t>
  </si>
  <si>
    <t>Suhu Setting
(°C)</t>
  </si>
  <si>
    <t>Suhu yang Diukur Indikator Enklosur
(°C)</t>
  </si>
  <si>
    <t>Keseragaman Suhu
(°C)</t>
  </si>
  <si>
    <t>Stabilitas Suhu
(°C)</t>
  </si>
  <si>
    <t xml:space="preserve">KALIBRASI </t>
  </si>
  <si>
    <r>
      <t>Ketidak pastian bentangan, U = kuc, (</t>
    </r>
    <r>
      <rPr>
        <sz val="10"/>
        <color rgb="FF000000"/>
        <rFont val="Symbol"/>
        <family val="1"/>
        <charset val="2"/>
      </rPr>
      <t>°</t>
    </r>
    <r>
      <rPr>
        <sz val="10"/>
        <color rgb="FF000000"/>
        <rFont val="Calibri"/>
        <family val="2"/>
      </rPr>
      <t>C)</t>
    </r>
  </si>
  <si>
    <t>m-internal</t>
  </si>
  <si>
    <r>
      <t>R</t>
    </r>
    <r>
      <rPr>
        <i/>
        <vertAlign val="subscript"/>
        <sz val="11"/>
        <color theme="1"/>
        <rFont val="Bookman Old Style"/>
        <family val="1"/>
      </rPr>
      <t>0</t>
    </r>
  </si>
  <si>
    <r>
      <t>R</t>
    </r>
    <r>
      <rPr>
        <i/>
        <vertAlign val="subscript"/>
        <sz val="11"/>
        <color theme="1"/>
        <rFont val="Bookman Old Style"/>
        <family val="1"/>
      </rPr>
      <t>t</t>
    </r>
  </si>
  <si>
    <t>Suhu terukur dapat dihitung dengan persamaan Callendar Van Dusen berikut:</t>
  </si>
  <si>
    <t xml:space="preserve">s.d. </t>
  </si>
  <si>
    <r>
      <rPr>
        <i/>
        <sz val="11"/>
        <color theme="1"/>
        <rFont val="Bookman Old Style"/>
        <family val="1"/>
      </rPr>
      <t>t</t>
    </r>
    <r>
      <rPr>
        <i/>
        <vertAlign val="subscript"/>
        <sz val="11"/>
        <color theme="1"/>
        <rFont val="Bookman Old Style"/>
        <family val="1"/>
      </rPr>
      <t>90</t>
    </r>
    <r>
      <rPr>
        <vertAlign val="subscript"/>
        <sz val="11"/>
        <color theme="1"/>
        <rFont val="Bookman Old Style"/>
        <family val="1"/>
      </rPr>
      <t xml:space="preserve"> </t>
    </r>
    <r>
      <rPr>
        <sz val="11"/>
        <color theme="1"/>
        <rFont val="Bookman Old Style"/>
        <family val="1"/>
        <charset val="1"/>
      </rPr>
      <t>(°C)</t>
    </r>
  </si>
  <si>
    <r>
      <rPr>
        <i/>
        <sz val="11"/>
        <color theme="1"/>
        <rFont val="Bookman Old Style"/>
        <family val="1"/>
      </rPr>
      <t>R</t>
    </r>
    <r>
      <rPr>
        <i/>
        <vertAlign val="subscript"/>
        <sz val="11"/>
        <color theme="1"/>
        <rFont val="Bookman Old Style"/>
        <family val="1"/>
      </rPr>
      <t>t</t>
    </r>
    <r>
      <rPr>
        <sz val="11"/>
        <color theme="1"/>
        <rFont val="Bookman Old Style"/>
        <family val="1"/>
        <charset val="1"/>
      </rPr>
      <t xml:space="preserve"> (</t>
    </r>
    <r>
      <rPr>
        <sz val="11"/>
        <color theme="1"/>
        <rFont val="Calibri"/>
        <family val="2"/>
      </rPr>
      <t>Ω</t>
    </r>
    <r>
      <rPr>
        <sz val="11"/>
        <color theme="1"/>
        <rFont val="Bookman Old Style"/>
        <family val="1"/>
        <charset val="1"/>
      </rPr>
      <t>)</t>
    </r>
  </si>
  <si>
    <r>
      <t>°C</t>
    </r>
    <r>
      <rPr>
        <vertAlign val="superscript"/>
        <sz val="11"/>
        <color theme="1"/>
        <rFont val="Bookman Old Style"/>
        <family val="1"/>
      </rPr>
      <t>-1</t>
    </r>
  </si>
  <si>
    <r>
      <t>°C</t>
    </r>
    <r>
      <rPr>
        <vertAlign val="superscript"/>
        <sz val="11"/>
        <color theme="1"/>
        <rFont val="Bookman Old Style"/>
        <family val="1"/>
      </rPr>
      <t>-2</t>
    </r>
  </si>
  <si>
    <t>0 untuk t ≥ 0 °C</t>
  </si>
  <si>
    <t>Tahanan PRT pada suhu t °C dalam satuan Ω</t>
  </si>
  <si>
    <t>Pembacaan
Alat</t>
  </si>
  <si>
    <t>Ketidakpastian
U95% (°C)
(k=2)</t>
  </si>
  <si>
    <t>Merek / Tipe</t>
  </si>
  <si>
    <t>INT</t>
  </si>
  <si>
    <t>sd</t>
  </si>
  <si>
    <t>R</t>
  </si>
  <si>
    <t>R-R0</t>
  </si>
  <si>
    <t>R0t</t>
  </si>
  <si>
    <t>R0t^2</t>
  </si>
  <si>
    <t>Variasi Keseluruhan
(°C)</t>
  </si>
  <si>
    <t>Suhu
(°C)</t>
  </si>
  <si>
    <t>500</t>
  </si>
  <si>
    <t>162/CBM/LABI/25</t>
  </si>
  <si>
    <t>IK-K-KT-04</t>
  </si>
  <si>
    <t>Tris,Nikita</t>
  </si>
  <si>
    <t>K595</t>
  </si>
  <si>
    <t xml:space="preserve">%RH  </t>
  </si>
  <si>
    <t>%RH</t>
  </si>
  <si>
    <t xml:space="preserve">ohm </t>
  </si>
  <si>
    <t>Terkoreksi ohm</t>
  </si>
  <si>
    <t>Grand Residence City, 
Cluster Senopati Park Blok CA 40 No. 8, Burangkeng, 
Kec. Setu, Kabupaten Bekasi, Jawa Barat 17320</t>
  </si>
  <si>
    <t>0174-1.2</t>
  </si>
  <si>
    <t>PT Calfindo Berkah Mandiri</t>
  </si>
  <si>
    <r>
      <rPr>
        <i/>
        <sz val="11"/>
        <color rgb="FF000000"/>
        <rFont val="Times New Roman"/>
        <family val="1"/>
      </rPr>
      <t>Temperature Calibrator Beamex</t>
    </r>
    <r>
      <rPr>
        <sz val="11"/>
        <color rgb="FF000000"/>
        <rFont val="Times New Roman"/>
        <family val="1"/>
      </rPr>
      <t xml:space="preserve"> TC305 No. Seri 3209 dan IPRT Burns Engr 3925 No. Seri 490464 tertelusur ke SI melalui LK-001-IDN dan LK-304-IDN.</t>
    </r>
  </si>
  <si>
    <t>Rentang ukur PT100 (0~250) ⁰C</t>
  </si>
  <si>
    <t>Ketidakpastian Repeatability, u(ts1)</t>
  </si>
  <si>
    <t>Ketidakpastian Regresi u(treg)</t>
  </si>
  <si>
    <t>Ketidakpastian Drift sensor Standar,u(tsdrift)</t>
  </si>
  <si>
    <t>Ketidakpastian Indikator Standar, u(tsi)</t>
  </si>
  <si>
    <t>Ketidakpastian Drift Indikator Standar,u(tsidrift)</t>
  </si>
  <si>
    <t>Ketidakpastian sensor Standar, u(ts2)</t>
  </si>
  <si>
    <t>Ketidakpastian Self-Heating u(tash)</t>
  </si>
  <si>
    <t>Ketidakpastian titik es u(tmed1)</t>
  </si>
  <si>
    <t>Ketidakpastian keseragaman media u(tmed2)</t>
  </si>
  <si>
    <t>Ketidakpastian stabilitas media u(tmed3)</t>
  </si>
  <si>
    <t>MPE</t>
  </si>
  <si>
    <t>IC 60751</t>
  </si>
  <si>
    <t>DIN 4370</t>
  </si>
  <si>
    <t>9.</t>
  </si>
  <si>
    <t>10.</t>
  </si>
  <si>
    <t>11.</t>
  </si>
  <si>
    <t>Penguji Mutu Barang Ahli Madya,</t>
  </si>
  <si>
    <t>Elis Sofianti</t>
  </si>
  <si>
    <t>NIP. 197109301994032002</t>
  </si>
  <si>
    <t xml:space="preserve">Suhu </t>
  </si>
  <si>
    <t>ci</t>
  </si>
  <si>
    <t>Resistansi 2024</t>
  </si>
  <si>
    <t>Resistansi 2021</t>
  </si>
  <si>
    <t>Resistansi 1999</t>
  </si>
  <si>
    <t>Kalkulasi Drift 1</t>
  </si>
  <si>
    <t>Kalkulasi Drift 2</t>
  </si>
  <si>
    <t>Koefisien Sensitivitas (CI)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</si>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</sst>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@\ * &quot;:&quot;"/>
    <numFmt numFmtId="165" formatCode="0.0"/>
    <numFmt numFmtId="166" formatCode="0.000"/>
    <numFmt numFmtId="167" formatCode="0.000000E+00"/>
    <numFmt numFmtId="168" formatCode="0.00000000"/>
    <numFmt numFmtId="169" formatCode="0.000E+00"/>
    <numFmt numFmtId="170" formatCode="@* &quot;:&quot;"/>
    <numFmt numFmtId="171" formatCode="[$-421]dd\ mmmm\ yyyy"/>
    <numFmt numFmtId="172" formatCode="[$-421]dd\ mmmm"/>
    <numFmt numFmtId="173" formatCode="0.000000"/>
    <numFmt numFmtId="174" formatCode="#,##0.000"/>
    <numFmt numFmtId="175" formatCode="0.0000"/>
    <numFmt numFmtId="176" formatCode="0.00000000000"/>
  </numFmts>
  <fonts count="6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libri"/>
      <family val="2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4"/>
      <color rgb="FF000000"/>
      <name val="Times New Roman"/>
      <family val="1"/>
    </font>
    <font>
      <sz val="12"/>
      <color theme="1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2"/>
      <color rgb="FF000000"/>
      <name val="Times New Roman"/>
      <family val="1"/>
    </font>
    <font>
      <b/>
      <sz val="18"/>
      <color theme="1"/>
      <name val="Calibri"/>
      <family val="2"/>
    </font>
    <font>
      <b/>
      <sz val="22"/>
      <color theme="1"/>
      <name val="Calibri"/>
      <family val="2"/>
    </font>
    <font>
      <sz val="11"/>
      <color rgb="FFFF0000"/>
      <name val="Calibri"/>
      <family val="2"/>
    </font>
    <font>
      <sz val="10"/>
      <color theme="1"/>
      <name val="Cambria"/>
      <family val="1"/>
    </font>
    <font>
      <vertAlign val="subscript"/>
      <sz val="11"/>
      <color rgb="FF000000"/>
      <name val="Times New Roman"/>
      <family val="1"/>
    </font>
    <font>
      <sz val="11"/>
      <color rgb="FF000000"/>
      <name val="Symbol"/>
      <family val="1"/>
      <charset val="2"/>
    </font>
    <font>
      <b/>
      <sz val="10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 val="double"/>
      <sz val="11"/>
      <color theme="1"/>
      <name val="Calibri"/>
      <family val="2"/>
      <scheme val="minor"/>
    </font>
    <font>
      <b/>
      <sz val="20"/>
      <color theme="1"/>
      <name val="Bookman Old Style"/>
      <family val="1"/>
    </font>
    <font>
      <sz val="11"/>
      <color theme="1"/>
      <name val="Bookman Old Style"/>
      <family val="1"/>
    </font>
    <font>
      <b/>
      <i/>
      <sz val="16"/>
      <color theme="1"/>
      <name val="Bookman Old Style"/>
      <family val="1"/>
    </font>
    <font>
      <i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i/>
      <vertAlign val="superscript"/>
      <sz val="11"/>
      <color rgb="FF000000"/>
      <name val="Bookman Old Style"/>
      <family val="1"/>
    </font>
    <font>
      <vertAlign val="superscript"/>
      <sz val="11"/>
      <color rgb="FF000000"/>
      <name val="Bookman Old Style"/>
      <family val="1"/>
    </font>
    <font>
      <i/>
      <sz val="8"/>
      <color rgb="FF000000"/>
      <name val="Bookman Old Style"/>
      <family val="1"/>
    </font>
    <font>
      <i/>
      <vertAlign val="superscript"/>
      <sz val="11"/>
      <color theme="1"/>
      <name val="Bookman Old Style"/>
      <family val="1"/>
    </font>
    <font>
      <vertAlign val="superscript"/>
      <sz val="11"/>
      <color theme="1"/>
      <name val="Bookman Old Style"/>
      <family val="1"/>
    </font>
    <font>
      <sz val="11"/>
      <color rgb="FF0C0D0E"/>
      <name val="Bookman Old Style"/>
      <family val="1"/>
    </font>
    <font>
      <b/>
      <u/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name val="Bookman Old Style"/>
      <family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Times New Roman"/>
      <family val="1"/>
    </font>
    <font>
      <b/>
      <u/>
      <sz val="12"/>
      <color rgb="FF000000"/>
      <name val="Bookman Old Style"/>
      <family val="1"/>
    </font>
    <font>
      <u/>
      <sz val="11"/>
      <color theme="1"/>
      <name val="Calibri"/>
      <family val="2"/>
      <scheme val="minor"/>
    </font>
    <font>
      <sz val="10"/>
      <color rgb="FF000000"/>
      <name val="Symbol"/>
      <family val="1"/>
      <charset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vertAlign val="subscript"/>
      <sz val="11"/>
      <color theme="1"/>
      <name val="Bookman Old Style"/>
      <family val="1"/>
    </font>
    <font>
      <i/>
      <sz val="11"/>
      <color rgb="FF000000"/>
      <name val="Times New Roman"/>
      <family val="1"/>
    </font>
    <font>
      <sz val="11"/>
      <color theme="1"/>
      <name val="Bookman Old Style"/>
      <family val="1"/>
      <charset val="1"/>
    </font>
    <font>
      <vertAlign val="subscript"/>
      <sz val="11"/>
      <color theme="1"/>
      <name val="Bookman Old Style"/>
      <family val="1"/>
    </font>
    <font>
      <sz val="11"/>
      <color theme="6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mbri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theme="0" tint="-0.249977111117893"/>
        <bgColor rgb="FF00B0F0"/>
      </patternFill>
    </fill>
    <fill>
      <patternFill patternType="solid">
        <fgColor theme="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3" fillId="0" borderId="26"/>
    <xf numFmtId="0" fontId="13" fillId="0" borderId="26"/>
    <xf numFmtId="0" fontId="13" fillId="0" borderId="26"/>
    <xf numFmtId="0" fontId="28" fillId="0" borderId="26"/>
    <xf numFmtId="0" fontId="28" fillId="0" borderId="26"/>
    <xf numFmtId="0" fontId="28" fillId="0" borderId="26"/>
    <xf numFmtId="0" fontId="28" fillId="0" borderId="26"/>
    <xf numFmtId="0" fontId="28" fillId="0" borderId="26"/>
    <xf numFmtId="0" fontId="28" fillId="0" borderId="26"/>
    <xf numFmtId="0" fontId="28" fillId="0" borderId="26"/>
    <xf numFmtId="0" fontId="28" fillId="0" borderId="26"/>
    <xf numFmtId="0" fontId="28" fillId="0" borderId="26"/>
    <xf numFmtId="0" fontId="28" fillId="0" borderId="26"/>
    <xf numFmtId="0" fontId="49" fillId="0" borderId="26"/>
    <xf numFmtId="0" fontId="63" fillId="0" borderId="26"/>
  </cellStyleXfs>
  <cellXfs count="435">
    <xf numFmtId="0" fontId="0" fillId="0" borderId="0" xfId="0"/>
    <xf numFmtId="0" fontId="2" fillId="0" borderId="0" xfId="0" applyFont="1"/>
    <xf numFmtId="0" fontId="4" fillId="0" borderId="14" xfId="0" applyFont="1" applyBorder="1"/>
    <xf numFmtId="0" fontId="4" fillId="0" borderId="15" xfId="0" applyFont="1" applyBorder="1" applyAlignment="1">
      <alignment horizontal="right"/>
    </xf>
    <xf numFmtId="0" fontId="4" fillId="0" borderId="15" xfId="0" applyFont="1" applyBorder="1"/>
    <xf numFmtId="0" fontId="5" fillId="0" borderId="16" xfId="0" applyFont="1" applyBorder="1"/>
    <xf numFmtId="0" fontId="6" fillId="0" borderId="0" xfId="0" applyFont="1"/>
    <xf numFmtId="0" fontId="4" fillId="0" borderId="17" xfId="0" applyFont="1" applyBorder="1"/>
    <xf numFmtId="0" fontId="4" fillId="0" borderId="0" xfId="0" applyFont="1"/>
    <xf numFmtId="0" fontId="4" fillId="0" borderId="7" xfId="0" applyFont="1" applyBorder="1"/>
    <xf numFmtId="0" fontId="5" fillId="0" borderId="0" xfId="0" applyFont="1"/>
    <xf numFmtId="0" fontId="4" fillId="0" borderId="10" xfId="0" applyFont="1" applyBorder="1"/>
    <xf numFmtId="0" fontId="4" fillId="0" borderId="3" xfId="0" applyFont="1" applyBorder="1"/>
    <xf numFmtId="0" fontId="6" fillId="0" borderId="15" xfId="0" applyFont="1" applyBorder="1"/>
    <xf numFmtId="165" fontId="4" fillId="0" borderId="15" xfId="0" applyNumberFormat="1" applyFont="1" applyBorder="1"/>
    <xf numFmtId="0" fontId="6" fillId="0" borderId="16" xfId="0" applyFont="1" applyBorder="1"/>
    <xf numFmtId="0" fontId="7" fillId="0" borderId="0" xfId="0" applyFont="1"/>
    <xf numFmtId="0" fontId="4" fillId="0" borderId="1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18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/>
    <xf numFmtId="0" fontId="4" fillId="0" borderId="1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9" fillId="0" borderId="0" xfId="0" applyFont="1"/>
    <xf numFmtId="0" fontId="6" fillId="0" borderId="10" xfId="0" applyFont="1" applyBorder="1"/>
    <xf numFmtId="0" fontId="6" fillId="0" borderId="17" xfId="0" applyFont="1" applyBorder="1"/>
    <xf numFmtId="1" fontId="4" fillId="0" borderId="15" xfId="0" applyNumberFormat="1" applyFont="1" applyBorder="1"/>
    <xf numFmtId="165" fontId="4" fillId="0" borderId="15" xfId="0" applyNumberFormat="1" applyFont="1" applyBorder="1" applyAlignment="1">
      <alignment vertical="center"/>
    </xf>
    <xf numFmtId="0" fontId="7" fillId="0" borderId="7" xfId="0" applyFont="1" applyBorder="1"/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6" fontId="4" fillId="0" borderId="18" xfId="0" applyNumberFormat="1" applyFont="1" applyBorder="1" applyAlignment="1">
      <alignment horizontal="center"/>
    </xf>
    <xf numFmtId="166" fontId="4" fillId="0" borderId="18" xfId="0" applyNumberFormat="1" applyFont="1" applyBorder="1"/>
    <xf numFmtId="2" fontId="4" fillId="0" borderId="18" xfId="0" applyNumberFormat="1" applyFont="1" applyBorder="1"/>
    <xf numFmtId="166" fontId="5" fillId="2" borderId="19" xfId="0" applyNumberFormat="1" applyFont="1" applyFill="1" applyBorder="1" applyAlignment="1">
      <alignment horizontal="right"/>
    </xf>
    <xf numFmtId="166" fontId="11" fillId="2" borderId="18" xfId="0" applyNumberFormat="1" applyFont="1" applyFill="1" applyBorder="1" applyAlignment="1">
      <alignment horizontal="right"/>
    </xf>
    <xf numFmtId="166" fontId="11" fillId="2" borderId="20" xfId="0" applyNumberFormat="1" applyFont="1" applyFill="1" applyBorder="1" applyAlignment="1">
      <alignment horizontal="right"/>
    </xf>
    <xf numFmtId="166" fontId="5" fillId="2" borderId="21" xfId="0" applyNumberFormat="1" applyFont="1" applyFill="1" applyBorder="1" applyAlignment="1">
      <alignment horizontal="right"/>
    </xf>
    <xf numFmtId="0" fontId="4" fillId="0" borderId="18" xfId="0" applyFont="1" applyBorder="1"/>
    <xf numFmtId="0" fontId="6" fillId="2" borderId="23" xfId="0" applyFont="1" applyFill="1" applyBorder="1"/>
    <xf numFmtId="0" fontId="12" fillId="0" borderId="16" xfId="0" applyFont="1" applyBorder="1"/>
    <xf numFmtId="0" fontId="7" fillId="0" borderId="16" xfId="0" applyFont="1" applyBorder="1"/>
    <xf numFmtId="0" fontId="6" fillId="0" borderId="7" xfId="0" applyFont="1" applyBorder="1"/>
    <xf numFmtId="0" fontId="4" fillId="0" borderId="17" xfId="0" applyFont="1" applyBorder="1" applyAlignment="1">
      <alignment vertical="center"/>
    </xf>
    <xf numFmtId="0" fontId="4" fillId="0" borderId="8" xfId="0" applyFont="1" applyBorder="1"/>
    <xf numFmtId="0" fontId="6" fillId="0" borderId="6" xfId="0" applyFont="1" applyBorder="1"/>
    <xf numFmtId="2" fontId="6" fillId="0" borderId="0" xfId="0" applyNumberFormat="1" applyFont="1"/>
    <xf numFmtId="166" fontId="6" fillId="0" borderId="0" xfId="0" applyNumberFormat="1" applyFont="1"/>
    <xf numFmtId="0" fontId="14" fillId="2" borderId="2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left" vertical="center"/>
    </xf>
    <xf numFmtId="0" fontId="14" fillId="2" borderId="30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" fontId="15" fillId="0" borderId="0" xfId="0" applyNumberFormat="1" applyFont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0" borderId="18" xfId="0" applyFont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5" fillId="2" borderId="18" xfId="0" applyFont="1" applyFill="1" applyBorder="1" applyAlignment="1">
      <alignment vertical="center"/>
    </xf>
    <xf numFmtId="0" fontId="14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right" vertical="center"/>
    </xf>
    <xf numFmtId="0" fontId="14" fillId="2" borderId="18" xfId="0" applyFont="1" applyFill="1" applyBorder="1" applyAlignment="1">
      <alignment horizontal="right" vertical="center"/>
    </xf>
    <xf numFmtId="0" fontId="15" fillId="3" borderId="18" xfId="0" applyFont="1" applyFill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2" borderId="27" xfId="0" applyFont="1" applyFill="1" applyBorder="1" applyAlignment="1">
      <alignment vertical="center"/>
    </xf>
    <xf numFmtId="0" fontId="15" fillId="0" borderId="17" xfId="0" applyFont="1" applyBorder="1" applyAlignment="1">
      <alignment vertical="center"/>
    </xf>
    <xf numFmtId="2" fontId="15" fillId="0" borderId="18" xfId="0" applyNumberFormat="1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169" fontId="15" fillId="0" borderId="18" xfId="0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2" borderId="23" xfId="0" applyFont="1" applyFill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15" fillId="0" borderId="0" xfId="0" applyNumberFormat="1" applyFont="1" applyAlignment="1">
      <alignment vertical="center"/>
    </xf>
    <xf numFmtId="2" fontId="15" fillId="0" borderId="0" xfId="0" applyNumberFormat="1" applyFont="1" applyAlignment="1">
      <alignment vertical="center"/>
    </xf>
    <xf numFmtId="4" fontId="15" fillId="0" borderId="16" xfId="0" applyNumberFormat="1" applyFont="1" applyBorder="1" applyAlignment="1">
      <alignment vertical="center"/>
    </xf>
    <xf numFmtId="0" fontId="15" fillId="4" borderId="18" xfId="0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5" fillId="0" borderId="18" xfId="0" quotePrefix="1" applyFont="1" applyBorder="1" applyAlignment="1">
      <alignment horizontal="center" vertical="center"/>
    </xf>
    <xf numFmtId="0" fontId="15" fillId="4" borderId="18" xfId="0" applyFont="1" applyFill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4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18" xfId="0" applyFont="1" applyBorder="1"/>
    <xf numFmtId="0" fontId="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5" fontId="2" fillId="0" borderId="18" xfId="0" applyNumberFormat="1" applyFont="1" applyBorder="1" applyAlignment="1">
      <alignment vertical="center"/>
    </xf>
    <xf numFmtId="165" fontId="2" fillId="0" borderId="14" xfId="0" applyNumberFormat="1" applyFont="1" applyBorder="1" applyAlignment="1">
      <alignment vertical="center"/>
    </xf>
    <xf numFmtId="0" fontId="2" fillId="0" borderId="18" xfId="0" applyFont="1" applyBorder="1" applyAlignment="1">
      <alignment horizontal="right" vertical="center" wrapText="1"/>
    </xf>
    <xf numFmtId="165" fontId="2" fillId="0" borderId="18" xfId="0" applyNumberFormat="1" applyFont="1" applyBorder="1" applyAlignment="1">
      <alignment horizontal="right" vertical="center" wrapText="1"/>
    </xf>
    <xf numFmtId="0" fontId="22" fillId="0" borderId="0" xfId="0" applyFont="1"/>
    <xf numFmtId="0" fontId="4" fillId="0" borderId="21" xfId="0" applyFont="1" applyBorder="1"/>
    <xf numFmtId="0" fontId="0" fillId="0" borderId="28" xfId="0" applyBorder="1"/>
    <xf numFmtId="0" fontId="4" fillId="0" borderId="32" xfId="0" applyFont="1" applyBorder="1"/>
    <xf numFmtId="0" fontId="13" fillId="0" borderId="26" xfId="1"/>
    <xf numFmtId="166" fontId="27" fillId="5" borderId="18" xfId="1" applyNumberFormat="1" applyFont="1" applyFill="1" applyBorder="1" applyAlignment="1">
      <alignment horizontal="right"/>
    </xf>
    <xf numFmtId="166" fontId="4" fillId="0" borderId="18" xfId="3" applyNumberFormat="1" applyFont="1" applyBorder="1" applyAlignment="1">
      <alignment horizontal="right"/>
    </xf>
    <xf numFmtId="166" fontId="27" fillId="0" borderId="18" xfId="1" applyNumberFormat="1" applyFont="1" applyBorder="1" applyAlignment="1">
      <alignment horizontal="right"/>
    </xf>
    <xf numFmtId="0" fontId="0" fillId="0" borderId="26" xfId="0" applyBorder="1"/>
    <xf numFmtId="168" fontId="14" fillId="7" borderId="18" xfId="0" applyNumberFormat="1" applyFont="1" applyFill="1" applyBorder="1" applyAlignment="1">
      <alignment horizontal="right" vertical="center"/>
    </xf>
    <xf numFmtId="168" fontId="14" fillId="7" borderId="18" xfId="0" applyNumberFormat="1" applyFont="1" applyFill="1" applyBorder="1" applyAlignment="1">
      <alignment vertical="center"/>
    </xf>
    <xf numFmtId="168" fontId="14" fillId="8" borderId="18" xfId="0" applyNumberFormat="1" applyFont="1" applyFill="1" applyBorder="1" applyAlignment="1">
      <alignment vertical="center"/>
    </xf>
    <xf numFmtId="0" fontId="26" fillId="0" borderId="26" xfId="0" applyFont="1" applyBorder="1" applyAlignment="1">
      <alignment horizontal="centerContinuous"/>
    </xf>
    <xf numFmtId="0" fontId="26" fillId="0" borderId="26" xfId="0" applyFont="1" applyBorder="1" applyAlignment="1">
      <alignment horizontal="center"/>
    </xf>
    <xf numFmtId="2" fontId="0" fillId="0" borderId="31" xfId="0" applyNumberFormat="1" applyBorder="1"/>
    <xf numFmtId="1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0" fillId="5" borderId="0" xfId="0" applyFill="1"/>
    <xf numFmtId="0" fontId="1" fillId="5" borderId="0" xfId="0" applyFont="1" applyFill="1"/>
    <xf numFmtId="0" fontId="3" fillId="0" borderId="15" xfId="0" applyFont="1" applyBorder="1"/>
    <xf numFmtId="0" fontId="3" fillId="0" borderId="17" xfId="0" applyFont="1" applyBorder="1"/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horizontal="right"/>
    </xf>
    <xf numFmtId="0" fontId="35" fillId="0" borderId="0" xfId="0" applyFont="1" applyAlignment="1">
      <alignment horizontal="left"/>
    </xf>
    <xf numFmtId="0" fontId="33" fillId="0" borderId="0" xfId="0" quotePrefix="1" applyFont="1" applyAlignment="1">
      <alignment horizontal="center"/>
    </xf>
    <xf numFmtId="0" fontId="33" fillId="0" borderId="0" xfId="0" applyFont="1" applyAlignment="1">
      <alignment horizontal="left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top"/>
    </xf>
    <xf numFmtId="164" fontId="38" fillId="0" borderId="0" xfId="0" applyNumberFormat="1" applyFont="1" applyAlignment="1">
      <alignment horizontal="left"/>
    </xf>
    <xf numFmtId="0" fontId="40" fillId="0" borderId="0" xfId="0" applyFont="1" applyAlignment="1">
      <alignment vertical="top"/>
    </xf>
    <xf numFmtId="0" fontId="42" fillId="0" borderId="0" xfId="0" applyFont="1" applyAlignment="1">
      <alignment vertical="top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170" fontId="33" fillId="0" borderId="0" xfId="0" applyNumberFormat="1" applyFont="1" applyAlignment="1">
      <alignment horizontal="left"/>
    </xf>
    <xf numFmtId="0" fontId="33" fillId="0" borderId="0" xfId="0" applyFont="1" applyAlignment="1">
      <alignment vertical="top" wrapText="1"/>
    </xf>
    <xf numFmtId="0" fontId="37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38" fillId="0" borderId="0" xfId="0" applyFont="1" applyAlignment="1">
      <alignment vertical="top" wrapText="1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43" fillId="0" borderId="0" xfId="0" applyFont="1" applyAlignment="1">
      <alignment horizontal="right" vertical="top"/>
    </xf>
    <xf numFmtId="0" fontId="44" fillId="0" borderId="0" xfId="0" applyFont="1"/>
    <xf numFmtId="0" fontId="40" fillId="0" borderId="0" xfId="0" applyFont="1" applyAlignment="1">
      <alignment horizontal="left" vertical="top"/>
    </xf>
    <xf numFmtId="0" fontId="42" fillId="0" borderId="0" xfId="0" applyFont="1" applyAlignment="1">
      <alignment horizontal="left" vertical="top"/>
    </xf>
    <xf numFmtId="0" fontId="42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45" fillId="0" borderId="0" xfId="0" applyFont="1" applyAlignment="1">
      <alignment horizontal="left"/>
    </xf>
    <xf numFmtId="170" fontId="38" fillId="0" borderId="0" xfId="0" applyNumberFormat="1" applyFont="1" applyAlignment="1">
      <alignment horizontal="left" vertical="center"/>
    </xf>
    <xf numFmtId="170" fontId="38" fillId="0" borderId="0" xfId="0" applyNumberFormat="1" applyFont="1" applyAlignment="1">
      <alignment vertical="center"/>
    </xf>
    <xf numFmtId="172" fontId="38" fillId="0" borderId="0" xfId="0" applyNumberFormat="1" applyFont="1" applyAlignment="1">
      <alignment horizontal="left" vertical="top" wrapText="1"/>
    </xf>
    <xf numFmtId="172" fontId="38" fillId="0" borderId="0" xfId="0" applyNumberFormat="1" applyFont="1" applyAlignment="1">
      <alignment vertical="top" wrapText="1"/>
    </xf>
    <xf numFmtId="0" fontId="46" fillId="0" borderId="0" xfId="0" applyFont="1" applyAlignment="1">
      <alignment horizontal="center"/>
    </xf>
    <xf numFmtId="0" fontId="46" fillId="0" borderId="0" xfId="0" applyFont="1"/>
    <xf numFmtId="0" fontId="47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33" fillId="0" borderId="33" xfId="0" applyFont="1" applyBorder="1"/>
    <xf numFmtId="49" fontId="33" fillId="0" borderId="34" xfId="0" applyNumberFormat="1" applyFont="1" applyBorder="1" applyAlignment="1">
      <alignment horizontal="right" vertical="center"/>
    </xf>
    <xf numFmtId="49" fontId="33" fillId="0" borderId="35" xfId="0" applyNumberFormat="1" applyFont="1" applyBorder="1" applyAlignment="1">
      <alignment vertical="center"/>
    </xf>
    <xf numFmtId="0" fontId="33" fillId="0" borderId="33" xfId="0" applyFont="1" applyBorder="1" applyAlignment="1">
      <alignment vertical="center" wrapText="1"/>
    </xf>
    <xf numFmtId="1" fontId="33" fillId="0" borderId="34" xfId="0" applyNumberFormat="1" applyFont="1" applyBorder="1" applyAlignment="1">
      <alignment vertical="center" wrapText="1"/>
    </xf>
    <xf numFmtId="0" fontId="0" fillId="0" borderId="34" xfId="0" applyBorder="1"/>
    <xf numFmtId="0" fontId="33" fillId="0" borderId="35" xfId="0" applyFont="1" applyBorder="1" applyAlignment="1">
      <alignment vertical="center" wrapText="1"/>
    </xf>
    <xf numFmtId="0" fontId="33" fillId="0" borderId="36" xfId="0" applyFont="1" applyBorder="1"/>
    <xf numFmtId="49" fontId="33" fillId="0" borderId="37" xfId="0" applyNumberFormat="1" applyFont="1" applyBorder="1" applyAlignment="1">
      <alignment vertical="center"/>
    </xf>
    <xf numFmtId="165" fontId="33" fillId="0" borderId="0" xfId="0" applyNumberFormat="1" applyFont="1" applyAlignment="1">
      <alignment vertical="center" wrapText="1"/>
    </xf>
    <xf numFmtId="0" fontId="33" fillId="0" borderId="36" xfId="0" applyFont="1" applyBorder="1" applyAlignment="1">
      <alignment vertical="center" wrapText="1"/>
    </xf>
    <xf numFmtId="0" fontId="33" fillId="0" borderId="37" xfId="0" applyFont="1" applyBorder="1" applyAlignment="1">
      <alignment vertical="center" wrapText="1"/>
    </xf>
    <xf numFmtId="49" fontId="33" fillId="0" borderId="37" xfId="0" applyNumberFormat="1" applyFont="1" applyBorder="1"/>
    <xf numFmtId="165" fontId="33" fillId="0" borderId="37" xfId="0" applyNumberFormat="1" applyFont="1" applyBorder="1"/>
    <xf numFmtId="1" fontId="33" fillId="0" borderId="36" xfId="0" applyNumberFormat="1" applyFont="1" applyBorder="1"/>
    <xf numFmtId="0" fontId="33" fillId="0" borderId="37" xfId="0" applyFont="1" applyBorder="1"/>
    <xf numFmtId="0" fontId="3" fillId="0" borderId="0" xfId="0" applyFont="1"/>
    <xf numFmtId="49" fontId="48" fillId="0" borderId="0" xfId="0" applyNumberFormat="1" applyFont="1" applyAlignment="1">
      <alignment horizontal="right"/>
    </xf>
    <xf numFmtId="0" fontId="33" fillId="0" borderId="0" xfId="0" applyFont="1" applyAlignment="1">
      <alignment horizontal="center" vertical="center" wrapText="1"/>
    </xf>
    <xf numFmtId="0" fontId="33" fillId="0" borderId="0" xfId="0" quotePrefix="1" applyFont="1" applyAlignment="1">
      <alignment horizontal="right" vertical="top"/>
    </xf>
    <xf numFmtId="0" fontId="33" fillId="0" borderId="0" xfId="0" applyFont="1" applyAlignment="1">
      <alignment horizontal="right" vertical="top"/>
    </xf>
    <xf numFmtId="166" fontId="4" fillId="0" borderId="36" xfId="3" applyNumberFormat="1" applyFont="1" applyBorder="1" applyAlignment="1">
      <alignment horizontal="right"/>
    </xf>
    <xf numFmtId="167" fontId="29" fillId="0" borderId="0" xfId="0" applyNumberFormat="1" applyFont="1"/>
    <xf numFmtId="173" fontId="29" fillId="0" borderId="0" xfId="0" applyNumberFormat="1" applyFont="1"/>
    <xf numFmtId="0" fontId="33" fillId="0" borderId="0" xfId="0" applyFont="1" applyAlignment="1">
      <alignment horizontal="left" vertical="top" wrapText="1"/>
    </xf>
    <xf numFmtId="0" fontId="3" fillId="0" borderId="26" xfId="0" applyFont="1" applyBorder="1"/>
    <xf numFmtId="166" fontId="27" fillId="5" borderId="36" xfId="1" applyNumberFormat="1" applyFont="1" applyFill="1" applyBorder="1" applyAlignment="1">
      <alignment horizontal="right"/>
    </xf>
    <xf numFmtId="0" fontId="33" fillId="0" borderId="26" xfId="0" applyFont="1" applyBorder="1"/>
    <xf numFmtId="49" fontId="48" fillId="0" borderId="26" xfId="0" applyNumberFormat="1" applyFont="1" applyBorder="1" applyAlignment="1">
      <alignment horizontal="right"/>
    </xf>
    <xf numFmtId="49" fontId="3" fillId="0" borderId="26" xfId="0" applyNumberFormat="1" applyFont="1" applyBorder="1"/>
    <xf numFmtId="165" fontId="33" fillId="0" borderId="26" xfId="0" applyNumberFormat="1" applyFont="1" applyBorder="1" applyAlignment="1">
      <alignment horizontal="right" vertical="center" wrapText="1"/>
    </xf>
    <xf numFmtId="165" fontId="33" fillId="0" borderId="26" xfId="0" applyNumberFormat="1" applyFont="1" applyBorder="1" applyAlignment="1">
      <alignment vertical="center" wrapText="1"/>
    </xf>
    <xf numFmtId="165" fontId="33" fillId="0" borderId="26" xfId="0" applyNumberFormat="1" applyFont="1" applyBorder="1" applyAlignment="1">
      <alignment horizontal="center" vertical="center" wrapText="1"/>
    </xf>
    <xf numFmtId="165" fontId="33" fillId="0" borderId="36" xfId="0" applyNumberFormat="1" applyFont="1" applyBorder="1" applyAlignment="1">
      <alignment vertical="center" wrapText="1"/>
    </xf>
    <xf numFmtId="1" fontId="33" fillId="0" borderId="26" xfId="0" applyNumberFormat="1" applyFont="1" applyBorder="1" applyAlignment="1">
      <alignment vertical="center" wrapText="1"/>
    </xf>
    <xf numFmtId="1" fontId="33" fillId="0" borderId="26" xfId="0" applyNumberFormat="1" applyFont="1" applyBorder="1"/>
    <xf numFmtId="49" fontId="33" fillId="0" borderId="26" xfId="0" applyNumberFormat="1" applyFont="1" applyBorder="1" applyAlignment="1">
      <alignment horizontal="right" vertical="center"/>
    </xf>
    <xf numFmtId="49" fontId="33" fillId="0" borderId="26" xfId="0" applyNumberFormat="1" applyFont="1" applyBorder="1" applyAlignment="1">
      <alignment horizontal="right"/>
    </xf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0" fillId="0" borderId="39" xfId="0" applyBorder="1"/>
    <xf numFmtId="0" fontId="3" fillId="0" borderId="40" xfId="0" applyFont="1" applyBorder="1"/>
    <xf numFmtId="165" fontId="33" fillId="0" borderId="35" xfId="0" applyNumberFormat="1" applyFont="1" applyBorder="1" applyAlignment="1">
      <alignment vertical="center" wrapText="1"/>
    </xf>
    <xf numFmtId="165" fontId="33" fillId="0" borderId="37" xfId="0" applyNumberFormat="1" applyFont="1" applyBorder="1" applyAlignment="1">
      <alignment horizontal="right" vertical="center" wrapText="1"/>
    </xf>
    <xf numFmtId="165" fontId="33" fillId="0" borderId="38" xfId="0" applyNumberFormat="1" applyFont="1" applyBorder="1" applyAlignment="1">
      <alignment vertical="center" wrapText="1"/>
    </xf>
    <xf numFmtId="165" fontId="33" fillId="0" borderId="40" xfId="0" applyNumberFormat="1" applyFont="1" applyBorder="1" applyAlignment="1">
      <alignment horizontal="right" vertical="center" wrapText="1"/>
    </xf>
    <xf numFmtId="0" fontId="0" fillId="0" borderId="36" xfId="0" applyBorder="1"/>
    <xf numFmtId="165" fontId="33" fillId="0" borderId="37" xfId="0" applyNumberFormat="1" applyFont="1" applyBorder="1" applyAlignment="1">
      <alignment vertical="center" wrapText="1"/>
    </xf>
    <xf numFmtId="165" fontId="33" fillId="0" borderId="40" xfId="0" applyNumberFormat="1" applyFont="1" applyBorder="1" applyAlignment="1">
      <alignment vertical="center" wrapText="1"/>
    </xf>
    <xf numFmtId="49" fontId="3" fillId="0" borderId="37" xfId="0" applyNumberFormat="1" applyFont="1" applyBorder="1"/>
    <xf numFmtId="0" fontId="33" fillId="0" borderId="38" xfId="0" applyFont="1" applyBorder="1"/>
    <xf numFmtId="49" fontId="33" fillId="0" borderId="39" xfId="0" applyNumberFormat="1" applyFont="1" applyBorder="1" applyAlignment="1">
      <alignment horizontal="right"/>
    </xf>
    <xf numFmtId="49" fontId="3" fillId="0" borderId="40" xfId="0" applyNumberFormat="1" applyFont="1" applyBorder="1"/>
    <xf numFmtId="49" fontId="48" fillId="0" borderId="0" xfId="0" applyNumberFormat="1" applyFont="1"/>
    <xf numFmtId="0" fontId="1" fillId="0" borderId="0" xfId="0" applyFont="1"/>
    <xf numFmtId="0" fontId="6" fillId="0" borderId="0" xfId="0" applyFont="1" applyAlignment="1">
      <alignment vertical="top" wrapText="1"/>
    </xf>
    <xf numFmtId="167" fontId="33" fillId="0" borderId="0" xfId="0" applyNumberFormat="1" applyFont="1" applyAlignment="1">
      <alignment horizontal="left"/>
    </xf>
    <xf numFmtId="0" fontId="33" fillId="0" borderId="0" xfId="0" applyFont="1" applyAlignment="1">
      <alignment vertical="top"/>
    </xf>
    <xf numFmtId="0" fontId="40" fillId="0" borderId="0" xfId="0" applyFont="1" applyAlignment="1">
      <alignment horizontal="right" vertical="top"/>
    </xf>
    <xf numFmtId="15" fontId="50" fillId="0" borderId="0" xfId="0" applyNumberFormat="1" applyFont="1"/>
    <xf numFmtId="0" fontId="50" fillId="0" borderId="0" xfId="0" applyFont="1"/>
    <xf numFmtId="0" fontId="15" fillId="0" borderId="41" xfId="0" applyFont="1" applyBorder="1" applyAlignment="1">
      <alignment vertical="center"/>
    </xf>
    <xf numFmtId="0" fontId="4" fillId="0" borderId="27" xfId="0" applyFont="1" applyBorder="1"/>
    <xf numFmtId="165" fontId="4" fillId="0" borderId="27" xfId="0" applyNumberFormat="1" applyFont="1" applyBorder="1"/>
    <xf numFmtId="0" fontId="4" fillId="0" borderId="15" xfId="0" quotePrefix="1" applyFont="1" applyBorder="1"/>
    <xf numFmtId="0" fontId="4" fillId="5" borderId="27" xfId="0" applyFont="1" applyFill="1" applyBorder="1"/>
    <xf numFmtId="0" fontId="6" fillId="5" borderId="27" xfId="0" applyFont="1" applyFill="1" applyBorder="1"/>
    <xf numFmtId="0" fontId="6" fillId="5" borderId="23" xfId="0" applyFont="1" applyFill="1" applyBorder="1"/>
    <xf numFmtId="1" fontId="4" fillId="5" borderId="27" xfId="0" applyNumberFormat="1" applyFont="1" applyFill="1" applyBorder="1"/>
    <xf numFmtId="0" fontId="51" fillId="0" borderId="16" xfId="0" applyFont="1" applyBorder="1"/>
    <xf numFmtId="4" fontId="27" fillId="9" borderId="18" xfId="0" applyNumberFormat="1" applyFont="1" applyFill="1" applyBorder="1" applyAlignment="1">
      <alignment horizontal="right"/>
    </xf>
    <xf numFmtId="0" fontId="3" fillId="0" borderId="7" xfId="0" applyFont="1" applyBorder="1"/>
    <xf numFmtId="0" fontId="4" fillId="0" borderId="26" xfId="0" applyFont="1" applyBorder="1"/>
    <xf numFmtId="0" fontId="33" fillId="0" borderId="26" xfId="1" applyFont="1" applyAlignment="1">
      <alignment horizontal="left"/>
    </xf>
    <xf numFmtId="0" fontId="13" fillId="0" borderId="26" xfId="1" applyAlignment="1">
      <alignment horizontal="left"/>
    </xf>
    <xf numFmtId="14" fontId="50" fillId="0" borderId="0" xfId="0" applyNumberFormat="1" applyFont="1"/>
    <xf numFmtId="0" fontId="50" fillId="0" borderId="10" xfId="0" applyFont="1" applyBorder="1"/>
    <xf numFmtId="0" fontId="50" fillId="3" borderId="26" xfId="0" applyFont="1" applyFill="1" applyBorder="1"/>
    <xf numFmtId="0" fontId="50" fillId="2" borderId="26" xfId="0" applyFont="1" applyFill="1" applyBorder="1"/>
    <xf numFmtId="168" fontId="50" fillId="2" borderId="26" xfId="0" applyNumberFormat="1" applyFont="1" applyFill="1" applyBorder="1"/>
    <xf numFmtId="0" fontId="50" fillId="0" borderId="18" xfId="0" applyFont="1" applyBorder="1"/>
    <xf numFmtId="2" fontId="50" fillId="0" borderId="4" xfId="0" applyNumberFormat="1" applyFont="1" applyBorder="1"/>
    <xf numFmtId="2" fontId="12" fillId="0" borderId="42" xfId="0" applyNumberFormat="1" applyFont="1" applyBorder="1" applyAlignment="1">
      <alignment horizontal="right" vertical="center"/>
    </xf>
    <xf numFmtId="0" fontId="50" fillId="0" borderId="4" xfId="0" applyFont="1" applyBorder="1"/>
    <xf numFmtId="2" fontId="50" fillId="3" borderId="26" xfId="0" applyNumberFormat="1" applyFont="1" applyFill="1" applyBorder="1"/>
    <xf numFmtId="0" fontId="50" fillId="0" borderId="9" xfId="0" applyFont="1" applyBorder="1"/>
    <xf numFmtId="2" fontId="8" fillId="0" borderId="43" xfId="0" applyNumberFormat="1" applyFont="1" applyBorder="1" applyAlignment="1">
      <alignment horizontal="center" vertical="center"/>
    </xf>
    <xf numFmtId="2" fontId="0" fillId="11" borderId="31" xfId="0" applyNumberFormat="1" applyFill="1" applyBorder="1"/>
    <xf numFmtId="15" fontId="4" fillId="0" borderId="5" xfId="0" applyNumberFormat="1" applyFont="1" applyBorder="1"/>
    <xf numFmtId="0" fontId="3" fillId="0" borderId="16" xfId="0" applyFont="1" applyBorder="1"/>
    <xf numFmtId="0" fontId="35" fillId="0" borderId="0" xfId="0" applyFont="1"/>
    <xf numFmtId="15" fontId="3" fillId="0" borderId="16" xfId="0" applyNumberFormat="1" applyFont="1" applyBorder="1"/>
    <xf numFmtId="171" fontId="38" fillId="0" borderId="0" xfId="0" applyNumberFormat="1" applyFont="1" applyAlignment="1">
      <alignment vertical="top" wrapText="1"/>
    </xf>
    <xf numFmtId="0" fontId="33" fillId="0" borderId="0" xfId="0" quotePrefix="1" applyFont="1" applyAlignment="1">
      <alignment horizontal="right"/>
    </xf>
    <xf numFmtId="0" fontId="52" fillId="0" borderId="26" xfId="1" applyFont="1" applyAlignment="1">
      <alignment vertical="center"/>
    </xf>
    <xf numFmtId="0" fontId="53" fillId="0" borderId="26" xfId="1" applyFont="1"/>
    <xf numFmtId="2" fontId="15" fillId="2" borderId="18" xfId="0" applyNumberFormat="1" applyFont="1" applyFill="1" applyBorder="1" applyAlignment="1">
      <alignment vertical="center"/>
    </xf>
    <xf numFmtId="0" fontId="15" fillId="6" borderId="18" xfId="0" applyFont="1" applyFill="1" applyBorder="1" applyAlignment="1">
      <alignment vertical="center"/>
    </xf>
    <xf numFmtId="174" fontId="4" fillId="9" borderId="18" xfId="0" applyNumberFormat="1" applyFont="1" applyFill="1" applyBorder="1" applyAlignment="1">
      <alignment horizontal="right"/>
    </xf>
    <xf numFmtId="166" fontId="4" fillId="9" borderId="18" xfId="0" applyNumberFormat="1" applyFont="1" applyFill="1" applyBorder="1" applyAlignment="1">
      <alignment horizontal="center"/>
    </xf>
    <xf numFmtId="16" fontId="3" fillId="0" borderId="16" xfId="0" applyNumberFormat="1" applyFont="1" applyBorder="1"/>
    <xf numFmtId="0" fontId="2" fillId="0" borderId="14" xfId="0" applyFont="1" applyBorder="1" applyAlignment="1">
      <alignment horizontal="center" vertical="center"/>
    </xf>
    <xf numFmtId="166" fontId="0" fillId="0" borderId="26" xfId="0" applyNumberFormat="1" applyBorder="1"/>
    <xf numFmtId="2" fontId="26" fillId="0" borderId="26" xfId="0" applyNumberFormat="1" applyFont="1" applyBorder="1" applyAlignment="1">
      <alignment horizontal="center"/>
    </xf>
    <xf numFmtId="166" fontId="26" fillId="0" borderId="26" xfId="0" applyNumberFormat="1" applyFont="1" applyBorder="1" applyAlignment="1">
      <alignment horizontal="center"/>
    </xf>
    <xf numFmtId="173" fontId="0" fillId="0" borderId="26" xfId="0" applyNumberFormat="1" applyBorder="1"/>
    <xf numFmtId="167" fontId="0" fillId="0" borderId="26" xfId="0" applyNumberFormat="1" applyBorder="1"/>
    <xf numFmtId="0" fontId="1" fillId="0" borderId="26" xfId="0" applyFont="1" applyBorder="1"/>
    <xf numFmtId="166" fontId="1" fillId="10" borderId="26" xfId="0" applyNumberFormat="1" applyFont="1" applyFill="1" applyBorder="1"/>
    <xf numFmtId="0" fontId="1" fillId="10" borderId="26" xfId="0" applyFont="1" applyFill="1" applyBorder="1"/>
    <xf numFmtId="167" fontId="0" fillId="10" borderId="26" xfId="0" applyNumberFormat="1" applyFill="1" applyBorder="1"/>
    <xf numFmtId="0" fontId="0" fillId="10" borderId="26" xfId="0" applyFill="1" applyBorder="1"/>
    <xf numFmtId="0" fontId="64" fillId="0" borderId="26" xfId="15" applyFont="1"/>
    <xf numFmtId="0" fontId="63" fillId="0" borderId="26" xfId="15"/>
    <xf numFmtId="0" fontId="64" fillId="0" borderId="31" xfId="15" applyFont="1" applyBorder="1" applyAlignment="1">
      <alignment horizontal="center" vertical="center" wrapText="1"/>
    </xf>
    <xf numFmtId="0" fontId="64" fillId="0" borderId="44" xfId="15" applyFont="1" applyBorder="1"/>
    <xf numFmtId="2" fontId="64" fillId="0" borderId="44" xfId="15" applyNumberFormat="1" applyFont="1" applyBorder="1"/>
    <xf numFmtId="2" fontId="64" fillId="0" borderId="42" xfId="15" applyNumberFormat="1" applyFont="1" applyBorder="1"/>
    <xf numFmtId="0" fontId="64" fillId="0" borderId="42" xfId="15" applyFont="1" applyBorder="1"/>
    <xf numFmtId="0" fontId="64" fillId="0" borderId="45" xfId="15" applyFont="1" applyBorder="1" applyAlignment="1">
      <alignment horizontal="center" vertical="center" wrapText="1"/>
    </xf>
    <xf numFmtId="0" fontId="22" fillId="0" borderId="37" xfId="15" applyFont="1" applyBorder="1"/>
    <xf numFmtId="1" fontId="64" fillId="0" borderId="44" xfId="15" applyNumberFormat="1" applyFont="1" applyBorder="1"/>
    <xf numFmtId="1" fontId="64" fillId="0" borderId="42" xfId="15" applyNumberFormat="1" applyFont="1" applyBorder="1"/>
    <xf numFmtId="0" fontId="22" fillId="0" borderId="40" xfId="15" applyFont="1" applyBorder="1"/>
    <xf numFmtId="175" fontId="0" fillId="0" borderId="0" xfId="0" applyNumberFormat="1"/>
    <xf numFmtId="1" fontId="4" fillId="0" borderId="15" xfId="0" quotePrefix="1" applyNumberFormat="1" applyFont="1" applyBorder="1"/>
    <xf numFmtId="0" fontId="7" fillId="5" borderId="0" xfId="0" applyFont="1" applyFill="1"/>
    <xf numFmtId="20" fontId="33" fillId="0" borderId="36" xfId="0" applyNumberFormat="1" applyFont="1" applyBorder="1"/>
    <xf numFmtId="2" fontId="27" fillId="5" borderId="18" xfId="1" applyNumberFormat="1" applyFont="1" applyFill="1" applyBorder="1" applyAlignment="1">
      <alignment horizontal="right"/>
    </xf>
    <xf numFmtId="0" fontId="4" fillId="0" borderId="15" xfId="0" applyFont="1" applyBorder="1" applyAlignment="1">
      <alignment vertical="center"/>
    </xf>
    <xf numFmtId="164" fontId="0" fillId="0" borderId="0" xfId="0" applyNumberFormat="1"/>
    <xf numFmtId="0" fontId="0" fillId="5" borderId="26" xfId="0" applyFill="1" applyBorder="1"/>
    <xf numFmtId="2" fontId="0" fillId="0" borderId="26" xfId="0" applyNumberFormat="1" applyBorder="1"/>
    <xf numFmtId="0" fontId="6" fillId="0" borderId="22" xfId="0" applyFont="1" applyBorder="1"/>
    <xf numFmtId="0" fontId="62" fillId="0" borderId="26" xfId="0" applyFont="1" applyBorder="1"/>
    <xf numFmtId="166" fontId="11" fillId="2" borderId="23" xfId="0" applyNumberFormat="1" applyFont="1" applyFill="1" applyBorder="1" applyAlignment="1">
      <alignment horizontal="right"/>
    </xf>
    <xf numFmtId="0" fontId="12" fillId="0" borderId="26" xfId="0" applyFont="1" applyBorder="1" applyAlignment="1">
      <alignment horizontal="right" vertical="center" wrapText="1"/>
    </xf>
    <xf numFmtId="0" fontId="8" fillId="0" borderId="26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0" borderId="9" xfId="0" applyFont="1" applyBorder="1"/>
    <xf numFmtId="2" fontId="12" fillId="0" borderId="18" xfId="0" applyNumberFormat="1" applyFont="1" applyBorder="1"/>
    <xf numFmtId="2" fontId="4" fillId="9" borderId="18" xfId="0" applyNumberFormat="1" applyFont="1" applyFill="1" applyBorder="1" applyAlignment="1">
      <alignment horizontal="center"/>
    </xf>
    <xf numFmtId="0" fontId="33" fillId="0" borderId="0" xfId="0" applyFont="1" applyAlignment="1">
      <alignment horizontal="justify" vertical="top" wrapText="1"/>
    </xf>
    <xf numFmtId="166" fontId="15" fillId="2" borderId="18" xfId="0" applyNumberFormat="1" applyFont="1" applyFill="1" applyBorder="1" applyAlignment="1">
      <alignment vertical="center"/>
    </xf>
    <xf numFmtId="166" fontId="15" fillId="2" borderId="18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right"/>
    </xf>
    <xf numFmtId="0" fontId="33" fillId="0" borderId="0" xfId="0" applyFont="1" applyAlignment="1">
      <alignment horizontal="left"/>
    </xf>
    <xf numFmtId="2" fontId="33" fillId="0" borderId="36" xfId="0" applyNumberFormat="1" applyFont="1" applyBorder="1" applyAlignment="1">
      <alignment horizontal="right" vertical="center"/>
    </xf>
    <xf numFmtId="2" fontId="33" fillId="0" borderId="26" xfId="0" applyNumberFormat="1" applyFont="1" applyBorder="1" applyAlignment="1">
      <alignment horizontal="right" vertical="center"/>
    </xf>
    <xf numFmtId="164" fontId="38" fillId="0" borderId="0" xfId="0" applyNumberFormat="1" applyFont="1" applyAlignment="1">
      <alignment horizontal="left"/>
    </xf>
    <xf numFmtId="0" fontId="0" fillId="0" borderId="0" xfId="0"/>
    <xf numFmtId="170" fontId="38" fillId="0" borderId="0" xfId="0" applyNumberFormat="1" applyFont="1" applyAlignment="1">
      <alignment horizontal="center" vertical="center"/>
    </xf>
    <xf numFmtId="170" fontId="33" fillId="0" borderId="0" xfId="0" applyNumberFormat="1" applyFont="1" applyAlignment="1">
      <alignment horizontal="left"/>
    </xf>
    <xf numFmtId="1" fontId="33" fillId="0" borderId="0" xfId="0" applyNumberFormat="1" applyFont="1" applyAlignment="1">
      <alignment horizontal="left"/>
    </xf>
    <xf numFmtId="0" fontId="60" fillId="0" borderId="33" xfId="0" applyFont="1" applyBorder="1" applyAlignment="1">
      <alignment horizontal="center" vertical="center"/>
    </xf>
    <xf numFmtId="0" fontId="60" fillId="0" borderId="34" xfId="0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0" fontId="60" fillId="0" borderId="36" xfId="0" applyFont="1" applyBorder="1" applyAlignment="1">
      <alignment horizontal="center" vertical="center"/>
    </xf>
    <xf numFmtId="0" fontId="60" fillId="0" borderId="26" xfId="0" applyFont="1" applyBorder="1" applyAlignment="1">
      <alignment horizontal="center" vertical="center"/>
    </xf>
    <xf numFmtId="0" fontId="60" fillId="0" borderId="37" xfId="0" applyFont="1" applyBorder="1" applyAlignment="1">
      <alignment horizontal="center" vertical="center"/>
    </xf>
    <xf numFmtId="0" fontId="60" fillId="0" borderId="38" xfId="0" applyFont="1" applyBorder="1" applyAlignment="1">
      <alignment horizontal="center" vertical="center"/>
    </xf>
    <xf numFmtId="0" fontId="60" fillId="0" borderId="39" xfId="0" applyFont="1" applyBorder="1" applyAlignment="1">
      <alignment horizontal="center" vertical="center"/>
    </xf>
    <xf numFmtId="0" fontId="60" fillId="0" borderId="40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60" fillId="0" borderId="38" xfId="0" applyFont="1" applyBorder="1" applyAlignment="1">
      <alignment horizontal="center" vertical="center" wrapText="1"/>
    </xf>
    <xf numFmtId="0" fontId="60" fillId="0" borderId="39" xfId="0" applyFont="1" applyBorder="1" applyAlignment="1">
      <alignment horizontal="center" vertical="center" wrapText="1"/>
    </xf>
    <xf numFmtId="0" fontId="60" fillId="0" borderId="40" xfId="0" applyFont="1" applyBorder="1" applyAlignment="1">
      <alignment horizontal="center" vertical="center" wrapText="1"/>
    </xf>
    <xf numFmtId="0" fontId="60" fillId="0" borderId="33" xfId="0" applyFont="1" applyBorder="1" applyAlignment="1">
      <alignment horizontal="center" vertical="center" wrapText="1"/>
    </xf>
    <xf numFmtId="0" fontId="60" fillId="0" borderId="34" xfId="0" applyFont="1" applyBorder="1" applyAlignment="1">
      <alignment horizontal="center" vertical="center" wrapText="1"/>
    </xf>
    <xf numFmtId="0" fontId="60" fillId="0" borderId="35" xfId="0" applyFont="1" applyBorder="1" applyAlignment="1">
      <alignment horizontal="center" vertical="center" wrapText="1"/>
    </xf>
    <xf numFmtId="0" fontId="60" fillId="0" borderId="36" xfId="0" applyFont="1" applyBorder="1" applyAlignment="1">
      <alignment horizontal="center" vertical="center" wrapText="1"/>
    </xf>
    <xf numFmtId="0" fontId="60" fillId="0" borderId="26" xfId="0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171" fontId="38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justify" vertical="top" wrapText="1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/>
    </xf>
    <xf numFmtId="171" fontId="3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center"/>
    </xf>
    <xf numFmtId="170" fontId="38" fillId="0" borderId="0" xfId="0" applyNumberFormat="1" applyFont="1" applyAlignment="1">
      <alignment horizontal="left" vertical="center"/>
    </xf>
    <xf numFmtId="2" fontId="33" fillId="0" borderId="34" xfId="0" applyNumberFormat="1" applyFont="1" applyBorder="1" applyAlignment="1">
      <alignment horizontal="center" vertical="center" wrapText="1"/>
    </xf>
    <xf numFmtId="2" fontId="33" fillId="0" borderId="26" xfId="0" applyNumberFormat="1" applyFont="1" applyBorder="1" applyAlignment="1">
      <alignment horizontal="center" vertical="center" wrapText="1"/>
    </xf>
    <xf numFmtId="166" fontId="33" fillId="0" borderId="26" xfId="0" applyNumberFormat="1" applyFont="1" applyBorder="1" applyAlignment="1">
      <alignment horizontal="right"/>
    </xf>
    <xf numFmtId="170" fontId="33" fillId="0" borderId="0" xfId="0" applyNumberFormat="1" applyFont="1" applyAlignment="1">
      <alignment horizontal="center"/>
    </xf>
    <xf numFmtId="167" fontId="33" fillId="0" borderId="0" xfId="0" applyNumberFormat="1" applyFont="1" applyAlignment="1">
      <alignment horizontal="left"/>
    </xf>
    <xf numFmtId="2" fontId="33" fillId="0" borderId="38" xfId="0" applyNumberFormat="1" applyFont="1" applyBorder="1" applyAlignment="1">
      <alignment horizontal="right" vertical="center"/>
    </xf>
    <xf numFmtId="2" fontId="33" fillId="0" borderId="39" xfId="0" applyNumberFormat="1" applyFont="1" applyBorder="1" applyAlignment="1">
      <alignment horizontal="right" vertical="center"/>
    </xf>
    <xf numFmtId="166" fontId="33" fillId="0" borderId="39" xfId="0" applyNumberFormat="1" applyFont="1" applyBorder="1" applyAlignment="1">
      <alignment horizontal="right"/>
    </xf>
    <xf numFmtId="2" fontId="33" fillId="0" borderId="39" xfId="0" applyNumberFormat="1" applyFont="1" applyBorder="1" applyAlignment="1">
      <alignment horizontal="center" vertical="center" wrapText="1"/>
    </xf>
    <xf numFmtId="2" fontId="33" fillId="0" borderId="33" xfId="0" applyNumberFormat="1" applyFont="1" applyBorder="1" applyAlignment="1">
      <alignment horizontal="right" vertical="center"/>
    </xf>
    <xf numFmtId="2" fontId="33" fillId="0" borderId="34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3" fillId="0" borderId="10" xfId="0" applyFont="1" applyBorder="1"/>
    <xf numFmtId="0" fontId="3" fillId="0" borderId="3" xfId="0" applyFont="1" applyBorder="1"/>
    <xf numFmtId="0" fontId="4" fillId="0" borderId="8" xfId="0" applyFont="1" applyBorder="1" applyAlignment="1">
      <alignment horizontal="center"/>
    </xf>
    <xf numFmtId="0" fontId="3" fillId="0" borderId="7" xfId="0" applyFont="1" applyBorder="1"/>
    <xf numFmtId="0" fontId="4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4" fillId="0" borderId="14" xfId="0" applyFont="1" applyBorder="1" applyAlignment="1">
      <alignment horizontal="left"/>
    </xf>
    <xf numFmtId="0" fontId="3" fillId="0" borderId="17" xfId="0" applyFont="1" applyBorder="1"/>
    <xf numFmtId="0" fontId="4" fillId="0" borderId="14" xfId="0" applyFont="1" applyBorder="1" applyAlignment="1">
      <alignment horizontal="center"/>
    </xf>
    <xf numFmtId="0" fontId="3" fillId="0" borderId="15" xfId="0" applyFont="1" applyBorder="1"/>
    <xf numFmtId="0" fontId="4" fillId="0" borderId="14" xfId="0" applyFont="1" applyBorder="1"/>
    <xf numFmtId="0" fontId="4" fillId="0" borderId="2" xfId="0" applyFont="1" applyBorder="1" applyAlignment="1">
      <alignment horizontal="center" vertical="center"/>
    </xf>
    <xf numFmtId="0" fontId="3" fillId="0" borderId="8" xfId="0" applyFont="1" applyBorder="1"/>
    <xf numFmtId="0" fontId="3" fillId="0" borderId="5" xfId="0" applyFont="1" applyBorder="1"/>
    <xf numFmtId="15" fontId="4" fillId="0" borderId="5" xfId="0" applyNumberFormat="1" applyFont="1" applyBorder="1" applyAlignment="1">
      <alignment horizontal="left"/>
    </xf>
    <xf numFmtId="0" fontId="3" fillId="0" borderId="16" xfId="0" applyFont="1" applyBorder="1"/>
    <xf numFmtId="0" fontId="4" fillId="0" borderId="32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1" fontId="4" fillId="0" borderId="1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3" fillId="0" borderId="19" xfId="0" applyFont="1" applyBorder="1"/>
    <xf numFmtId="0" fontId="3" fillId="0" borderId="9" xfId="0" applyFont="1" applyBorder="1"/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16" fillId="2" borderId="2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14" fillId="2" borderId="24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5" xfId="0" applyFont="1" applyBorder="1"/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/>
    </xf>
    <xf numFmtId="0" fontId="55" fillId="0" borderId="10" xfId="0" applyFont="1" applyBorder="1"/>
    <xf numFmtId="0" fontId="8" fillId="0" borderId="1" xfId="0" applyFont="1" applyBorder="1" applyAlignment="1">
      <alignment horizontal="center" vertical="center"/>
    </xf>
    <xf numFmtId="0" fontId="55" fillId="0" borderId="4" xfId="0" applyFont="1" applyBorder="1"/>
    <xf numFmtId="0" fontId="55" fillId="0" borderId="9" xfId="0" applyFont="1" applyBorder="1"/>
    <xf numFmtId="0" fontId="50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16">
    <cellStyle name="Normal" xfId="0" builtinId="0"/>
    <cellStyle name="Normal 10" xfId="10" xr:uid="{9B792E17-CE14-47A6-958C-37301CE02DD4}"/>
    <cellStyle name="Normal 11" xfId="11" xr:uid="{0CB3039A-BF5E-4972-8647-839D2E4AF5C5}"/>
    <cellStyle name="Normal 12" xfId="12" xr:uid="{6E574C68-699D-4AA6-A197-0B5725FC34C2}"/>
    <cellStyle name="Normal 13" xfId="13" xr:uid="{14506953-30C0-4D43-AAB0-AF3E0210ACB8}"/>
    <cellStyle name="Normal 14" xfId="14" xr:uid="{9C5488BF-19C7-4F32-B436-F1681397C6EE}"/>
    <cellStyle name="Normal 15" xfId="15" xr:uid="{B68220F0-AF3D-49CC-B34A-0850EA047619}"/>
    <cellStyle name="Normal 2" xfId="1" xr:uid="{5AEB184B-3EB5-4BC0-B41F-2C2C37356A99}"/>
    <cellStyle name="Normal 2 2" xfId="3" xr:uid="{67EA728D-13E6-4989-B06A-DFC5A51EB621}"/>
    <cellStyle name="Normal 3" xfId="2" xr:uid="{ACA925BE-FA6F-44B1-86DB-89D9881591C7}"/>
    <cellStyle name="Normal 4" xfId="4" xr:uid="{DD7355FA-66FF-4073-BF9F-471943F59A5E}"/>
    <cellStyle name="Normal 5" xfId="5" xr:uid="{AC1493BD-63E4-41FA-B378-7742E2C74FB0}"/>
    <cellStyle name="Normal 6" xfId="6" xr:uid="{C8F5B41E-73C4-4E95-835E-1BABF2D95817}"/>
    <cellStyle name="Normal 7" xfId="8" xr:uid="{2C72A09A-B6C2-4BED-85E8-B2AAFCCF7209}"/>
    <cellStyle name="Normal 8" xfId="7" xr:uid="{8FC750C4-10AA-4A8B-8B62-E9596412EE49}"/>
    <cellStyle name="Normal 9" xfId="9" xr:uid="{ECB5E46D-9FF0-47FD-B417-893CCF70A430}"/>
  </cellStyles>
  <dxfs count="11">
    <dxf>
      <fill>
        <patternFill patternType="solid">
          <fgColor rgb="FF7F7F7F"/>
          <bgColor rgb="FF7F7F7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9524</xdr:colOff>
      <xdr:row>39</xdr:row>
      <xdr:rowOff>142874</xdr:rowOff>
    </xdr:from>
    <xdr:to>
      <xdr:col>9</xdr:col>
      <xdr:colOff>217274</xdr:colOff>
      <xdr:row>43</xdr:row>
      <xdr:rowOff>55349</xdr:rowOff>
    </xdr:to>
    <xdr:pic>
      <xdr:nvPicPr>
        <xdr:cNvPr id="3" name="Picture 2" descr="https://salam.bblm.go.id/upload/tte/qrcode/6916bcbba1760">
          <a:extLst>
            <a:ext uri="{FF2B5EF4-FFF2-40B4-BE49-F238E27FC236}">
              <a16:creationId xmlns:a16="http://schemas.microsoft.com/office/drawing/2014/main" id="{08D33A50-137C-4839-950E-9DF7CD2B5B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49" y="8820149"/>
          <a:ext cx="684000" cy="68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9525</xdr:colOff>
      <xdr:row>83</xdr:row>
      <xdr:rowOff>9525</xdr:rowOff>
    </xdr:from>
    <xdr:ext cx="2377509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695FED1-1BAA-4F75-81C1-820FA0FDD1DD}"/>
                </a:ext>
              </a:extLst>
            </xdr:cNvPr>
            <xdr:cNvSpPr txBox="1"/>
          </xdr:nvSpPr>
          <xdr:spPr>
            <a:xfrm>
              <a:off x="1504950" y="17745075"/>
              <a:ext cx="2377509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ID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d>
                      <m:d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−100</m:t>
                            </m:r>
                          </m:e>
                        </m:d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ID" sz="1100">
                <a:latin typeface="Bookman Old Style" panose="02050604050505020204" pitchFamily="18" charset="0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695FED1-1BAA-4F75-81C1-820FA0FDD1DD}"/>
                </a:ext>
              </a:extLst>
            </xdr:cNvPr>
            <xdr:cNvSpPr txBox="1"/>
          </xdr:nvSpPr>
          <xdr:spPr>
            <a:xfrm>
              <a:off x="1504950" y="17745075"/>
              <a:ext cx="2377509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en-ID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r>
                <a:rPr lang="en-ID" sz="1100" b="0" i="0">
                  <a:latin typeface="Cambria Math" panose="02040503050406030204" pitchFamily="18" charset="0"/>
                </a:rPr>
                <a:t> </a:t>
              </a:r>
              <a:r>
                <a:rPr lang="en-ID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1+𝐴𝑡+〖𝐵𝑡〗^2+𝐶(𝑡−100) 𝑡^3 )</a:t>
              </a:r>
              <a:endParaRPr lang="en-ID" sz="1100">
                <a:latin typeface="Bookman Old Style" panose="02050604050505020204" pitchFamily="18" charset="0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19050</xdr:rowOff>
    </xdr:from>
    <xdr:ext cx="1200150" cy="457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209550"/>
          <a:ext cx="1200150" cy="4572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95250</xdr:rowOff>
    </xdr:from>
    <xdr:ext cx="2028825" cy="638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39</xdr:row>
      <xdr:rowOff>8170</xdr:rowOff>
    </xdr:from>
    <xdr:to>
      <xdr:col>18</xdr:col>
      <xdr:colOff>256723</xdr:colOff>
      <xdr:row>76</xdr:row>
      <xdr:rowOff>10186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A00F95-8C5B-EFBB-811F-276F34926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59491"/>
          <a:ext cx="13095062" cy="75539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6991350" cy="714375"/>
    <xdr:pic>
      <xdr:nvPicPr>
        <xdr:cNvPr id="2" name="image2.jpg" descr="LK BBLM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257175</xdr:colOff>
      <xdr:row>11</xdr:row>
      <xdr:rowOff>85725</xdr:rowOff>
    </xdr:from>
    <xdr:to>
      <xdr:col>16</xdr:col>
      <xdr:colOff>342900</xdr:colOff>
      <xdr:row>15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D26284-5E18-82DA-7566-6D8BCB802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866900"/>
          <a:ext cx="684847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104775</xdr:rowOff>
    </xdr:from>
    <xdr:ext cx="7353300" cy="10458450"/>
    <xdr:pic>
      <xdr:nvPicPr>
        <xdr:cNvPr id="2" name="image15.png">
          <a:extLst>
            <a:ext uri="{FF2B5EF4-FFF2-40B4-BE49-F238E27FC236}">
              <a16:creationId xmlns:a16="http://schemas.microsoft.com/office/drawing/2014/main" id="{6E3ED7B7-6438-46FC-A12F-67ADB7F12D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29050"/>
          <a:ext cx="7353300" cy="104584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457200</xdr:colOff>
      <xdr:row>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BC864-1EB5-4E54-B7F0-A2B1363F6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0" cy="152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343525" cy="8334375"/>
    <xdr:pic>
      <xdr:nvPicPr>
        <xdr:cNvPr id="2" name="image2.png">
          <a:extLst>
            <a:ext uri="{FF2B5EF4-FFF2-40B4-BE49-F238E27FC236}">
              <a16:creationId xmlns:a16="http://schemas.microsoft.com/office/drawing/2014/main" id="{F925613F-8885-4C4C-AFF9-588272BF4B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343525" cy="83343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5343525" cy="8315325"/>
    <xdr:pic>
      <xdr:nvPicPr>
        <xdr:cNvPr id="3" name="image3.png">
          <a:extLst>
            <a:ext uri="{FF2B5EF4-FFF2-40B4-BE49-F238E27FC236}">
              <a16:creationId xmlns:a16="http://schemas.microsoft.com/office/drawing/2014/main" id="{93AE545A-C247-4243-925C-C3EE2E3336F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86400" y="0"/>
          <a:ext cx="5343525" cy="831532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5286375" cy="8324850"/>
    <xdr:pic>
      <xdr:nvPicPr>
        <xdr:cNvPr id="4" name="image4.png">
          <a:extLst>
            <a:ext uri="{FF2B5EF4-FFF2-40B4-BE49-F238E27FC236}">
              <a16:creationId xmlns:a16="http://schemas.microsoft.com/office/drawing/2014/main" id="{4AD7E879-FC28-4E2F-83EE-8F95A2C9AE4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72800" y="0"/>
          <a:ext cx="5286375" cy="8324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5305425" cy="8286750"/>
    <xdr:pic>
      <xdr:nvPicPr>
        <xdr:cNvPr id="5" name="image5.png">
          <a:extLst>
            <a:ext uri="{FF2B5EF4-FFF2-40B4-BE49-F238E27FC236}">
              <a16:creationId xmlns:a16="http://schemas.microsoft.com/office/drawing/2014/main" id="{DAACCA6A-4065-4EB5-BF92-456CACA8E27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8572500"/>
          <a:ext cx="5305425" cy="82867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28575</xdr:rowOff>
    </xdr:from>
    <xdr:ext cx="5305425" cy="8296275"/>
    <xdr:pic>
      <xdr:nvPicPr>
        <xdr:cNvPr id="6" name="image6.png">
          <a:extLst>
            <a:ext uri="{FF2B5EF4-FFF2-40B4-BE49-F238E27FC236}">
              <a16:creationId xmlns:a16="http://schemas.microsoft.com/office/drawing/2014/main" id="{2987CD31-8209-4884-9C90-A5E5A2A6BD9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86400" y="8601075"/>
          <a:ext cx="5305425" cy="829627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45</xdr:row>
      <xdr:rowOff>0</xdr:rowOff>
    </xdr:from>
    <xdr:ext cx="5248275" cy="8248650"/>
    <xdr:pic>
      <xdr:nvPicPr>
        <xdr:cNvPr id="7" name="image7.png">
          <a:extLst>
            <a:ext uri="{FF2B5EF4-FFF2-40B4-BE49-F238E27FC236}">
              <a16:creationId xmlns:a16="http://schemas.microsoft.com/office/drawing/2014/main" id="{84BCC873-F625-469F-92EF-3CD54844C47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972800" y="8572500"/>
          <a:ext cx="5248275" cy="82486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8CD7F-7664-450D-95A8-444A142CA3DB}" name="Table1" displayName="Table1" ref="A2:H532" totalsRowShown="0" headerRowDxfId="10" dataDxfId="9">
  <autoFilter ref="A2:H532" xr:uid="{D198CD7F-7664-450D-95A8-444A142CA3DB}"/>
  <tableColumns count="8">
    <tableColumn id="1" xr3:uid="{AF257F6B-A4BF-4259-9C1A-FC70B8BE951C}" name="Suhu " dataDxfId="8"/>
    <tableColumn id="2" xr3:uid="{33CC43B3-D743-49D9-B4E8-FB52877B3A28}" name="Resistansi 2024" dataDxfId="7"/>
    <tableColumn id="3" xr3:uid="{0F16124D-C71D-40BE-A90A-2F87E597F46F}" name="Resistansi 2021" dataDxfId="6">
      <calculatedColumnFormula>99.97775*(1+0.00398405*A3-5.865*0.0000001*A3^2)</calculatedColumnFormula>
    </tableColumn>
    <tableColumn id="4" xr3:uid="{33E39CF3-1B19-4C79-AC4E-597FF4B7099F}" name="Resistansi 1999" dataDxfId="5"/>
    <tableColumn id="5" xr3:uid="{1B0FD4DA-6276-4C9F-A702-3499FD465988}" name="Kalkulasi Drift 1" dataDxfId="4">
      <calculatedColumnFormula>ABS(B3-C3)/(B$1-C$1)</calculatedColumnFormula>
    </tableColumn>
    <tableColumn id="6" xr3:uid="{37CED781-7873-40BB-874D-0A076E9E6B39}" name="Kalkulasi Drift 2" dataDxfId="3">
      <calculatedColumnFormula>ABS(C3-D3)/(C$1-D$1)</calculatedColumnFormula>
    </tableColumn>
    <tableColumn id="7" xr3:uid="{319EED1C-D9F2-41DA-BACB-0A73A8482509}" name="drift dalam ohm" dataDxfId="2"/>
    <tableColumn id="8" xr3:uid="{1872E8CE-6D95-47D1-B7A7-C7C0C7E06DEC}" name="Koefisien Sensitivitas (CI)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7F6D-1751-4E16-8C62-23FFCAE9D277}">
  <dimension ref="A1:AA1001"/>
  <sheetViews>
    <sheetView view="pageLayout" topLeftCell="A53" zoomScaleNormal="100" workbookViewId="0">
      <selection activeCell="C89" sqref="C89"/>
    </sheetView>
  </sheetViews>
  <sheetFormatPr defaultColWidth="14.44140625" defaultRowHeight="14.4" x14ac:dyDescent="0.3"/>
  <cols>
    <col min="1" max="1" width="12.5546875" customWidth="1"/>
    <col min="2" max="29" width="3.33203125" customWidth="1"/>
  </cols>
  <sheetData>
    <row r="1" spans="1:27" ht="93.75" customHeight="1" x14ac:dyDescent="0.3"/>
    <row r="2" spans="1:27" ht="25.2" x14ac:dyDescent="0.45">
      <c r="A2" s="151"/>
      <c r="B2" s="375" t="s">
        <v>152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152"/>
    </row>
    <row r="3" spans="1:27" ht="20.399999999999999" x14ac:dyDescent="0.35">
      <c r="A3" s="152"/>
      <c r="B3" s="376" t="s">
        <v>153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152"/>
    </row>
    <row r="4" spans="1:27" x14ac:dyDescent="0.3">
      <c r="A4" s="152"/>
      <c r="B4" s="152"/>
      <c r="C4" s="152"/>
      <c r="D4" s="152"/>
      <c r="E4" s="152"/>
      <c r="F4" s="152"/>
      <c r="G4" s="153" t="s">
        <v>154</v>
      </c>
      <c r="H4" s="154" t="s">
        <v>155</v>
      </c>
      <c r="I4" s="152"/>
      <c r="J4" s="152"/>
      <c r="K4" s="155" t="s">
        <v>16</v>
      </c>
      <c r="L4" s="152"/>
      <c r="M4" s="152"/>
      <c r="N4" s="285" t="s">
        <v>249</v>
      </c>
      <c r="O4" s="156" t="str">
        <f>CONCATENATE("/KALIBRASI BBLM/",ROMAN(TEXT(T37,"m")),"/",TEXT(T37,"yyyy"))</f>
        <v>/KALIBRASI BBLM/XI/2025</v>
      </c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spans="1:27" x14ac:dyDescent="0.3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</row>
    <row r="6" spans="1:27" ht="15" customHeight="1" x14ac:dyDescent="0.3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7"/>
      <c r="R6" s="152"/>
      <c r="S6" s="152"/>
      <c r="T6" s="152"/>
      <c r="U6" s="152"/>
      <c r="V6" s="152"/>
      <c r="W6" s="152"/>
      <c r="X6" s="152"/>
      <c r="Y6" s="152"/>
      <c r="Z6" s="152"/>
      <c r="AA6" s="152"/>
    </row>
    <row r="7" spans="1:27" ht="15" customHeight="1" x14ac:dyDescent="0.3">
      <c r="A7" s="152"/>
      <c r="B7" s="158" t="s">
        <v>156</v>
      </c>
      <c r="C7" s="152"/>
      <c r="D7" s="158"/>
      <c r="E7" s="158"/>
      <c r="F7" s="152"/>
      <c r="G7" s="152"/>
      <c r="H7" s="152"/>
      <c r="I7" s="152"/>
      <c r="J7" s="152"/>
      <c r="K7" s="152"/>
      <c r="L7" s="152"/>
      <c r="M7" s="152"/>
      <c r="N7" s="159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</row>
    <row r="8" spans="1:27" x14ac:dyDescent="0.3">
      <c r="A8" s="152"/>
      <c r="B8" s="160" t="s">
        <v>157</v>
      </c>
      <c r="C8" s="152"/>
      <c r="D8" s="160"/>
      <c r="E8" s="160"/>
      <c r="F8" s="152"/>
      <c r="G8" s="152"/>
      <c r="H8" s="152"/>
      <c r="I8" s="152"/>
      <c r="J8" s="152"/>
      <c r="K8" s="152"/>
      <c r="L8" s="152"/>
      <c r="M8" s="152"/>
      <c r="N8" s="159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</row>
    <row r="9" spans="1:27" x14ac:dyDescent="0.3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9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</row>
    <row r="10" spans="1:27" ht="15" customHeight="1" x14ac:dyDescent="0.3">
      <c r="A10" s="152"/>
      <c r="B10" s="344" t="s">
        <v>1</v>
      </c>
      <c r="C10" s="345"/>
      <c r="D10" s="345"/>
      <c r="E10" s="345"/>
      <c r="F10" s="345"/>
      <c r="G10" s="345"/>
      <c r="H10" s="152" t="str">
        <f>'Data Mentah PT100'!F2</f>
        <v>PT100</v>
      </c>
      <c r="I10" s="152"/>
      <c r="J10" s="152"/>
      <c r="K10" s="152"/>
      <c r="L10" s="156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</row>
    <row r="11" spans="1:27" ht="15" customHeight="1" x14ac:dyDescent="0.3">
      <c r="A11" s="152"/>
      <c r="B11" s="162" t="s">
        <v>158</v>
      </c>
      <c r="C11" s="163"/>
      <c r="D11" s="152"/>
      <c r="E11" s="152"/>
      <c r="F11" s="152"/>
      <c r="G11" s="152"/>
      <c r="H11" s="152"/>
      <c r="I11" s="152"/>
      <c r="J11" s="152"/>
      <c r="K11" s="152"/>
      <c r="L11" s="156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</row>
    <row r="12" spans="1:27" ht="15" customHeight="1" x14ac:dyDescent="0.3">
      <c r="A12" s="152"/>
      <c r="B12" s="344" t="s">
        <v>159</v>
      </c>
      <c r="C12" s="345"/>
      <c r="D12" s="345"/>
      <c r="E12" s="345"/>
      <c r="F12" s="345"/>
      <c r="G12" s="345"/>
      <c r="H12" s="152" t="str">
        <f>'Data Mentah PT100'!C7</f>
        <v>-</v>
      </c>
      <c r="I12" s="152"/>
      <c r="J12" s="152"/>
      <c r="K12" s="152"/>
      <c r="L12" s="156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</row>
    <row r="13" spans="1:27" ht="15" customHeight="1" x14ac:dyDescent="0.3">
      <c r="A13" s="152"/>
      <c r="B13" s="162" t="s">
        <v>160</v>
      </c>
      <c r="C13" s="163"/>
      <c r="D13" s="152"/>
      <c r="E13" s="152"/>
      <c r="F13" s="152"/>
      <c r="G13" s="152"/>
      <c r="H13" s="152"/>
      <c r="I13" s="152"/>
      <c r="J13" s="152"/>
      <c r="K13" s="152"/>
      <c r="L13" s="156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4" spans="1:27" ht="15" customHeight="1" x14ac:dyDescent="0.3">
      <c r="A14" s="152"/>
      <c r="B14" s="344" t="s">
        <v>17</v>
      </c>
      <c r="C14" s="345"/>
      <c r="D14" s="345"/>
      <c r="E14" s="345"/>
      <c r="F14" s="345"/>
      <c r="G14" s="345"/>
      <c r="H14" s="152" t="str">
        <f>'Data Mentah PT100'!G7</f>
        <v>-</v>
      </c>
      <c r="I14" s="152"/>
      <c r="J14" s="152"/>
      <c r="K14" s="152"/>
      <c r="L14" s="156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</row>
    <row r="15" spans="1:27" ht="15" customHeight="1" x14ac:dyDescent="0.3">
      <c r="A15" s="152"/>
      <c r="B15" s="162" t="s">
        <v>161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6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</row>
    <row r="16" spans="1:27" ht="15" customHeight="1" x14ac:dyDescent="0.3">
      <c r="A16" s="152"/>
      <c r="B16" s="344" t="s">
        <v>162</v>
      </c>
      <c r="C16" s="345"/>
      <c r="D16" s="345"/>
      <c r="E16" s="345"/>
      <c r="F16" s="345"/>
      <c r="G16" s="345"/>
      <c r="H16" s="152" t="str">
        <f>'Data Mentah PT100'!F9</f>
        <v>162/CBM/LABI/25</v>
      </c>
      <c r="I16" s="152"/>
      <c r="J16" s="152"/>
      <c r="K16" s="152"/>
      <c r="L16" s="164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</row>
    <row r="17" spans="1:27" ht="15" customHeight="1" x14ac:dyDescent="0.3">
      <c r="A17" s="152"/>
      <c r="B17" s="162" t="s">
        <v>163</v>
      </c>
      <c r="C17" s="163"/>
      <c r="D17" s="152"/>
      <c r="E17" s="152"/>
      <c r="F17" s="152"/>
      <c r="G17" s="152"/>
      <c r="H17" s="152"/>
      <c r="I17" s="152"/>
      <c r="J17" s="152"/>
      <c r="K17" s="152"/>
      <c r="L17" s="165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</row>
    <row r="18" spans="1:27" ht="15" customHeight="1" x14ac:dyDescent="0.3">
      <c r="A18" s="152"/>
      <c r="B18" s="344" t="s">
        <v>164</v>
      </c>
      <c r="C18" s="345"/>
      <c r="D18" s="345"/>
      <c r="E18" s="345"/>
      <c r="F18" s="345"/>
      <c r="G18" s="345"/>
      <c r="H18" s="348" t="str">
        <f>'Data Mentah PT100'!C9</f>
        <v>-</v>
      </c>
      <c r="I18" s="348"/>
      <c r="J18" s="152"/>
      <c r="K18" s="152"/>
      <c r="L18" s="165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</row>
    <row r="19" spans="1:27" ht="15" customHeight="1" x14ac:dyDescent="0.3">
      <c r="A19" s="152"/>
      <c r="B19" s="162" t="s">
        <v>165</v>
      </c>
      <c r="C19" s="163"/>
      <c r="D19" s="156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</row>
    <row r="20" spans="1:27" ht="15" customHeight="1" x14ac:dyDescent="0.3">
      <c r="A20" s="152"/>
      <c r="B20" s="344" t="s">
        <v>166</v>
      </c>
      <c r="C20" s="345"/>
      <c r="D20" s="345"/>
      <c r="E20" s="345"/>
      <c r="F20" s="345"/>
      <c r="G20" s="345"/>
      <c r="H20" s="347" t="s">
        <v>167</v>
      </c>
      <c r="I20" s="345"/>
      <c r="J20" s="345"/>
      <c r="K20" s="345"/>
      <c r="L20" s="345"/>
      <c r="M20" s="152" t="str">
        <f>CONCATENATE('Data Mentah PT100'!C8," ",'Data Mentah PT100'!D8)</f>
        <v>500 °C</v>
      </c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</row>
    <row r="21" spans="1:27" ht="15" customHeight="1" x14ac:dyDescent="0.3">
      <c r="A21" s="152"/>
      <c r="B21" s="162" t="s">
        <v>168</v>
      </c>
      <c r="C21" s="152"/>
      <c r="D21" s="156"/>
      <c r="E21" s="152"/>
      <c r="F21" s="152"/>
      <c r="G21" s="152"/>
      <c r="H21" s="347"/>
      <c r="I21" s="345"/>
      <c r="J21" s="345"/>
      <c r="K21" s="345"/>
      <c r="L21" s="345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</row>
    <row r="22" spans="1:27" ht="15" customHeight="1" x14ac:dyDescent="0.3">
      <c r="A22" s="152"/>
      <c r="B22" s="162"/>
      <c r="C22" s="152"/>
      <c r="D22" s="156"/>
      <c r="E22" s="152"/>
      <c r="F22" s="152"/>
      <c r="G22" s="152"/>
      <c r="H22" s="166"/>
      <c r="I22" s="166"/>
      <c r="J22" s="166"/>
      <c r="K22" s="166"/>
      <c r="L22" s="166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</row>
    <row r="23" spans="1:27" ht="15.75" customHeight="1" x14ac:dyDescent="0.3">
      <c r="A23" s="152"/>
      <c r="B23" s="152"/>
      <c r="C23" s="167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</row>
    <row r="24" spans="1:27" ht="15" customHeight="1" x14ac:dyDescent="0.3">
      <c r="A24" s="152"/>
      <c r="B24" s="158" t="s">
        <v>169</v>
      </c>
      <c r="C24" s="158"/>
      <c r="D24" s="158"/>
      <c r="E24" s="168"/>
      <c r="F24" s="168"/>
      <c r="G24" s="168"/>
      <c r="H24" s="168"/>
      <c r="I24" s="168"/>
      <c r="J24" s="168"/>
      <c r="K24" s="168"/>
      <c r="L24" s="168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</row>
    <row r="25" spans="1:27" ht="15" customHeight="1" x14ac:dyDescent="0.3">
      <c r="A25" s="152"/>
      <c r="B25" s="160" t="s">
        <v>170</v>
      </c>
      <c r="C25" s="160"/>
      <c r="D25" s="160"/>
      <c r="E25" s="169"/>
      <c r="F25" s="169"/>
      <c r="G25" s="169"/>
      <c r="H25" s="169"/>
      <c r="I25" s="169"/>
      <c r="J25" s="169"/>
      <c r="K25" s="169"/>
      <c r="L25" s="169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</row>
    <row r="26" spans="1:27" ht="15.75" customHeight="1" x14ac:dyDescent="0.3">
      <c r="A26" s="152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 spans="1:27" ht="15" customHeight="1" x14ac:dyDescent="0.3">
      <c r="A27" s="152"/>
      <c r="B27" s="344" t="s">
        <v>171</v>
      </c>
      <c r="C27" s="345"/>
      <c r="D27" s="345"/>
      <c r="E27" s="345"/>
      <c r="F27" s="345"/>
      <c r="G27" s="345"/>
      <c r="H27" s="377" t="s">
        <v>250</v>
      </c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  <c r="AA27" s="377"/>
    </row>
    <row r="28" spans="1:27" ht="15" customHeight="1" x14ac:dyDescent="0.3">
      <c r="A28" s="152"/>
      <c r="B28" s="162" t="s">
        <v>172</v>
      </c>
      <c r="C28" s="161"/>
      <c r="D28" s="161"/>
      <c r="E28" s="161"/>
      <c r="F28" s="161"/>
      <c r="G28" s="161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  <c r="AA28" s="377"/>
    </row>
    <row r="29" spans="1:27" ht="15" customHeight="1" x14ac:dyDescent="0.3">
      <c r="A29" s="152"/>
      <c r="B29" s="344" t="s">
        <v>173</v>
      </c>
      <c r="C29" s="345"/>
      <c r="D29" s="345"/>
      <c r="E29" s="345"/>
      <c r="F29" s="345"/>
      <c r="G29" s="345"/>
      <c r="H29" s="378" t="s">
        <v>248</v>
      </c>
      <c r="I29" s="378"/>
      <c r="J29" s="378"/>
      <c r="K29" s="378"/>
      <c r="L29" s="378"/>
      <c r="M29" s="378"/>
      <c r="N29" s="378"/>
      <c r="O29" s="378"/>
      <c r="P29" s="378"/>
      <c r="Q29" s="378"/>
      <c r="R29" s="378"/>
      <c r="S29" s="378"/>
      <c r="T29" s="378"/>
      <c r="U29" s="378"/>
      <c r="V29" s="378"/>
      <c r="W29" s="378"/>
      <c r="X29" s="378"/>
      <c r="Y29" s="378"/>
      <c r="Z29" s="378"/>
      <c r="AA29" s="378"/>
    </row>
    <row r="30" spans="1:27" ht="15" customHeight="1" x14ac:dyDescent="0.3">
      <c r="A30" s="152"/>
      <c r="B30" s="162" t="s">
        <v>174</v>
      </c>
      <c r="C30" s="152"/>
      <c r="D30" s="156"/>
      <c r="E30" s="152"/>
      <c r="F30" s="152"/>
      <c r="G30" s="170"/>
      <c r="H30" s="378"/>
      <c r="I30" s="378"/>
      <c r="J30" s="378"/>
      <c r="K30" s="378"/>
      <c r="L30" s="378"/>
      <c r="M30" s="378"/>
      <c r="N30" s="378"/>
      <c r="O30" s="378"/>
      <c r="P30" s="378"/>
      <c r="Q30" s="378"/>
      <c r="R30" s="378"/>
      <c r="S30" s="378"/>
      <c r="T30" s="378"/>
      <c r="U30" s="378"/>
      <c r="V30" s="378"/>
      <c r="W30" s="378"/>
      <c r="X30" s="378"/>
      <c r="Y30" s="378"/>
      <c r="Z30" s="378"/>
      <c r="AA30" s="378"/>
    </row>
    <row r="31" spans="1:27" ht="15" customHeight="1" x14ac:dyDescent="0.3">
      <c r="A31" s="163"/>
      <c r="B31" s="152"/>
      <c r="C31" s="156"/>
      <c r="D31" s="152"/>
      <c r="E31" s="152"/>
      <c r="F31" s="170"/>
      <c r="G31" s="170"/>
      <c r="H31" s="378"/>
      <c r="I31" s="378"/>
      <c r="J31" s="378"/>
      <c r="K31" s="378"/>
      <c r="L31" s="378"/>
      <c r="M31" s="378"/>
      <c r="N31" s="378"/>
      <c r="O31" s="378"/>
      <c r="P31" s="378"/>
      <c r="Q31" s="378"/>
      <c r="R31" s="378"/>
      <c r="S31" s="378"/>
      <c r="T31" s="378"/>
      <c r="U31" s="378"/>
      <c r="V31" s="378"/>
      <c r="W31" s="378"/>
      <c r="X31" s="378"/>
      <c r="Y31" s="378"/>
      <c r="Z31" s="378"/>
      <c r="AA31" s="378"/>
    </row>
    <row r="32" spans="1:27" ht="15" customHeight="1" x14ac:dyDescent="0.3">
      <c r="A32" s="163"/>
      <c r="B32" s="152"/>
      <c r="C32" s="156"/>
      <c r="D32" s="152"/>
      <c r="E32" s="152"/>
      <c r="F32" s="170"/>
      <c r="G32" s="170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</row>
    <row r="33" spans="1:27" ht="15.75" customHeight="1" x14ac:dyDescent="0.3">
      <c r="A33" s="152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</row>
    <row r="34" spans="1:27" ht="15" customHeight="1" x14ac:dyDescent="0.3">
      <c r="A34" s="152"/>
      <c r="B34" s="159"/>
      <c r="C34" s="159"/>
      <c r="D34" s="159"/>
      <c r="E34" s="159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71" t="s">
        <v>175</v>
      </c>
      <c r="Q34" s="172">
        <v>1</v>
      </c>
      <c r="R34" s="379" t="s">
        <v>176</v>
      </c>
      <c r="S34" s="345"/>
      <c r="T34" s="172">
        <v>2</v>
      </c>
      <c r="U34" s="173" t="s">
        <v>177</v>
      </c>
      <c r="V34" s="152"/>
      <c r="W34" s="152"/>
      <c r="X34" s="152"/>
      <c r="Y34" s="152"/>
      <c r="Z34" s="152"/>
      <c r="AA34" s="152"/>
    </row>
    <row r="35" spans="1:27" ht="15" customHeight="1" x14ac:dyDescent="0.3">
      <c r="A35" s="152"/>
      <c r="B35" s="159"/>
      <c r="C35" s="159"/>
      <c r="D35" s="159"/>
      <c r="E35" s="159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74" t="s">
        <v>178</v>
      </c>
      <c r="Q35" s="175"/>
      <c r="R35" s="380" t="s">
        <v>179</v>
      </c>
      <c r="S35" s="345"/>
      <c r="T35" s="175"/>
      <c r="U35" s="176" t="s">
        <v>180</v>
      </c>
      <c r="V35" s="175"/>
      <c r="W35" s="152"/>
      <c r="X35" s="152"/>
      <c r="Y35" s="152"/>
      <c r="Z35" s="152"/>
      <c r="AA35" s="152"/>
    </row>
    <row r="36" spans="1:27" ht="15.75" customHeight="1" x14ac:dyDescent="0.3">
      <c r="A36" s="152"/>
      <c r="B36" s="159"/>
      <c r="C36" s="159"/>
      <c r="D36" s="159"/>
      <c r="E36" s="159"/>
      <c r="F36" s="152"/>
      <c r="G36" s="152"/>
      <c r="H36" s="152"/>
      <c r="I36" s="152"/>
      <c r="J36" s="152"/>
      <c r="K36" s="152"/>
      <c r="L36" s="152"/>
      <c r="M36" s="152"/>
      <c r="N36" s="159"/>
      <c r="O36" s="159"/>
      <c r="P36" s="159"/>
      <c r="Q36" s="159"/>
      <c r="R36" s="159"/>
      <c r="S36" s="159"/>
      <c r="T36" s="152"/>
      <c r="U36" s="152"/>
      <c r="V36" s="152"/>
      <c r="W36" s="152"/>
      <c r="X36" s="152"/>
      <c r="Y36" s="152"/>
      <c r="Z36" s="152"/>
      <c r="AA36" s="152"/>
    </row>
    <row r="37" spans="1:27" ht="15" customHeight="1" x14ac:dyDescent="0.3">
      <c r="A37" s="152"/>
      <c r="B37" s="159"/>
      <c r="C37" s="159"/>
      <c r="D37" s="159"/>
      <c r="E37" s="159"/>
      <c r="F37" s="152"/>
      <c r="G37" s="152"/>
      <c r="H37" s="152"/>
      <c r="I37" s="152"/>
      <c r="J37" s="152"/>
      <c r="K37" s="152"/>
      <c r="L37" s="152"/>
      <c r="M37" s="152"/>
      <c r="N37" s="152"/>
      <c r="O37" s="159"/>
      <c r="P37" s="173"/>
      <c r="Q37" s="152"/>
      <c r="R37" s="152"/>
      <c r="S37" s="171" t="s">
        <v>181</v>
      </c>
      <c r="T37" s="381">
        <v>45988</v>
      </c>
      <c r="U37" s="345"/>
      <c r="V37" s="345"/>
      <c r="W37" s="345"/>
      <c r="X37" s="345"/>
      <c r="Y37" s="345"/>
      <c r="Z37" s="152"/>
      <c r="AA37" s="152"/>
    </row>
    <row r="38" spans="1:27" ht="15" customHeight="1" x14ac:dyDescent="0.3">
      <c r="A38" s="152"/>
      <c r="B38" s="159"/>
      <c r="C38" s="159"/>
      <c r="D38" s="159"/>
      <c r="E38" s="159"/>
      <c r="F38" s="152"/>
      <c r="G38" s="152"/>
      <c r="H38" s="152"/>
      <c r="I38" s="152"/>
      <c r="J38" s="152"/>
      <c r="K38" s="152"/>
      <c r="L38" s="170"/>
      <c r="M38" s="170"/>
      <c r="N38" s="170"/>
      <c r="O38" s="152"/>
      <c r="Q38" s="152"/>
      <c r="R38" s="170"/>
      <c r="S38" s="250" t="s">
        <v>182</v>
      </c>
      <c r="T38" s="152"/>
      <c r="U38" s="152"/>
      <c r="V38" s="152"/>
      <c r="W38" s="152"/>
      <c r="X38" s="152"/>
      <c r="Y38" s="152"/>
      <c r="Z38" s="152"/>
      <c r="AA38" s="152"/>
    </row>
    <row r="39" spans="1:27" ht="15" customHeight="1" x14ac:dyDescent="0.3">
      <c r="A39" s="152"/>
      <c r="B39" s="159"/>
      <c r="C39" s="159"/>
      <c r="D39" s="159"/>
      <c r="E39" s="159"/>
      <c r="F39" s="152"/>
      <c r="G39" s="152"/>
      <c r="H39" s="152"/>
      <c r="I39" s="152"/>
      <c r="J39" s="152"/>
      <c r="K39" s="152"/>
      <c r="L39" s="152"/>
      <c r="M39" s="152"/>
      <c r="N39" s="177"/>
      <c r="O39" s="178"/>
      <c r="P39" s="178"/>
      <c r="Q39" s="178"/>
      <c r="R39" s="178"/>
      <c r="S39" s="178"/>
      <c r="T39" s="152"/>
      <c r="U39" s="152"/>
      <c r="V39" s="152"/>
      <c r="W39" s="152"/>
      <c r="X39" s="152"/>
      <c r="Y39" s="152"/>
      <c r="Z39" s="152"/>
      <c r="AA39" s="152"/>
    </row>
    <row r="40" spans="1:27" ht="15.75" customHeight="1" x14ac:dyDescent="0.3">
      <c r="A40" s="152"/>
      <c r="B40" s="159"/>
      <c r="C40" s="159"/>
      <c r="D40" s="159"/>
      <c r="E40" s="159"/>
      <c r="F40" s="159"/>
      <c r="G40" s="159"/>
      <c r="H40" s="152"/>
      <c r="I40" s="152"/>
      <c r="J40" s="152"/>
      <c r="K40" s="152"/>
      <c r="L40" s="159"/>
      <c r="M40" s="159"/>
      <c r="N40" s="159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</row>
    <row r="41" spans="1:27" ht="15" customHeight="1" x14ac:dyDescent="0.3">
      <c r="A41" s="152"/>
      <c r="B41" s="152"/>
      <c r="C41" s="159"/>
      <c r="D41" s="159"/>
      <c r="E41" s="157"/>
      <c r="F41" s="6"/>
      <c r="I41" s="152"/>
      <c r="J41" s="152"/>
      <c r="M41" s="157"/>
      <c r="N41" s="157" t="s">
        <v>269</v>
      </c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2"/>
    </row>
    <row r="42" spans="1:27" ht="15" customHeight="1" x14ac:dyDescent="0.3">
      <c r="A42" s="152"/>
      <c r="B42" s="159"/>
      <c r="C42" s="159"/>
      <c r="D42" s="159"/>
      <c r="E42" s="152"/>
      <c r="F42" s="179"/>
      <c r="G42" s="152"/>
      <c r="H42" s="152"/>
      <c r="J42" s="152"/>
      <c r="M42" s="287"/>
      <c r="N42" s="286" t="s">
        <v>270</v>
      </c>
      <c r="O42" s="287"/>
      <c r="P42" s="287"/>
      <c r="Q42" s="287"/>
      <c r="R42" s="158"/>
      <c r="S42" s="158"/>
      <c r="T42" s="158"/>
      <c r="U42" s="158"/>
      <c r="V42" s="158"/>
      <c r="W42" s="158"/>
      <c r="X42" s="158"/>
      <c r="Y42" s="158"/>
      <c r="Z42" s="152"/>
      <c r="AA42" s="152"/>
    </row>
    <row r="43" spans="1:27" ht="15" customHeight="1" x14ac:dyDescent="0.3">
      <c r="A43" s="152"/>
      <c r="B43" s="159"/>
      <c r="C43" s="159"/>
      <c r="D43" s="159"/>
      <c r="E43" s="152"/>
      <c r="F43" s="172"/>
      <c r="G43" s="152"/>
      <c r="H43" s="152"/>
      <c r="I43" s="152"/>
      <c r="J43" s="152"/>
      <c r="M43" s="266"/>
      <c r="N43" s="265" t="s">
        <v>271</v>
      </c>
      <c r="O43" s="266"/>
      <c r="P43" s="266"/>
      <c r="Q43" s="266"/>
      <c r="R43" s="173"/>
      <c r="S43" s="173"/>
      <c r="T43" s="173"/>
      <c r="U43" s="173"/>
      <c r="V43" s="173"/>
      <c r="W43" s="173"/>
      <c r="X43" s="173"/>
      <c r="Y43" s="173"/>
      <c r="Z43" s="152"/>
      <c r="AA43" s="152"/>
    </row>
    <row r="44" spans="1:27" ht="15" customHeight="1" x14ac:dyDescent="0.3">
      <c r="A44" s="152"/>
      <c r="B44" s="152"/>
      <c r="C44" s="152"/>
      <c r="D44" s="159"/>
      <c r="E44" s="159"/>
      <c r="F44" s="152"/>
      <c r="G44" s="172"/>
      <c r="H44" s="172"/>
      <c r="I44" s="172"/>
      <c r="J44" s="172"/>
      <c r="K44" s="152"/>
      <c r="L44" s="159"/>
      <c r="M44" s="152"/>
      <c r="N44" s="152"/>
      <c r="O44" s="152"/>
      <c r="P44" s="17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 spans="1:27" ht="15" customHeight="1" x14ac:dyDescent="0.3">
      <c r="A45" s="152"/>
      <c r="B45" s="152"/>
      <c r="C45" s="152"/>
      <c r="D45" s="159"/>
      <c r="E45" s="159"/>
      <c r="F45" s="159"/>
      <c r="G45" s="152"/>
      <c r="H45" s="152"/>
      <c r="I45" s="172"/>
      <c r="J45" s="172"/>
      <c r="K45" s="172"/>
      <c r="L45" s="172"/>
      <c r="M45" s="152"/>
      <c r="N45" s="159"/>
      <c r="O45" s="152"/>
      <c r="P45" s="152"/>
      <c r="Q45" s="152"/>
      <c r="R45" s="172"/>
      <c r="S45" s="152"/>
      <c r="T45" s="152"/>
      <c r="U45" s="152"/>
      <c r="V45" s="152"/>
      <c r="W45" s="152"/>
      <c r="X45" s="152"/>
      <c r="Y45" s="152"/>
      <c r="Z45" s="152"/>
      <c r="AA45" s="152"/>
    </row>
    <row r="46" spans="1:27" ht="15" customHeight="1" x14ac:dyDescent="0.3">
      <c r="A46" s="152"/>
      <c r="B46" s="152"/>
      <c r="C46" s="152"/>
      <c r="D46" s="159"/>
      <c r="E46" s="159"/>
      <c r="F46" s="159"/>
      <c r="G46" s="152"/>
      <c r="H46" s="152"/>
      <c r="I46" s="172"/>
      <c r="J46" s="172"/>
      <c r="K46" s="17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</row>
    <row r="47" spans="1:27" ht="15" customHeight="1" x14ac:dyDescent="0.3">
      <c r="A47" s="152"/>
      <c r="B47" s="152"/>
      <c r="C47" s="152"/>
      <c r="D47" s="159"/>
      <c r="E47" s="159"/>
      <c r="F47" s="159"/>
      <c r="G47" s="152"/>
      <c r="H47" s="152"/>
      <c r="I47" s="172"/>
      <c r="J47" s="172"/>
      <c r="K47" s="17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</row>
    <row r="48" spans="1:27" ht="15" customHeight="1" x14ac:dyDescent="0.3">
      <c r="A48" s="152"/>
      <c r="B48" s="152"/>
      <c r="C48" s="152"/>
      <c r="D48" s="159"/>
      <c r="E48" s="159"/>
      <c r="F48" s="159"/>
      <c r="G48" s="152"/>
      <c r="H48" s="152"/>
      <c r="I48" s="172"/>
      <c r="J48" s="172"/>
      <c r="K48" s="17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  <row r="49" spans="1:27" ht="15" customHeight="1" x14ac:dyDescent="0.3">
      <c r="A49" s="152"/>
      <c r="B49" s="152"/>
      <c r="C49" s="152"/>
      <c r="D49" s="159"/>
      <c r="E49" s="159"/>
      <c r="F49" s="159"/>
      <c r="G49" s="152"/>
      <c r="H49" s="152"/>
      <c r="I49" s="172"/>
      <c r="J49" s="172"/>
      <c r="K49" s="17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 spans="1:27" ht="15" customHeight="1" x14ac:dyDescent="0.3">
      <c r="A50" s="152"/>
      <c r="B50" s="152"/>
      <c r="C50" s="152"/>
      <c r="D50" s="159"/>
      <c r="E50" s="159"/>
      <c r="F50" s="159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 spans="1:27" ht="93.75" customHeight="1" x14ac:dyDescent="0.3">
      <c r="A51" s="152"/>
      <c r="B51" s="152"/>
      <c r="C51" s="152"/>
      <c r="D51" s="159"/>
      <c r="E51" s="159"/>
      <c r="F51" s="159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 spans="1:27" ht="15" customHeight="1" x14ac:dyDescent="0.3">
      <c r="A52" s="152"/>
      <c r="B52" s="152"/>
      <c r="C52" s="152"/>
      <c r="D52" s="159"/>
      <c r="E52" s="159"/>
      <c r="F52" s="159"/>
      <c r="G52" s="152"/>
      <c r="H52" s="152"/>
      <c r="I52" s="152"/>
      <c r="J52" s="152"/>
      <c r="K52" s="152"/>
      <c r="L52" s="152"/>
      <c r="M52" s="346" t="s">
        <v>183</v>
      </c>
      <c r="N52" s="345"/>
      <c r="O52" s="345"/>
      <c r="P52" s="345"/>
      <c r="Q52" s="180" t="str">
        <f>CONCATENATE($N$4,$O$4)</f>
        <v>0174-1.2/KALIBRASI BBLM/XI/2025</v>
      </c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 spans="1:27" ht="18" customHeight="1" x14ac:dyDescent="0.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346" t="s">
        <v>0</v>
      </c>
      <c r="N53" s="345"/>
      <c r="O53" s="345"/>
      <c r="P53" s="345"/>
      <c r="Q53" s="180" t="str">
        <f>'Data Mentah PT100'!C32</f>
        <v>K595</v>
      </c>
      <c r="R53" s="152"/>
      <c r="S53" s="152"/>
      <c r="T53" s="152"/>
      <c r="U53" s="152"/>
      <c r="V53" s="152"/>
      <c r="W53" s="152"/>
      <c r="X53" s="152"/>
      <c r="Y53" s="152"/>
      <c r="Z53" s="152"/>
      <c r="AA53" s="152"/>
    </row>
    <row r="54" spans="1:27" ht="15.75" customHeight="1" x14ac:dyDescent="0.3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346" t="s">
        <v>184</v>
      </c>
      <c r="N54" s="345"/>
      <c r="O54" s="345"/>
      <c r="P54" s="345"/>
      <c r="Q54" s="181" t="str">
        <f>CONCATENATE(INT(ROW()/50)+1, " dari ",$T$34)</f>
        <v>2 dari 2</v>
      </c>
      <c r="R54" s="152"/>
      <c r="S54" s="152"/>
      <c r="T54" s="152"/>
      <c r="U54" s="152"/>
      <c r="V54" s="152"/>
      <c r="W54" s="152"/>
      <c r="X54" s="152"/>
      <c r="Y54" s="152"/>
      <c r="Z54" s="152"/>
      <c r="AA54" s="152"/>
    </row>
    <row r="55" spans="1:27" ht="15.75" customHeight="1" x14ac:dyDescent="0.3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</row>
    <row r="56" spans="1:27" ht="15.75" customHeight="1" x14ac:dyDescent="0.3">
      <c r="A56" s="152"/>
      <c r="B56" s="157" t="s">
        <v>185</v>
      </c>
      <c r="C56" s="157"/>
      <c r="D56" s="157"/>
      <c r="E56" s="157"/>
      <c r="F56" s="157"/>
      <c r="G56" s="157"/>
      <c r="H56" s="157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</row>
    <row r="57" spans="1:27" ht="15.75" customHeight="1" x14ac:dyDescent="0.3">
      <c r="A57" s="152"/>
      <c r="B57" s="383" t="s">
        <v>186</v>
      </c>
      <c r="C57" s="345"/>
      <c r="D57" s="345"/>
      <c r="E57" s="345"/>
      <c r="F57" s="345"/>
      <c r="G57" s="345"/>
      <c r="H57" s="345"/>
      <c r="I57" s="345"/>
      <c r="J57" s="173" t="str">
        <f>'Data Mentah PT100'!F2</f>
        <v>PT100</v>
      </c>
      <c r="K57" s="173"/>
      <c r="L57" s="173"/>
      <c r="M57" s="173"/>
      <c r="N57" s="173"/>
      <c r="O57" s="173"/>
      <c r="P57" s="173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</row>
    <row r="58" spans="1:27" ht="15.75" customHeight="1" x14ac:dyDescent="0.3">
      <c r="A58" s="152"/>
      <c r="B58" s="383" t="s">
        <v>230</v>
      </c>
      <c r="C58" s="345"/>
      <c r="D58" s="345"/>
      <c r="E58" s="345"/>
      <c r="F58" s="345"/>
      <c r="G58" s="345"/>
      <c r="H58" s="345"/>
      <c r="I58" s="345"/>
      <c r="J58" s="173" t="str">
        <f>CONCATENATE('Data Mentah PT100'!C7," / ",'Data Mentah PT100'!G7)</f>
        <v>- / -</v>
      </c>
      <c r="K58" s="152"/>
      <c r="L58" s="152"/>
      <c r="M58" s="152"/>
      <c r="N58" s="173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</row>
    <row r="59" spans="1:27" ht="15.75" customHeight="1" x14ac:dyDescent="0.3">
      <c r="A59" s="152"/>
      <c r="B59" s="383" t="s">
        <v>187</v>
      </c>
      <c r="C59" s="345"/>
      <c r="D59" s="345"/>
      <c r="E59" s="345"/>
      <c r="F59" s="345"/>
      <c r="G59" s="345"/>
      <c r="H59" s="345"/>
      <c r="I59" s="345"/>
      <c r="J59" s="173" t="str">
        <f>CONCATENATE('Data Mentah PT100'!F9," / ",'Data Mentah PT100'!C9)</f>
        <v>162/CBM/LABI/25 / -</v>
      </c>
      <c r="K59" s="152"/>
      <c r="L59" s="152"/>
      <c r="M59" s="152"/>
      <c r="N59" s="159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</row>
    <row r="60" spans="1:27" ht="15.75" customHeight="1" x14ac:dyDescent="0.3">
      <c r="A60" s="152"/>
      <c r="B60" s="383" t="s">
        <v>188</v>
      </c>
      <c r="C60" s="345"/>
      <c r="D60" s="345"/>
      <c r="E60" s="345"/>
      <c r="F60" s="345"/>
      <c r="G60" s="345"/>
      <c r="H60" s="345"/>
      <c r="I60" s="345"/>
      <c r="J60" s="173" t="str">
        <f>CONCATENATE('Data Mentah PT100'!C8," ",'Data Mentah PT100'!D8)</f>
        <v>500 °C</v>
      </c>
      <c r="K60" s="152"/>
      <c r="L60" s="152"/>
      <c r="M60" s="152"/>
      <c r="N60" s="173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</row>
    <row r="61" spans="1:27" ht="15.75" customHeight="1" x14ac:dyDescent="0.3">
      <c r="A61" s="152"/>
      <c r="B61" s="383" t="s">
        <v>189</v>
      </c>
      <c r="C61" s="345"/>
      <c r="D61" s="345"/>
      <c r="E61" s="345"/>
      <c r="F61" s="345"/>
      <c r="G61" s="345"/>
      <c r="H61" s="345"/>
      <c r="I61" s="345"/>
      <c r="J61" s="173" t="str">
        <f>'Data Mentah PT100'!C10</f>
        <v>IK-K-KT-04</v>
      </c>
      <c r="K61" s="152"/>
      <c r="L61" s="152"/>
      <c r="M61" s="152"/>
      <c r="N61" s="173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</row>
    <row r="62" spans="1:27" ht="15.75" customHeight="1" x14ac:dyDescent="0.3">
      <c r="A62" s="152"/>
      <c r="B62" s="383" t="s">
        <v>5</v>
      </c>
      <c r="C62" s="345"/>
      <c r="D62" s="345"/>
      <c r="E62" s="345"/>
      <c r="F62" s="345"/>
      <c r="G62" s="345"/>
      <c r="H62" s="345"/>
      <c r="I62" s="345"/>
      <c r="J62" s="381">
        <f>'Data Mentah PT100'!C33</f>
        <v>45952</v>
      </c>
      <c r="K62" s="345"/>
      <c r="L62" s="345"/>
      <c r="M62" s="345"/>
      <c r="N62" s="345"/>
      <c r="O62" s="345"/>
      <c r="P62" s="345"/>
      <c r="Q62" s="152"/>
      <c r="R62" s="173" t="s">
        <v>190</v>
      </c>
      <c r="S62" s="152"/>
      <c r="T62" s="152"/>
      <c r="U62" s="152"/>
      <c r="V62" s="152"/>
      <c r="W62" s="152"/>
      <c r="X62" s="152"/>
      <c r="Y62" s="152"/>
      <c r="Z62" s="152"/>
      <c r="AA62" s="152"/>
    </row>
    <row r="63" spans="1:27" ht="15" customHeight="1" x14ac:dyDescent="0.3">
      <c r="A63" s="152"/>
      <c r="B63" s="383" t="s">
        <v>6</v>
      </c>
      <c r="C63" s="345"/>
      <c r="D63" s="345"/>
      <c r="E63" s="345"/>
      <c r="F63" s="345"/>
      <c r="G63" s="345"/>
      <c r="H63" s="345"/>
      <c r="I63" s="345"/>
      <c r="J63" s="374" t="str">
        <f>CONCATENATE(TEXT('Data Mentah PT100'!C34,"dd")," s.d ",TEXT('Data Mentah PT100'!E34,"[$-id-ID]dd mmmm yyyy"))</f>
        <v>29 s.d 31 Oktober 2025</v>
      </c>
      <c r="K63" s="374"/>
      <c r="L63" s="374"/>
      <c r="M63" s="374"/>
      <c r="N63" s="374"/>
      <c r="O63" s="374"/>
      <c r="P63" s="374"/>
      <c r="Q63" s="374"/>
      <c r="R63" s="383" t="s">
        <v>191</v>
      </c>
      <c r="S63" s="383"/>
      <c r="T63" s="383"/>
      <c r="U63" s="383"/>
      <c r="V63" s="383"/>
      <c r="W63" s="173" t="str">
        <f>CONCATENATE("(",ROUND('Olahdata-PT100 C'!C14,1)," ± ",ROUND('Olahdata-PT100 C'!D14,1),") °C")</f>
        <v>(23,1 ± 3,6) °C</v>
      </c>
      <c r="X63" s="152"/>
      <c r="Y63" s="152"/>
      <c r="Z63" s="152"/>
      <c r="AA63" s="152"/>
    </row>
    <row r="64" spans="1:27" ht="15.75" customHeight="1" x14ac:dyDescent="0.3">
      <c r="A64" s="152"/>
      <c r="B64" s="183"/>
      <c r="C64" s="183"/>
      <c r="D64" s="183"/>
      <c r="E64" s="173"/>
      <c r="F64" s="173"/>
      <c r="G64" s="152"/>
      <c r="H64" s="152"/>
      <c r="I64" s="152"/>
      <c r="J64" s="284"/>
      <c r="K64" s="284"/>
      <c r="L64" s="284"/>
      <c r="M64" s="284"/>
      <c r="N64" s="284"/>
      <c r="O64" s="284"/>
      <c r="P64" s="284"/>
      <c r="Q64" s="284"/>
      <c r="R64" s="383" t="s">
        <v>192</v>
      </c>
      <c r="S64" s="383"/>
      <c r="T64" s="383"/>
      <c r="U64" s="383"/>
      <c r="V64" s="383"/>
      <c r="W64" s="173" t="str">
        <f>CONCATENATE("(",ROUND('Olahdata-PT100 C'!J14,1)," ± ",ROUND('Olahdata-PT100 C'!K14,1),") %RH")</f>
        <v>(63 ± 15,9) %RH</v>
      </c>
      <c r="X64" s="152"/>
      <c r="Y64" s="152"/>
      <c r="Z64" s="152"/>
      <c r="AA64" s="152"/>
    </row>
    <row r="65" spans="1:27" ht="15.75" customHeight="1" x14ac:dyDescent="0.3">
      <c r="A65" s="183"/>
      <c r="B65" s="183"/>
      <c r="C65" s="183"/>
      <c r="D65" s="173"/>
      <c r="E65" s="173"/>
      <c r="F65" s="152"/>
      <c r="G65" s="184"/>
      <c r="H65" s="184"/>
      <c r="I65" s="184"/>
      <c r="J65" s="184"/>
      <c r="K65" s="184"/>
      <c r="L65" s="185"/>
      <c r="M65" s="182"/>
      <c r="N65" s="182"/>
      <c r="O65" s="182"/>
      <c r="P65" s="18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</row>
    <row r="66" spans="1:27" ht="15.75" customHeight="1" x14ac:dyDescent="0.3">
      <c r="A66" s="152"/>
      <c r="B66" s="152"/>
      <c r="C66" s="382" t="s">
        <v>193</v>
      </c>
      <c r="D66" s="345"/>
      <c r="E66" s="345"/>
      <c r="F66" s="345"/>
      <c r="G66" s="345"/>
      <c r="H66" s="345"/>
      <c r="I66" s="345"/>
      <c r="J66" s="345"/>
      <c r="K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152"/>
    </row>
    <row r="67" spans="1:27" ht="15.75" customHeight="1" x14ac:dyDescent="0.3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86"/>
      <c r="P67" s="186"/>
      <c r="Q67" s="187"/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 spans="1:27" ht="15" customHeight="1" x14ac:dyDescent="0.3">
      <c r="A68" s="152"/>
      <c r="B68" s="152"/>
      <c r="C68" s="152"/>
      <c r="F68" s="349" t="s">
        <v>8</v>
      </c>
      <c r="G68" s="350"/>
      <c r="H68" s="351"/>
      <c r="I68" s="367" t="s">
        <v>203</v>
      </c>
      <c r="J68" s="368"/>
      <c r="K68" s="368"/>
      <c r="L68" s="368"/>
      <c r="M68" s="369"/>
      <c r="N68" s="358" t="s">
        <v>228</v>
      </c>
      <c r="O68" s="359"/>
      <c r="P68" s="359"/>
      <c r="Q68" s="359"/>
      <c r="R68" s="360"/>
      <c r="S68" s="367" t="s">
        <v>229</v>
      </c>
      <c r="T68" s="368"/>
      <c r="U68" s="368"/>
      <c r="V68" s="368"/>
      <c r="W68" s="368"/>
      <c r="X68" s="369"/>
      <c r="Y68" s="188"/>
      <c r="Z68" s="188"/>
      <c r="AA68" s="152"/>
    </row>
    <row r="69" spans="1:27" ht="15.75" customHeight="1" x14ac:dyDescent="0.3">
      <c r="A69" s="152"/>
      <c r="B69" s="152"/>
      <c r="C69" s="152"/>
      <c r="F69" s="352"/>
      <c r="G69" s="353"/>
      <c r="H69" s="354"/>
      <c r="I69" s="370"/>
      <c r="J69" s="371"/>
      <c r="K69" s="371"/>
      <c r="L69" s="371"/>
      <c r="M69" s="372"/>
      <c r="N69" s="361"/>
      <c r="O69" s="362"/>
      <c r="P69" s="362"/>
      <c r="Q69" s="362"/>
      <c r="R69" s="363"/>
      <c r="S69" s="370"/>
      <c r="T69" s="371"/>
      <c r="U69" s="371"/>
      <c r="V69" s="371"/>
      <c r="W69" s="371"/>
      <c r="X69" s="372"/>
      <c r="Y69" s="188"/>
      <c r="Z69" s="188"/>
      <c r="AA69" s="152"/>
    </row>
    <row r="70" spans="1:27" ht="15" customHeight="1" x14ac:dyDescent="0.3">
      <c r="A70" s="152"/>
      <c r="B70" s="152"/>
      <c r="C70" s="152"/>
      <c r="F70" s="355"/>
      <c r="G70" s="356"/>
      <c r="H70" s="357"/>
      <c r="I70" s="373" t="s">
        <v>222</v>
      </c>
      <c r="J70" s="365"/>
      <c r="K70" s="365"/>
      <c r="L70" s="365"/>
      <c r="M70" s="366"/>
      <c r="N70" s="364" t="s">
        <v>223</v>
      </c>
      <c r="O70" s="365"/>
      <c r="P70" s="365"/>
      <c r="Q70" s="365"/>
      <c r="R70" s="366"/>
      <c r="S70" s="364"/>
      <c r="T70" s="365"/>
      <c r="U70" s="365"/>
      <c r="V70" s="365"/>
      <c r="W70" s="365"/>
      <c r="X70" s="366"/>
      <c r="Z70" s="189"/>
      <c r="AA70" s="152"/>
    </row>
    <row r="71" spans="1:27" ht="15.75" customHeight="1" x14ac:dyDescent="0.3">
      <c r="A71" s="152"/>
      <c r="B71" s="152"/>
      <c r="C71" s="152"/>
      <c r="F71" s="190"/>
      <c r="G71" s="191" t="s">
        <v>194</v>
      </c>
      <c r="H71" s="192"/>
      <c r="I71" s="393">
        <v>0</v>
      </c>
      <c r="J71" s="394"/>
      <c r="K71" s="394"/>
      <c r="L71" s="394"/>
      <c r="M71" s="234"/>
      <c r="N71" s="223"/>
      <c r="O71" s="386">
        <f t="shared" ref="O71:O81" si="0">I$88*(1+(I$85*I71)+(I$86*I71^2))</f>
        <v>100.1109902391501</v>
      </c>
      <c r="P71" s="386"/>
      <c r="Q71" s="386"/>
      <c r="R71" s="239"/>
      <c r="S71" s="193"/>
      <c r="T71" s="194"/>
      <c r="U71" s="384">
        <f>IF('Budget PT100'!J40&gt;'Budget PT100'!K40,'Budget PT100'!J40,'Budget PT100'!K40)</f>
        <v>3.5705517187116658</v>
      </c>
      <c r="V71" s="384"/>
      <c r="W71" s="195"/>
      <c r="X71" s="196"/>
      <c r="Y71" s="189"/>
      <c r="Z71" s="189"/>
      <c r="AA71" s="152"/>
    </row>
    <row r="72" spans="1:27" ht="15.75" customHeight="1" x14ac:dyDescent="0.3">
      <c r="A72" s="152"/>
      <c r="B72" s="152"/>
      <c r="C72" s="152"/>
      <c r="F72" s="197"/>
      <c r="G72" s="226" t="s">
        <v>195</v>
      </c>
      <c r="H72" s="198"/>
      <c r="I72" s="342">
        <v>25</v>
      </c>
      <c r="J72" s="343"/>
      <c r="K72" s="343"/>
      <c r="L72" s="343"/>
      <c r="M72" s="239"/>
      <c r="N72" s="223"/>
      <c r="O72" s="386">
        <f t="shared" si="0"/>
        <v>109.89075780321886</v>
      </c>
      <c r="P72" s="386"/>
      <c r="Q72" s="386"/>
      <c r="R72" s="235"/>
      <c r="S72" s="200"/>
      <c r="T72" s="224"/>
      <c r="U72" s="385">
        <f>IF('Budget PT100'!J61&gt;'Budget PT100'!K61,'Budget PT100'!J61,'Budget PT100'!K61)</f>
        <v>3.6033775760625915</v>
      </c>
      <c r="V72" s="385"/>
      <c r="W72" s="135"/>
      <c r="X72" s="201"/>
      <c r="Y72" s="152"/>
      <c r="Z72" s="152"/>
      <c r="AA72" s="152"/>
    </row>
    <row r="73" spans="1:27" ht="15.75" customHeight="1" x14ac:dyDescent="0.3">
      <c r="A73" s="152"/>
      <c r="B73" s="152"/>
      <c r="C73" s="152"/>
      <c r="F73" s="197"/>
      <c r="G73" s="227" t="s">
        <v>196</v>
      </c>
      <c r="H73" s="202"/>
      <c r="I73" s="342">
        <v>50</v>
      </c>
      <c r="J73" s="343"/>
      <c r="K73" s="343"/>
      <c r="L73" s="343"/>
      <c r="M73" s="239"/>
      <c r="N73" s="223"/>
      <c r="O73" s="386">
        <f t="shared" si="0"/>
        <v>119.59025790896054</v>
      </c>
      <c r="P73" s="386"/>
      <c r="Q73" s="386"/>
      <c r="R73" s="235"/>
      <c r="S73" s="204"/>
      <c r="T73" s="217"/>
      <c r="U73" s="385">
        <f>IF('Budget PT100'!J82&gt;'Budget PT100'!K82,'Budget PT100'!J82,'Budget PT100'!K82)</f>
        <v>3.6337768608422842</v>
      </c>
      <c r="V73" s="385"/>
      <c r="W73" s="135"/>
      <c r="X73" s="203"/>
      <c r="Y73" s="152"/>
      <c r="Z73" s="152"/>
      <c r="AA73" s="152"/>
    </row>
    <row r="74" spans="1:27" ht="15" customHeight="1" x14ac:dyDescent="0.3">
      <c r="A74" s="152"/>
      <c r="B74" s="152"/>
      <c r="C74" s="152"/>
      <c r="F74" s="197"/>
      <c r="G74" s="227" t="s">
        <v>197</v>
      </c>
      <c r="H74" s="202"/>
      <c r="I74" s="342">
        <v>75</v>
      </c>
      <c r="J74" s="343"/>
      <c r="K74" s="343"/>
      <c r="L74" s="343"/>
      <c r="M74" s="239"/>
      <c r="N74" s="223"/>
      <c r="O74" s="386">
        <f t="shared" si="0"/>
        <v>129.20949055637516</v>
      </c>
      <c r="P74" s="386"/>
      <c r="Q74" s="386"/>
      <c r="R74" s="235"/>
      <c r="S74" s="204"/>
      <c r="T74" s="225"/>
      <c r="U74" s="385">
        <f>IF('Budget PT100'!J103&gt;'Budget PT100'!K103,'Budget PT100'!J103,'Budget PT100'!K103)</f>
        <v>3.6644134106297854</v>
      </c>
      <c r="V74" s="385"/>
      <c r="W74" s="135"/>
      <c r="X74" s="205"/>
      <c r="Y74" s="152"/>
      <c r="Z74" s="152"/>
      <c r="AA74" s="152"/>
    </row>
    <row r="75" spans="1:27" ht="15" customHeight="1" x14ac:dyDescent="0.3">
      <c r="A75" s="152"/>
      <c r="B75" s="152"/>
      <c r="C75" s="152"/>
      <c r="F75" s="319"/>
      <c r="G75" s="227" t="s">
        <v>198</v>
      </c>
      <c r="H75" s="202"/>
      <c r="I75" s="342">
        <v>100</v>
      </c>
      <c r="J75" s="343"/>
      <c r="K75" s="343"/>
      <c r="L75" s="343"/>
      <c r="M75" s="239"/>
      <c r="N75" s="223"/>
      <c r="O75" s="386">
        <f t="shared" si="0"/>
        <v>138.74845574546271</v>
      </c>
      <c r="P75" s="386"/>
      <c r="Q75" s="386"/>
      <c r="R75" s="235"/>
      <c r="S75" s="204"/>
      <c r="T75" s="225"/>
      <c r="U75" s="385">
        <f>IF('Budget PT100'!J124&gt;'Budget PT100'!K124,'Budget PT100'!J124,'Budget PT100'!K124)</f>
        <v>3.7019150803854997</v>
      </c>
      <c r="V75" s="385"/>
      <c r="W75" s="135"/>
      <c r="X75" s="205"/>
      <c r="Y75" s="152"/>
      <c r="Z75" s="152"/>
      <c r="AA75" s="152"/>
    </row>
    <row r="76" spans="1:27" ht="15" customHeight="1" x14ac:dyDescent="0.3">
      <c r="A76" s="152"/>
      <c r="B76" s="152"/>
      <c r="C76" s="152"/>
      <c r="F76" s="197"/>
      <c r="G76" s="227" t="s">
        <v>199</v>
      </c>
      <c r="H76" s="202"/>
      <c r="I76" s="342">
        <v>125</v>
      </c>
      <c r="J76" s="343"/>
      <c r="K76" s="343"/>
      <c r="L76" s="343"/>
      <c r="M76" s="239"/>
      <c r="N76" s="223"/>
      <c r="O76" s="386">
        <f t="shared" si="0"/>
        <v>148.20715347622323</v>
      </c>
      <c r="P76" s="386"/>
      <c r="Q76" s="386"/>
      <c r="R76" s="235"/>
      <c r="S76" s="204"/>
      <c r="T76" s="225"/>
      <c r="U76" s="385">
        <f>IF('Budget PT100'!J145&gt;'Budget PT100'!K145,'Budget PT100'!J145,'Budget PT100'!K145)</f>
        <v>3.7350204676632486</v>
      </c>
      <c r="V76" s="385"/>
      <c r="W76" s="135"/>
      <c r="X76" s="205"/>
      <c r="Y76" s="152"/>
      <c r="Z76" s="152"/>
      <c r="AA76" s="152"/>
    </row>
    <row r="77" spans="1:27" ht="15.75" customHeight="1" x14ac:dyDescent="0.3">
      <c r="A77" s="152"/>
      <c r="B77" s="152"/>
      <c r="C77" s="152"/>
      <c r="F77" s="197"/>
      <c r="G77" s="227" t="s">
        <v>200</v>
      </c>
      <c r="H77" s="241"/>
      <c r="I77" s="342">
        <v>150</v>
      </c>
      <c r="J77" s="343"/>
      <c r="K77" s="343"/>
      <c r="L77" s="343"/>
      <c r="M77" s="239"/>
      <c r="N77" s="223"/>
      <c r="O77" s="386">
        <f t="shared" si="0"/>
        <v>157.58558374865669</v>
      </c>
      <c r="P77" s="386"/>
      <c r="Q77" s="386"/>
      <c r="R77" s="235"/>
      <c r="S77" s="228"/>
      <c r="T77" s="215"/>
      <c r="U77" s="385">
        <f>IF('Budget PT100'!J166&gt;'Budget PT100'!K166,'Budget PT100'!J166,'Budget PT100'!K166)</f>
        <v>3.7700578113948993</v>
      </c>
      <c r="V77" s="385"/>
      <c r="W77" s="135"/>
      <c r="X77" s="229"/>
      <c r="Y77" s="152"/>
      <c r="Z77" s="152"/>
      <c r="AA77" s="152"/>
    </row>
    <row r="78" spans="1:27" ht="15.75" customHeight="1" x14ac:dyDescent="0.3">
      <c r="A78" s="152"/>
      <c r="B78" s="152"/>
      <c r="C78" s="152"/>
      <c r="F78" s="197"/>
      <c r="G78" s="227" t="s">
        <v>202</v>
      </c>
      <c r="H78" s="241"/>
      <c r="I78" s="342">
        <v>175</v>
      </c>
      <c r="J78" s="343"/>
      <c r="K78" s="343"/>
      <c r="L78" s="343"/>
      <c r="M78" s="239"/>
      <c r="N78" s="223"/>
      <c r="O78" s="386">
        <f t="shared" si="0"/>
        <v>166.88374656276306</v>
      </c>
      <c r="P78" s="386"/>
      <c r="Q78" s="386"/>
      <c r="R78" s="235"/>
      <c r="S78" s="228"/>
      <c r="T78" s="215"/>
      <c r="U78" s="385">
        <f>IF('Budget PT100'!J187&gt;'Budget PT100'!K187,'Budget PT100'!J187,'Budget PT100'!K187)</f>
        <v>3.8036740620389708</v>
      </c>
      <c r="V78" s="385"/>
      <c r="W78" s="135"/>
      <c r="X78" s="229"/>
      <c r="Y78" s="152"/>
      <c r="Z78" s="152"/>
      <c r="AA78" s="152"/>
    </row>
    <row r="79" spans="1:27" ht="15.75" customHeight="1" x14ac:dyDescent="0.3">
      <c r="A79" s="152"/>
      <c r="B79" s="152"/>
      <c r="C79" s="152"/>
      <c r="F79" s="197"/>
      <c r="G79" s="227" t="s">
        <v>266</v>
      </c>
      <c r="H79" s="241"/>
      <c r="I79" s="342">
        <v>200</v>
      </c>
      <c r="J79" s="343"/>
      <c r="K79" s="343"/>
      <c r="L79" s="343"/>
      <c r="M79" s="239"/>
      <c r="N79" s="223"/>
      <c r="O79" s="386">
        <f t="shared" si="0"/>
        <v>176.10164191854241</v>
      </c>
      <c r="P79" s="386"/>
      <c r="Q79" s="386"/>
      <c r="R79" s="235"/>
      <c r="S79" s="228"/>
      <c r="T79" s="215"/>
      <c r="U79" s="385">
        <f>IF('Budget PT100'!J208&gt;'Budget PT100'!K208,'Budget PT100'!J208,'Budget PT100'!K208)</f>
        <v>3.8384246839799951</v>
      </c>
      <c r="V79" s="385"/>
      <c r="W79" s="135"/>
      <c r="X79" s="229"/>
      <c r="Y79" s="152"/>
      <c r="Z79" s="152"/>
      <c r="AA79" s="152"/>
    </row>
    <row r="80" spans="1:27" ht="15.75" customHeight="1" x14ac:dyDescent="0.3">
      <c r="A80" s="152"/>
      <c r="B80" s="152"/>
      <c r="C80" s="152"/>
      <c r="F80" s="197"/>
      <c r="G80" s="227" t="s">
        <v>267</v>
      </c>
      <c r="H80" s="241"/>
      <c r="I80" s="342">
        <v>225</v>
      </c>
      <c r="J80" s="343"/>
      <c r="K80" s="343"/>
      <c r="L80" s="343"/>
      <c r="M80" s="239"/>
      <c r="N80" s="223"/>
      <c r="O80" s="386">
        <f t="shared" si="0"/>
        <v>185.23926981599467</v>
      </c>
      <c r="P80" s="386"/>
      <c r="Q80" s="386"/>
      <c r="R80" s="235"/>
      <c r="S80" s="228"/>
      <c r="T80" s="215"/>
      <c r="U80" s="385">
        <f>IF('Budget PT100'!J229&gt;'Budget PT100'!K229,'Budget PT100'!J229,'Budget PT100'!K229)</f>
        <v>3.8728398358351024</v>
      </c>
      <c r="V80" s="385"/>
      <c r="W80" s="135"/>
      <c r="X80" s="229"/>
      <c r="Y80" s="152"/>
      <c r="Z80" s="152"/>
      <c r="AA80" s="152"/>
    </row>
    <row r="81" spans="1:27" ht="15.75" customHeight="1" x14ac:dyDescent="0.3">
      <c r="A81" s="152"/>
      <c r="B81" s="152"/>
      <c r="C81" s="152"/>
      <c r="F81" s="242"/>
      <c r="G81" s="243" t="s">
        <v>268</v>
      </c>
      <c r="H81" s="244"/>
      <c r="I81" s="389">
        <v>250</v>
      </c>
      <c r="J81" s="390"/>
      <c r="K81" s="390"/>
      <c r="L81" s="390"/>
      <c r="M81" s="240"/>
      <c r="N81" s="236"/>
      <c r="O81" s="391">
        <f t="shared" si="0"/>
        <v>194.29663025511985</v>
      </c>
      <c r="P81" s="391"/>
      <c r="Q81" s="391"/>
      <c r="R81" s="237"/>
      <c r="S81" s="230"/>
      <c r="T81" s="231"/>
      <c r="U81" s="392">
        <f>IF('Budget PT100'!J250&gt;'Budget PT100'!K250,'Budget PT100'!J250,'Budget PT100'!K250)</f>
        <v>3.9029006123911336</v>
      </c>
      <c r="V81" s="392"/>
      <c r="W81" s="232"/>
      <c r="X81" s="233"/>
      <c r="Y81" s="152"/>
      <c r="Z81" s="152"/>
      <c r="AA81" s="152"/>
    </row>
    <row r="82" spans="1:27" ht="15.75" customHeight="1" x14ac:dyDescent="0.3">
      <c r="A82" s="152"/>
      <c r="B82" s="152"/>
      <c r="C82" s="152"/>
      <c r="D82" s="152"/>
      <c r="F82" s="217"/>
      <c r="G82" s="218"/>
      <c r="H82" s="219"/>
      <c r="I82" s="220"/>
      <c r="J82" s="220"/>
      <c r="K82" s="220"/>
      <c r="L82" s="220"/>
      <c r="M82" s="221"/>
      <c r="N82" s="221"/>
      <c r="O82" s="220"/>
      <c r="P82" s="220"/>
      <c r="Q82" s="221"/>
      <c r="R82" s="215"/>
      <c r="S82" s="215"/>
      <c r="T82" s="222"/>
      <c r="U82" s="222"/>
      <c r="V82" s="135"/>
      <c r="W82" s="215"/>
      <c r="X82" s="206"/>
      <c r="Y82" s="152"/>
      <c r="Z82" s="152"/>
      <c r="AA82" s="152"/>
    </row>
    <row r="83" spans="1:27" ht="15.75" customHeight="1" x14ac:dyDescent="0.3">
      <c r="A83" s="152"/>
      <c r="B83" s="152"/>
      <c r="C83" s="152"/>
      <c r="D83" s="152" t="s">
        <v>220</v>
      </c>
      <c r="E83" s="152"/>
      <c r="F83" s="152"/>
      <c r="G83" s="207"/>
      <c r="H83" s="245"/>
      <c r="I83" s="199"/>
      <c r="J83" s="199"/>
      <c r="K83" s="199"/>
      <c r="L83" s="199"/>
      <c r="M83" s="199"/>
      <c r="N83" s="199"/>
      <c r="O83" s="199"/>
      <c r="P83" s="199"/>
      <c r="Q83" s="199"/>
      <c r="R83" s="206"/>
      <c r="S83" s="206"/>
      <c r="T83" s="199"/>
      <c r="U83" s="199"/>
      <c r="X83" s="208"/>
      <c r="Y83" s="152"/>
      <c r="Z83" s="152"/>
      <c r="AA83" s="152"/>
    </row>
    <row r="84" spans="1:27" ht="15.75" customHeight="1" x14ac:dyDescent="0.3">
      <c r="A84" s="152"/>
      <c r="B84" s="152"/>
      <c r="C84" s="152"/>
      <c r="Z84" s="152"/>
      <c r="AA84" s="152"/>
    </row>
    <row r="85" spans="1:27" ht="15.75" customHeight="1" x14ac:dyDescent="0.3">
      <c r="A85" s="152"/>
      <c r="B85" s="152"/>
      <c r="C85" s="152"/>
      <c r="D85" s="152" t="s">
        <v>204</v>
      </c>
      <c r="G85" s="282" t="s">
        <v>148</v>
      </c>
      <c r="H85" s="152" t="s">
        <v>16</v>
      </c>
      <c r="I85" s="388">
        <f>'Olahdata-PT100 C'!Y95</f>
        <v>3.9236056979454551E-3</v>
      </c>
      <c r="J85" s="388"/>
      <c r="K85" s="388"/>
      <c r="L85" s="388"/>
      <c r="M85" s="388"/>
      <c r="N85" s="152" t="s">
        <v>224</v>
      </c>
      <c r="Z85" s="152"/>
      <c r="AA85" s="152"/>
    </row>
    <row r="86" spans="1:27" ht="15.75" customHeight="1" x14ac:dyDescent="0.3">
      <c r="A86" s="152"/>
      <c r="B86" s="152"/>
      <c r="C86" s="152"/>
      <c r="G86" s="282" t="s">
        <v>149</v>
      </c>
      <c r="H86" s="152" t="s">
        <v>16</v>
      </c>
      <c r="I86" s="388">
        <f>'Olahdata-PT100 C'!X95</f>
        <v>-6.4142774442896551E-7</v>
      </c>
      <c r="J86" s="388"/>
      <c r="K86" s="388"/>
      <c r="L86" s="388"/>
      <c r="M86" s="388"/>
      <c r="N86" s="152" t="s">
        <v>225</v>
      </c>
      <c r="Z86" s="152"/>
      <c r="AA86" s="152"/>
    </row>
    <row r="87" spans="1:27" ht="15.75" customHeight="1" x14ac:dyDescent="0.3">
      <c r="A87" s="152"/>
      <c r="B87" s="152"/>
      <c r="C87" s="152"/>
      <c r="G87" s="282" t="s">
        <v>208</v>
      </c>
      <c r="H87" s="152" t="s">
        <v>16</v>
      </c>
      <c r="I87" s="248" t="s">
        <v>226</v>
      </c>
      <c r="J87" s="248"/>
      <c r="K87" s="248"/>
      <c r="L87" s="248"/>
      <c r="M87" s="248"/>
      <c r="N87" s="152"/>
      <c r="V87" s="246"/>
      <c r="Z87" s="152"/>
      <c r="AA87" s="152"/>
    </row>
    <row r="88" spans="1:27" ht="16.8" x14ac:dyDescent="0.4">
      <c r="A88" s="152"/>
      <c r="B88" s="152"/>
      <c r="C88" s="152"/>
      <c r="G88" s="282" t="s">
        <v>218</v>
      </c>
      <c r="H88" s="245" t="s">
        <v>16</v>
      </c>
      <c r="I88" s="341">
        <f>'Olahdata-PT100 C'!X81</f>
        <v>100.1109902391501</v>
      </c>
      <c r="J88" s="341"/>
      <c r="K88" s="341"/>
      <c r="L88" s="341"/>
      <c r="M88" s="152" t="s">
        <v>63</v>
      </c>
      <c r="N88" s="152"/>
      <c r="O88" s="249"/>
      <c r="P88" s="249"/>
      <c r="Q88" s="249"/>
      <c r="R88" s="249"/>
      <c r="S88" s="167"/>
      <c r="T88" s="167"/>
      <c r="U88" s="167"/>
      <c r="V88" s="167"/>
      <c r="W88" s="167"/>
      <c r="X88" s="167"/>
      <c r="Y88" s="167"/>
      <c r="Z88" s="247"/>
      <c r="AA88" s="152"/>
    </row>
    <row r="89" spans="1:27" ht="16.8" x14ac:dyDescent="0.4">
      <c r="A89" s="152"/>
      <c r="B89" s="152"/>
      <c r="C89" s="152"/>
      <c r="G89" s="282" t="s">
        <v>219</v>
      </c>
      <c r="H89" s="156" t="s">
        <v>16</v>
      </c>
      <c r="I89" s="152" t="s">
        <v>227</v>
      </c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167"/>
      <c r="V89" s="167"/>
      <c r="W89" s="214"/>
      <c r="X89" s="214"/>
      <c r="Y89" s="214"/>
      <c r="Z89" s="167"/>
    </row>
    <row r="90" spans="1:27" ht="15.75" customHeight="1" x14ac:dyDescent="0.3">
      <c r="A90" s="152"/>
      <c r="B90" s="152"/>
      <c r="C90" s="152"/>
      <c r="G90" s="282" t="s">
        <v>205</v>
      </c>
      <c r="H90" s="156" t="s">
        <v>206</v>
      </c>
      <c r="I90" s="156" t="s">
        <v>207</v>
      </c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</row>
    <row r="91" spans="1:27" ht="15" customHeight="1" x14ac:dyDescent="0.3">
      <c r="A91" s="152"/>
      <c r="B91" s="152"/>
      <c r="C91" s="152"/>
      <c r="G91" s="152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167"/>
    </row>
    <row r="92" spans="1:27" ht="15" customHeight="1" x14ac:dyDescent="0.3">
      <c r="A92" s="152"/>
      <c r="B92" s="152"/>
      <c r="C92" s="152"/>
      <c r="D92" s="387" t="s">
        <v>9</v>
      </c>
      <c r="E92" s="387"/>
      <c r="F92" s="387"/>
      <c r="G92" s="387"/>
      <c r="Z92" s="167"/>
    </row>
    <row r="93" spans="1:27" ht="15" customHeight="1" x14ac:dyDescent="0.3">
      <c r="A93" s="152"/>
      <c r="B93" s="152"/>
      <c r="C93" s="152"/>
      <c r="D93" s="209"/>
      <c r="E93" s="378" t="str">
        <f>"Alat ini dikalibrasi dengan "&amp;'Data Mentah PT100'!A36</f>
        <v>Alat ini dikalibrasi dengan Temperature Calibrator Beamex TC305 No. Seri 3209 dan IPRT Burns Engr 3925 No. Seri 490464 tertelusur ke SI melalui LK-001-IDN dan LK-304-IDN.</v>
      </c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/>
      <c r="R93" s="378"/>
      <c r="S93" s="378"/>
      <c r="T93" s="378"/>
      <c r="U93" s="378"/>
      <c r="V93" s="378"/>
      <c r="W93" s="378"/>
      <c r="X93" s="378"/>
      <c r="Y93" s="378"/>
      <c r="Z93" s="378"/>
      <c r="AA93" s="378"/>
    </row>
    <row r="94" spans="1:27" ht="15" customHeight="1" x14ac:dyDescent="0.3">
      <c r="A94" s="152"/>
      <c r="B94" s="152"/>
      <c r="C94" s="152"/>
      <c r="D94" s="210"/>
      <c r="E94" s="378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/>
      <c r="R94" s="378"/>
      <c r="S94" s="378"/>
      <c r="T94" s="378"/>
      <c r="U94" s="378"/>
      <c r="V94" s="378"/>
      <c r="W94" s="378"/>
      <c r="X94" s="378"/>
      <c r="Y94" s="378"/>
      <c r="Z94" s="378"/>
      <c r="AA94" s="378"/>
    </row>
    <row r="95" spans="1:27" ht="15" customHeight="1" x14ac:dyDescent="0.3">
      <c r="A95" s="152"/>
      <c r="B95" s="152"/>
      <c r="C95" s="152"/>
      <c r="D95" s="209"/>
      <c r="E95" s="378"/>
      <c r="F95" s="378"/>
      <c r="G95" s="378"/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8"/>
      <c r="S95" s="378"/>
      <c r="T95" s="378"/>
      <c r="U95" s="378"/>
      <c r="V95" s="378"/>
      <c r="W95" s="378"/>
      <c r="X95" s="378"/>
      <c r="Y95" s="378"/>
      <c r="Z95" s="378"/>
      <c r="AA95" s="378"/>
    </row>
    <row r="96" spans="1:27" ht="15" customHeight="1" x14ac:dyDescent="0.3">
      <c r="A96" s="152"/>
      <c r="B96" s="152"/>
      <c r="C96" s="152"/>
      <c r="D96" s="152"/>
      <c r="E96" s="378"/>
      <c r="F96" s="378"/>
      <c r="G96" s="378"/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  <c r="U96" s="378"/>
      <c r="V96" s="378"/>
      <c r="W96" s="378"/>
      <c r="X96" s="378"/>
      <c r="Y96" s="378"/>
      <c r="Z96" s="378"/>
      <c r="AA96" s="378"/>
    </row>
    <row r="97" spans="1:27" ht="15" customHeight="1" x14ac:dyDescent="0.3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spans="1:27" ht="15.75" customHeight="1" x14ac:dyDescent="0.3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spans="1:27" ht="15.75" customHeight="1" x14ac:dyDescent="0.3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spans="1:27" ht="15.75" customHeight="1" x14ac:dyDescent="0.3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</row>
    <row r="101" spans="1:27" ht="15.75" customHeight="1" x14ac:dyDescent="0.3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</row>
    <row r="102" spans="1:27" ht="15.75" customHeight="1" x14ac:dyDescent="0.3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</row>
    <row r="103" spans="1:27" ht="15.75" customHeight="1" x14ac:dyDescent="0.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</row>
    <row r="104" spans="1:27" ht="15.75" customHeight="1" x14ac:dyDescent="0.3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</row>
    <row r="105" spans="1:27" ht="15.75" customHeight="1" x14ac:dyDescent="0.3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</row>
    <row r="106" spans="1:27" ht="15.75" customHeight="1" x14ac:dyDescent="0.3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</row>
    <row r="107" spans="1:27" ht="15.75" customHeight="1" x14ac:dyDescent="0.3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</row>
    <row r="108" spans="1:27" ht="15.75" customHeight="1" x14ac:dyDescent="0.3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</row>
    <row r="109" spans="1:27" ht="15.75" customHeight="1" x14ac:dyDescent="0.3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</row>
    <row r="110" spans="1:27" ht="15.75" customHeight="1" x14ac:dyDescent="0.3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</row>
    <row r="111" spans="1:27" ht="15.75" customHeight="1" x14ac:dyDescent="0.3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</row>
    <row r="112" spans="1:27" ht="15.75" customHeight="1" x14ac:dyDescent="0.3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</row>
    <row r="113" spans="1:27" ht="15.75" customHeight="1" x14ac:dyDescent="0.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</row>
    <row r="114" spans="1:27" ht="15.75" customHeight="1" x14ac:dyDescent="0.3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</row>
    <row r="115" spans="1:27" ht="15.75" customHeight="1" x14ac:dyDescent="0.3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</row>
    <row r="116" spans="1:27" ht="15.75" customHeight="1" x14ac:dyDescent="0.3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</row>
    <row r="117" spans="1:27" ht="15.75" customHeight="1" x14ac:dyDescent="0.3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</row>
    <row r="118" spans="1:27" ht="15.75" customHeight="1" x14ac:dyDescent="0.3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</row>
    <row r="119" spans="1:27" ht="15.75" customHeight="1" x14ac:dyDescent="0.3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</row>
    <row r="120" spans="1:27" ht="15.75" customHeight="1" x14ac:dyDescent="0.3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</row>
    <row r="121" spans="1:27" ht="15.75" customHeight="1" x14ac:dyDescent="0.3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</row>
    <row r="122" spans="1:27" ht="15.75" customHeight="1" x14ac:dyDescent="0.3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</row>
    <row r="123" spans="1:27" ht="15.75" customHeight="1" x14ac:dyDescent="0.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</row>
    <row r="124" spans="1:27" ht="15.75" customHeight="1" x14ac:dyDescent="0.3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</row>
    <row r="125" spans="1:27" ht="15.75" customHeight="1" x14ac:dyDescent="0.3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</row>
    <row r="126" spans="1:27" ht="15.75" customHeight="1" x14ac:dyDescent="0.3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</row>
    <row r="127" spans="1:27" ht="15.75" customHeight="1" x14ac:dyDescent="0.3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 spans="1:27" ht="15.75" customHeight="1" x14ac:dyDescent="0.3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</row>
    <row r="129" spans="1:27" ht="15.75" customHeight="1" x14ac:dyDescent="0.3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</row>
    <row r="130" spans="1:27" ht="15.75" customHeight="1" x14ac:dyDescent="0.3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</row>
    <row r="131" spans="1:27" ht="15.75" customHeight="1" x14ac:dyDescent="0.3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</row>
    <row r="132" spans="1:27" ht="15.75" customHeight="1" x14ac:dyDescent="0.3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</row>
    <row r="133" spans="1:27" ht="15.75" customHeight="1" x14ac:dyDescent="0.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</row>
    <row r="134" spans="1:27" ht="15.75" customHeight="1" x14ac:dyDescent="0.3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</row>
    <row r="135" spans="1:27" ht="15.75" customHeight="1" x14ac:dyDescent="0.3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</row>
    <row r="136" spans="1:27" ht="15.75" customHeight="1" x14ac:dyDescent="0.3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</row>
    <row r="137" spans="1:27" ht="15.75" customHeight="1" x14ac:dyDescent="0.3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</row>
    <row r="138" spans="1:27" ht="15.75" customHeight="1" x14ac:dyDescent="0.3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</row>
    <row r="139" spans="1:27" ht="15.75" customHeight="1" x14ac:dyDescent="0.3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</row>
    <row r="140" spans="1:27" ht="15.75" customHeight="1" x14ac:dyDescent="0.3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</row>
    <row r="141" spans="1:27" ht="15.75" customHeight="1" x14ac:dyDescent="0.3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</row>
    <row r="142" spans="1:27" ht="15.75" customHeight="1" x14ac:dyDescent="0.3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</row>
    <row r="143" spans="1:27" ht="15.75" customHeight="1" x14ac:dyDescent="0.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</row>
    <row r="144" spans="1:27" ht="15.75" customHeight="1" x14ac:dyDescent="0.3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 spans="1:27" ht="15.75" customHeight="1" x14ac:dyDescent="0.3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</row>
    <row r="146" spans="1:27" ht="15.75" customHeight="1" x14ac:dyDescent="0.3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</row>
    <row r="147" spans="1:27" ht="15.75" customHeight="1" x14ac:dyDescent="0.3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</row>
    <row r="148" spans="1:27" ht="15.75" customHeight="1" x14ac:dyDescent="0.3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</row>
    <row r="149" spans="1:27" ht="15.75" customHeight="1" x14ac:dyDescent="0.3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</row>
    <row r="150" spans="1:27" ht="15.75" customHeight="1" x14ac:dyDescent="0.3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</row>
    <row r="151" spans="1:27" ht="15.75" customHeight="1" x14ac:dyDescent="0.3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</row>
    <row r="152" spans="1:27" ht="15.75" customHeight="1" x14ac:dyDescent="0.3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</row>
    <row r="153" spans="1:27" ht="15.75" customHeight="1" x14ac:dyDescent="0.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</row>
    <row r="154" spans="1:27" ht="15.75" customHeight="1" x14ac:dyDescent="0.3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 spans="1:27" ht="15.75" customHeight="1" x14ac:dyDescent="0.3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</row>
    <row r="156" spans="1:27" ht="15.75" customHeight="1" x14ac:dyDescent="0.3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</row>
    <row r="157" spans="1:27" ht="15.75" customHeight="1" x14ac:dyDescent="0.3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</row>
    <row r="158" spans="1:27" ht="15.75" customHeight="1" x14ac:dyDescent="0.3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</row>
    <row r="159" spans="1:27" ht="15.75" customHeight="1" x14ac:dyDescent="0.3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</row>
    <row r="160" spans="1:27" ht="15.75" customHeight="1" x14ac:dyDescent="0.3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</row>
    <row r="161" spans="1:27" ht="15.75" customHeight="1" x14ac:dyDescent="0.3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</row>
    <row r="162" spans="1:27" ht="15.75" customHeight="1" x14ac:dyDescent="0.3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</row>
    <row r="163" spans="1:27" ht="15.75" customHeight="1" x14ac:dyDescent="0.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</row>
    <row r="164" spans="1:27" ht="15.75" customHeight="1" x14ac:dyDescent="0.3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</row>
    <row r="165" spans="1:27" ht="15.75" customHeight="1" x14ac:dyDescent="0.3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</row>
    <row r="166" spans="1:27" ht="15.75" customHeight="1" x14ac:dyDescent="0.3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</row>
    <row r="167" spans="1:27" ht="15.75" customHeight="1" x14ac:dyDescent="0.3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</row>
    <row r="168" spans="1:27" ht="15.75" customHeight="1" x14ac:dyDescent="0.3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</row>
    <row r="169" spans="1:27" ht="15.75" customHeight="1" x14ac:dyDescent="0.3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</row>
    <row r="170" spans="1:27" ht="15.75" customHeight="1" x14ac:dyDescent="0.3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</row>
    <row r="171" spans="1:27" ht="15.75" customHeight="1" x14ac:dyDescent="0.3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</row>
    <row r="172" spans="1:27" ht="15.75" customHeight="1" x14ac:dyDescent="0.3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</row>
    <row r="173" spans="1:27" ht="15.75" customHeight="1" x14ac:dyDescent="0.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</row>
    <row r="174" spans="1:27" ht="15.75" customHeight="1" x14ac:dyDescent="0.3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</row>
    <row r="175" spans="1:27" ht="15.75" customHeight="1" x14ac:dyDescent="0.3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</row>
    <row r="176" spans="1:27" ht="15.75" customHeight="1" x14ac:dyDescent="0.3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</row>
    <row r="177" spans="1:27" ht="15.75" customHeight="1" x14ac:dyDescent="0.3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</row>
    <row r="178" spans="1:27" ht="15.75" customHeight="1" x14ac:dyDescent="0.3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</row>
    <row r="179" spans="1:27" ht="15.75" customHeight="1" x14ac:dyDescent="0.3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</row>
    <row r="180" spans="1:27" ht="15.75" customHeight="1" x14ac:dyDescent="0.3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</row>
    <row r="181" spans="1:27" ht="15.75" customHeight="1" x14ac:dyDescent="0.3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</row>
    <row r="182" spans="1:27" ht="15.75" customHeight="1" x14ac:dyDescent="0.3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</row>
    <row r="183" spans="1:27" ht="15.75" customHeight="1" x14ac:dyDescent="0.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</row>
    <row r="184" spans="1:27" ht="15.75" customHeight="1" x14ac:dyDescent="0.3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</row>
    <row r="185" spans="1:27" ht="15.75" customHeight="1" x14ac:dyDescent="0.3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</row>
    <row r="186" spans="1:27" ht="15.75" customHeight="1" x14ac:dyDescent="0.3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</row>
    <row r="187" spans="1:27" ht="15.75" customHeight="1" x14ac:dyDescent="0.3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</row>
    <row r="188" spans="1:27" ht="15.75" customHeight="1" x14ac:dyDescent="0.3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</row>
    <row r="189" spans="1:27" ht="15.75" customHeight="1" x14ac:dyDescent="0.3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</row>
    <row r="190" spans="1:27" ht="15.75" customHeight="1" x14ac:dyDescent="0.3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</row>
    <row r="191" spans="1:27" ht="15.75" customHeight="1" x14ac:dyDescent="0.3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</row>
    <row r="192" spans="1:27" ht="15.75" customHeight="1" x14ac:dyDescent="0.3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</row>
    <row r="193" spans="1:27" ht="15.75" customHeight="1" x14ac:dyDescent="0.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</row>
    <row r="194" spans="1:27" ht="15.75" customHeight="1" x14ac:dyDescent="0.3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</row>
    <row r="195" spans="1:27" ht="15.75" customHeight="1" x14ac:dyDescent="0.3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</row>
    <row r="196" spans="1:27" ht="15.75" customHeight="1" x14ac:dyDescent="0.3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</row>
    <row r="197" spans="1:27" ht="15.75" customHeight="1" x14ac:dyDescent="0.3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</row>
    <row r="198" spans="1:27" ht="15.75" customHeight="1" x14ac:dyDescent="0.3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</row>
    <row r="199" spans="1:27" ht="15.75" customHeight="1" x14ac:dyDescent="0.3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spans="1:27" ht="15.75" customHeight="1" x14ac:dyDescent="0.3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</row>
    <row r="201" spans="1:27" ht="15.75" customHeight="1" x14ac:dyDescent="0.3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</row>
    <row r="202" spans="1:27" ht="15.75" customHeight="1" x14ac:dyDescent="0.3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</row>
    <row r="203" spans="1:27" ht="15.75" customHeight="1" x14ac:dyDescent="0.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</row>
    <row r="204" spans="1:27" ht="15.75" customHeight="1" x14ac:dyDescent="0.3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</row>
    <row r="205" spans="1:27" ht="15.75" customHeight="1" x14ac:dyDescent="0.3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</row>
    <row r="206" spans="1:27" ht="15.75" customHeight="1" x14ac:dyDescent="0.3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</row>
    <row r="207" spans="1:27" ht="15.75" customHeight="1" x14ac:dyDescent="0.3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</row>
    <row r="208" spans="1:27" ht="15.75" customHeight="1" x14ac:dyDescent="0.3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</row>
    <row r="209" spans="1:27" ht="15.75" customHeight="1" x14ac:dyDescent="0.3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</row>
    <row r="210" spans="1:27" ht="15.75" customHeight="1" x14ac:dyDescent="0.3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</row>
    <row r="211" spans="1:27" ht="15.75" customHeight="1" x14ac:dyDescent="0.3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</row>
    <row r="212" spans="1:27" ht="15.75" customHeight="1" x14ac:dyDescent="0.3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 spans="1:27" ht="15.75" customHeight="1" x14ac:dyDescent="0.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</row>
    <row r="214" spans="1:27" ht="15.75" customHeight="1" x14ac:dyDescent="0.3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</row>
    <row r="215" spans="1:27" ht="15.75" customHeight="1" x14ac:dyDescent="0.3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</row>
    <row r="216" spans="1:27" ht="15.75" customHeight="1" x14ac:dyDescent="0.3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</row>
    <row r="217" spans="1:27" ht="15.75" customHeight="1" x14ac:dyDescent="0.3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</row>
    <row r="218" spans="1:27" ht="15.75" customHeight="1" x14ac:dyDescent="0.3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</row>
    <row r="219" spans="1:27" ht="15.75" customHeight="1" x14ac:dyDescent="0.3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</row>
    <row r="220" spans="1:27" ht="15.75" customHeight="1" x14ac:dyDescent="0.3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</row>
    <row r="221" spans="1:27" ht="15.75" customHeight="1" x14ac:dyDescent="0.3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</row>
    <row r="222" spans="1:27" ht="15.75" customHeight="1" x14ac:dyDescent="0.3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</row>
    <row r="223" spans="1:27" ht="15.75" customHeight="1" x14ac:dyDescent="0.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</row>
    <row r="224" spans="1:27" ht="15.75" customHeight="1" x14ac:dyDescent="0.3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</row>
    <row r="225" spans="1:27" ht="15.75" customHeight="1" x14ac:dyDescent="0.3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 spans="1:27" ht="15.75" customHeight="1" x14ac:dyDescent="0.3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</row>
    <row r="227" spans="1:27" ht="15.75" customHeight="1" x14ac:dyDescent="0.3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</row>
    <row r="228" spans="1:27" ht="15.75" customHeight="1" x14ac:dyDescent="0.3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</row>
    <row r="229" spans="1:27" ht="15.75" customHeight="1" x14ac:dyDescent="0.3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</row>
    <row r="230" spans="1:27" ht="15.75" customHeight="1" x14ac:dyDescent="0.3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</row>
    <row r="231" spans="1:27" ht="15.75" customHeight="1" x14ac:dyDescent="0.3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</row>
    <row r="232" spans="1:27" ht="15.75" customHeight="1" x14ac:dyDescent="0.3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</row>
    <row r="233" spans="1:27" ht="15.75" customHeight="1" x14ac:dyDescent="0.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</row>
    <row r="234" spans="1:27" ht="15.75" customHeight="1" x14ac:dyDescent="0.3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</row>
    <row r="235" spans="1:27" ht="15.75" customHeight="1" x14ac:dyDescent="0.3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</row>
    <row r="236" spans="1:27" ht="15.75" customHeight="1" x14ac:dyDescent="0.3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</row>
    <row r="237" spans="1:27" ht="15.75" customHeight="1" x14ac:dyDescent="0.3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</row>
    <row r="238" spans="1:27" ht="15.75" customHeight="1" x14ac:dyDescent="0.3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 spans="1:27" ht="15.75" customHeight="1" x14ac:dyDescent="0.3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</row>
    <row r="240" spans="1:27" ht="15.75" customHeight="1" x14ac:dyDescent="0.3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</row>
    <row r="241" spans="1:27" ht="15.75" customHeight="1" x14ac:dyDescent="0.3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</row>
    <row r="242" spans="1:27" ht="15.75" customHeight="1" x14ac:dyDescent="0.3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</row>
    <row r="243" spans="1:27" ht="15.75" customHeight="1" x14ac:dyDescent="0.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</row>
    <row r="244" spans="1:27" ht="15.75" customHeight="1" x14ac:dyDescent="0.3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</row>
    <row r="245" spans="1:27" ht="15.75" customHeight="1" x14ac:dyDescent="0.3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</row>
    <row r="246" spans="1:27" ht="15.75" customHeight="1" x14ac:dyDescent="0.3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</row>
    <row r="247" spans="1:27" ht="15.75" customHeight="1" x14ac:dyDescent="0.3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</row>
    <row r="248" spans="1:27" ht="15.75" customHeight="1" x14ac:dyDescent="0.3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</row>
    <row r="249" spans="1:27" ht="15.75" customHeight="1" x14ac:dyDescent="0.3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</row>
    <row r="250" spans="1:27" ht="15.75" customHeight="1" x14ac:dyDescent="0.3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</row>
    <row r="251" spans="1:27" ht="15.75" customHeight="1" x14ac:dyDescent="0.3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 spans="1:27" ht="15.75" customHeight="1" x14ac:dyDescent="0.3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</row>
    <row r="253" spans="1:27" ht="15.75" customHeight="1" x14ac:dyDescent="0.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</row>
    <row r="254" spans="1:27" ht="15.75" customHeight="1" x14ac:dyDescent="0.3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</row>
    <row r="255" spans="1:27" ht="15.75" customHeight="1" x14ac:dyDescent="0.3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</row>
    <row r="256" spans="1:27" ht="15.75" customHeight="1" x14ac:dyDescent="0.3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</row>
    <row r="257" spans="1:27" ht="15.75" customHeight="1" x14ac:dyDescent="0.3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</row>
    <row r="258" spans="1:27" ht="15.75" customHeight="1" x14ac:dyDescent="0.3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</row>
    <row r="259" spans="1:27" ht="15.75" customHeight="1" x14ac:dyDescent="0.3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</row>
    <row r="260" spans="1:27" ht="15.75" customHeight="1" x14ac:dyDescent="0.3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</row>
    <row r="261" spans="1:27" ht="15.75" customHeight="1" x14ac:dyDescent="0.3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</row>
    <row r="262" spans="1:27" ht="15.75" customHeight="1" x14ac:dyDescent="0.3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</row>
    <row r="263" spans="1:27" ht="15.75" customHeight="1" x14ac:dyDescent="0.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</row>
    <row r="264" spans="1:27" ht="15.75" customHeight="1" x14ac:dyDescent="0.3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</row>
    <row r="265" spans="1:27" ht="15.75" customHeight="1" x14ac:dyDescent="0.3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</row>
    <row r="266" spans="1:27" ht="15.75" customHeight="1" x14ac:dyDescent="0.3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</row>
    <row r="267" spans="1:27" ht="15.75" customHeight="1" x14ac:dyDescent="0.3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</row>
    <row r="268" spans="1:27" ht="15.75" customHeight="1" x14ac:dyDescent="0.3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</row>
    <row r="269" spans="1:27" ht="15.75" customHeight="1" x14ac:dyDescent="0.3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</row>
    <row r="270" spans="1:27" ht="15.75" customHeight="1" x14ac:dyDescent="0.3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</row>
    <row r="271" spans="1:27" ht="15.75" customHeight="1" x14ac:dyDescent="0.3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</row>
    <row r="272" spans="1:27" ht="15.75" customHeight="1" x14ac:dyDescent="0.3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</row>
    <row r="273" spans="1:27" ht="15.75" customHeight="1" x14ac:dyDescent="0.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</row>
    <row r="274" spans="1:27" ht="15.75" customHeight="1" x14ac:dyDescent="0.3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</row>
    <row r="275" spans="1:27" ht="15.75" customHeight="1" x14ac:dyDescent="0.3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</row>
    <row r="276" spans="1:27" ht="15.75" customHeight="1" x14ac:dyDescent="0.3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</row>
    <row r="277" spans="1:27" ht="15.75" customHeight="1" x14ac:dyDescent="0.3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</row>
    <row r="278" spans="1:27" ht="15.75" customHeight="1" x14ac:dyDescent="0.3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</row>
    <row r="279" spans="1:27" ht="15.75" customHeight="1" x14ac:dyDescent="0.3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</row>
    <row r="280" spans="1:27" ht="15.75" customHeight="1" x14ac:dyDescent="0.3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</row>
    <row r="281" spans="1:27" ht="15.75" customHeight="1" x14ac:dyDescent="0.3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</row>
    <row r="282" spans="1:27" ht="15.75" customHeight="1" x14ac:dyDescent="0.3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</row>
    <row r="283" spans="1:27" ht="15.75" customHeight="1" x14ac:dyDescent="0.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</row>
    <row r="284" spans="1:27" ht="15.75" customHeight="1" x14ac:dyDescent="0.3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</row>
    <row r="285" spans="1:27" ht="15.75" customHeight="1" x14ac:dyDescent="0.3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</row>
    <row r="286" spans="1:27" ht="15.75" customHeight="1" x14ac:dyDescent="0.3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</row>
    <row r="287" spans="1:27" ht="15.75" customHeight="1" x14ac:dyDescent="0.3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</row>
    <row r="288" spans="1:27" ht="15.75" customHeight="1" x14ac:dyDescent="0.3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</row>
    <row r="289" spans="1:27" ht="15.75" customHeight="1" x14ac:dyDescent="0.3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</row>
    <row r="290" spans="1:27" ht="15.75" customHeight="1" x14ac:dyDescent="0.3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</row>
    <row r="291" spans="1:27" ht="15.75" customHeight="1" x14ac:dyDescent="0.3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</row>
    <row r="292" spans="1:27" ht="15.75" customHeight="1" x14ac:dyDescent="0.3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</row>
    <row r="293" spans="1:27" ht="15.75" customHeight="1" x14ac:dyDescent="0.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</row>
    <row r="294" spans="1:27" ht="15.75" customHeight="1" x14ac:dyDescent="0.3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</row>
    <row r="295" spans="1:27" ht="15.75" customHeight="1" x14ac:dyDescent="0.3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</row>
    <row r="296" spans="1:27" ht="15.75" customHeight="1" x14ac:dyDescent="0.3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</row>
    <row r="297" spans="1:27" ht="15.75" customHeight="1" x14ac:dyDescent="0.3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</row>
    <row r="298" spans="1:27" ht="15.75" customHeight="1" x14ac:dyDescent="0.3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</row>
    <row r="299" spans="1:27" ht="15.75" customHeight="1" x14ac:dyDescent="0.3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</row>
    <row r="300" spans="1:27" ht="15.75" customHeight="1" x14ac:dyDescent="0.3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</row>
    <row r="301" spans="1:27" ht="15.75" customHeight="1" x14ac:dyDescent="0.3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</row>
    <row r="302" spans="1:27" ht="15.75" customHeight="1" x14ac:dyDescent="0.3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</row>
    <row r="303" spans="1:27" ht="15.75" customHeight="1" x14ac:dyDescent="0.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</row>
    <row r="304" spans="1:27" ht="15.75" customHeight="1" x14ac:dyDescent="0.3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</row>
    <row r="305" spans="1:27" ht="15.75" customHeight="1" x14ac:dyDescent="0.3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</row>
    <row r="306" spans="1:27" ht="15.75" customHeight="1" x14ac:dyDescent="0.3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</row>
    <row r="307" spans="1:27" ht="15.75" customHeight="1" x14ac:dyDescent="0.3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</row>
    <row r="308" spans="1:27" ht="15.75" customHeight="1" x14ac:dyDescent="0.3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</row>
    <row r="309" spans="1:27" ht="15.75" customHeight="1" x14ac:dyDescent="0.3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</row>
    <row r="310" spans="1:27" ht="15.75" customHeight="1" x14ac:dyDescent="0.3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</row>
    <row r="311" spans="1:27" ht="15.75" customHeight="1" x14ac:dyDescent="0.3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</row>
    <row r="312" spans="1:27" ht="15.75" customHeight="1" x14ac:dyDescent="0.3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</row>
    <row r="313" spans="1:27" ht="15.75" customHeight="1" x14ac:dyDescent="0.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</row>
    <row r="314" spans="1:27" ht="15.75" customHeight="1" x14ac:dyDescent="0.3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</row>
    <row r="315" spans="1:27" ht="15.75" customHeight="1" x14ac:dyDescent="0.3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</row>
    <row r="316" spans="1:27" ht="15.75" customHeight="1" x14ac:dyDescent="0.3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</row>
    <row r="317" spans="1:27" ht="15.75" customHeight="1" x14ac:dyDescent="0.3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</row>
    <row r="318" spans="1:27" ht="15.75" customHeight="1" x14ac:dyDescent="0.3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</row>
    <row r="319" spans="1:27" ht="15.75" customHeight="1" x14ac:dyDescent="0.3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</row>
    <row r="320" spans="1:27" ht="15.75" customHeight="1" x14ac:dyDescent="0.3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</row>
    <row r="321" spans="1:27" ht="15.75" customHeight="1" x14ac:dyDescent="0.3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</row>
    <row r="322" spans="1:27" ht="15.75" customHeight="1" x14ac:dyDescent="0.3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</row>
    <row r="323" spans="1:27" ht="15.75" customHeight="1" x14ac:dyDescent="0.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</row>
    <row r="324" spans="1:27" ht="15.75" customHeight="1" x14ac:dyDescent="0.3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</row>
    <row r="325" spans="1:27" ht="15.75" customHeight="1" x14ac:dyDescent="0.3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</row>
    <row r="326" spans="1:27" ht="15.75" customHeight="1" x14ac:dyDescent="0.3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</row>
    <row r="327" spans="1:27" ht="15.75" customHeight="1" x14ac:dyDescent="0.3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</row>
    <row r="328" spans="1:27" ht="15.75" customHeight="1" x14ac:dyDescent="0.3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</row>
    <row r="329" spans="1:27" ht="15.75" customHeight="1" x14ac:dyDescent="0.3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</row>
    <row r="330" spans="1:27" ht="15.75" customHeight="1" x14ac:dyDescent="0.3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</row>
    <row r="331" spans="1:27" ht="15.75" customHeight="1" x14ac:dyDescent="0.3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</row>
    <row r="332" spans="1:27" ht="15.75" customHeight="1" x14ac:dyDescent="0.3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</row>
    <row r="333" spans="1:27" ht="15.75" customHeight="1" x14ac:dyDescent="0.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</row>
    <row r="334" spans="1:27" ht="15.75" customHeight="1" x14ac:dyDescent="0.3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</row>
    <row r="335" spans="1:27" ht="15.75" customHeight="1" x14ac:dyDescent="0.3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</row>
    <row r="336" spans="1:27" ht="15.75" customHeight="1" x14ac:dyDescent="0.3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</row>
    <row r="337" spans="1:27" ht="15.75" customHeight="1" x14ac:dyDescent="0.3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</row>
    <row r="338" spans="1:27" ht="15.75" customHeight="1" x14ac:dyDescent="0.3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</row>
    <row r="339" spans="1:27" ht="15.75" customHeight="1" x14ac:dyDescent="0.3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</row>
    <row r="340" spans="1:27" ht="15.75" customHeight="1" x14ac:dyDescent="0.3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</row>
    <row r="341" spans="1:27" ht="15.75" customHeight="1" x14ac:dyDescent="0.3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</row>
    <row r="342" spans="1:27" ht="15.75" customHeight="1" x14ac:dyDescent="0.3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</row>
    <row r="343" spans="1:27" ht="15.75" customHeight="1" x14ac:dyDescent="0.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</row>
    <row r="344" spans="1:27" ht="15.75" customHeight="1" x14ac:dyDescent="0.3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</row>
    <row r="345" spans="1:27" ht="15.75" customHeight="1" x14ac:dyDescent="0.3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</row>
    <row r="346" spans="1:27" ht="15.75" customHeight="1" x14ac:dyDescent="0.3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</row>
    <row r="347" spans="1:27" ht="15.75" customHeight="1" x14ac:dyDescent="0.3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</row>
    <row r="348" spans="1:27" ht="15.75" customHeight="1" x14ac:dyDescent="0.3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</row>
    <row r="349" spans="1:27" ht="15.75" customHeight="1" x14ac:dyDescent="0.3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</row>
    <row r="350" spans="1:27" ht="15.75" customHeight="1" x14ac:dyDescent="0.3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</row>
    <row r="351" spans="1:27" ht="15.75" customHeight="1" x14ac:dyDescent="0.3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</row>
    <row r="352" spans="1:27" ht="15.75" customHeight="1" x14ac:dyDescent="0.3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</row>
    <row r="353" spans="1:27" ht="15.75" customHeight="1" x14ac:dyDescent="0.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</row>
    <row r="354" spans="1:27" ht="15.75" customHeight="1" x14ac:dyDescent="0.3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</row>
    <row r="355" spans="1:27" ht="15.75" customHeight="1" x14ac:dyDescent="0.3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</row>
    <row r="356" spans="1:27" ht="15.75" customHeight="1" x14ac:dyDescent="0.3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</row>
    <row r="357" spans="1:27" ht="15.75" customHeight="1" x14ac:dyDescent="0.3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</row>
    <row r="358" spans="1:27" ht="15.75" customHeight="1" x14ac:dyDescent="0.3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</row>
    <row r="359" spans="1:27" ht="15.75" customHeight="1" x14ac:dyDescent="0.3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</row>
    <row r="360" spans="1:27" ht="15.75" customHeight="1" x14ac:dyDescent="0.3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</row>
    <row r="361" spans="1:27" ht="15.75" customHeight="1" x14ac:dyDescent="0.3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</row>
    <row r="362" spans="1:27" ht="15.75" customHeight="1" x14ac:dyDescent="0.3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</row>
    <row r="363" spans="1:27" ht="15.75" customHeight="1" x14ac:dyDescent="0.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</row>
    <row r="364" spans="1:27" ht="15.75" customHeight="1" x14ac:dyDescent="0.3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</row>
    <row r="365" spans="1:27" ht="15.75" customHeight="1" x14ac:dyDescent="0.3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</row>
    <row r="366" spans="1:27" ht="15.75" customHeight="1" x14ac:dyDescent="0.3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</row>
    <row r="367" spans="1:27" ht="15.75" customHeight="1" x14ac:dyDescent="0.3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</row>
    <row r="368" spans="1:27" ht="15.75" customHeight="1" x14ac:dyDescent="0.3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</row>
    <row r="369" spans="1:27" ht="15.75" customHeight="1" x14ac:dyDescent="0.3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</row>
    <row r="370" spans="1:27" ht="15.75" customHeight="1" x14ac:dyDescent="0.3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</row>
    <row r="371" spans="1:27" ht="15.75" customHeight="1" x14ac:dyDescent="0.3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</row>
    <row r="372" spans="1:27" ht="15.75" customHeight="1" x14ac:dyDescent="0.3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</row>
    <row r="373" spans="1:27" ht="15.75" customHeight="1" x14ac:dyDescent="0.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</row>
    <row r="374" spans="1:27" ht="15.75" customHeight="1" x14ac:dyDescent="0.3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</row>
    <row r="375" spans="1:27" ht="15.75" customHeight="1" x14ac:dyDescent="0.3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</row>
    <row r="376" spans="1:27" ht="15.75" customHeight="1" x14ac:dyDescent="0.3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</row>
    <row r="377" spans="1:27" ht="15.75" customHeight="1" x14ac:dyDescent="0.3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</row>
    <row r="378" spans="1:27" ht="15.75" customHeight="1" x14ac:dyDescent="0.3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</row>
    <row r="379" spans="1:27" ht="15.75" customHeight="1" x14ac:dyDescent="0.3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</row>
    <row r="380" spans="1:27" ht="15.75" customHeight="1" x14ac:dyDescent="0.3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</row>
    <row r="381" spans="1:27" ht="15.75" customHeight="1" x14ac:dyDescent="0.3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</row>
    <row r="382" spans="1:27" ht="15.75" customHeight="1" x14ac:dyDescent="0.3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</row>
    <row r="383" spans="1:27" ht="15.75" customHeight="1" x14ac:dyDescent="0.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</row>
    <row r="384" spans="1:27" ht="15.75" customHeight="1" x14ac:dyDescent="0.3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</row>
    <row r="385" spans="1:27" ht="15.75" customHeight="1" x14ac:dyDescent="0.3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</row>
    <row r="386" spans="1:27" ht="15.75" customHeight="1" x14ac:dyDescent="0.3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</row>
    <row r="387" spans="1:27" ht="15.75" customHeight="1" x14ac:dyDescent="0.3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</row>
    <row r="388" spans="1:27" ht="15.75" customHeight="1" x14ac:dyDescent="0.3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</row>
    <row r="389" spans="1:27" ht="15.75" customHeight="1" x14ac:dyDescent="0.3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</row>
    <row r="390" spans="1:27" ht="15.75" customHeight="1" x14ac:dyDescent="0.3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</row>
    <row r="391" spans="1:27" ht="15.75" customHeight="1" x14ac:dyDescent="0.3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</row>
    <row r="392" spans="1:27" ht="15.75" customHeight="1" x14ac:dyDescent="0.3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</row>
    <row r="393" spans="1:27" ht="15.75" customHeight="1" x14ac:dyDescent="0.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</row>
    <row r="394" spans="1:27" ht="15.75" customHeight="1" x14ac:dyDescent="0.3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</row>
    <row r="395" spans="1:27" ht="15.75" customHeight="1" x14ac:dyDescent="0.3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</row>
    <row r="396" spans="1:27" ht="15.75" customHeight="1" x14ac:dyDescent="0.3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</row>
    <row r="397" spans="1:27" ht="15.75" customHeight="1" x14ac:dyDescent="0.3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</row>
    <row r="398" spans="1:27" ht="15.75" customHeight="1" x14ac:dyDescent="0.3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</row>
    <row r="399" spans="1:27" ht="15.75" customHeight="1" x14ac:dyDescent="0.3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</row>
    <row r="400" spans="1:27" ht="15.75" customHeight="1" x14ac:dyDescent="0.3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</row>
    <row r="401" spans="1:27" ht="15.75" customHeight="1" x14ac:dyDescent="0.3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</row>
    <row r="402" spans="1:27" ht="15.75" customHeight="1" x14ac:dyDescent="0.3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</row>
    <row r="403" spans="1:27" ht="15.75" customHeight="1" x14ac:dyDescent="0.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</row>
    <row r="404" spans="1:27" ht="15.75" customHeight="1" x14ac:dyDescent="0.3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</row>
    <row r="405" spans="1:27" ht="15.75" customHeight="1" x14ac:dyDescent="0.3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</row>
    <row r="406" spans="1:27" ht="15.75" customHeight="1" x14ac:dyDescent="0.3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</row>
    <row r="407" spans="1:27" ht="15.75" customHeight="1" x14ac:dyDescent="0.3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</row>
    <row r="408" spans="1:27" ht="15.75" customHeight="1" x14ac:dyDescent="0.3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</row>
    <row r="409" spans="1:27" ht="15.75" customHeight="1" x14ac:dyDescent="0.3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</row>
    <row r="410" spans="1:27" ht="15.75" customHeight="1" x14ac:dyDescent="0.3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</row>
    <row r="411" spans="1:27" ht="15.75" customHeight="1" x14ac:dyDescent="0.3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</row>
    <row r="412" spans="1:27" ht="15.75" customHeight="1" x14ac:dyDescent="0.3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</row>
    <row r="413" spans="1:27" ht="15.75" customHeight="1" x14ac:dyDescent="0.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</row>
    <row r="414" spans="1:27" ht="15.75" customHeight="1" x14ac:dyDescent="0.3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</row>
    <row r="415" spans="1:27" ht="15.75" customHeight="1" x14ac:dyDescent="0.3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</row>
    <row r="416" spans="1:27" ht="15.75" customHeight="1" x14ac:dyDescent="0.3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</row>
    <row r="417" spans="1:27" ht="15.75" customHeight="1" x14ac:dyDescent="0.3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</row>
    <row r="418" spans="1:27" ht="15.75" customHeight="1" x14ac:dyDescent="0.3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</row>
    <row r="419" spans="1:27" ht="15.75" customHeight="1" x14ac:dyDescent="0.3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</row>
    <row r="420" spans="1:27" ht="15.75" customHeight="1" x14ac:dyDescent="0.3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</row>
    <row r="421" spans="1:27" ht="15.75" customHeight="1" x14ac:dyDescent="0.3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</row>
    <row r="422" spans="1:27" ht="15.75" customHeight="1" x14ac:dyDescent="0.3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</row>
    <row r="423" spans="1:27" ht="15.75" customHeight="1" x14ac:dyDescent="0.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</row>
    <row r="424" spans="1:27" ht="15.75" customHeight="1" x14ac:dyDescent="0.3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</row>
    <row r="425" spans="1:27" ht="15.75" customHeight="1" x14ac:dyDescent="0.3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</row>
    <row r="426" spans="1:27" ht="15.75" customHeight="1" x14ac:dyDescent="0.3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</row>
    <row r="427" spans="1:27" ht="15.75" customHeight="1" x14ac:dyDescent="0.3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</row>
    <row r="428" spans="1:27" ht="15.75" customHeight="1" x14ac:dyDescent="0.3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</row>
    <row r="429" spans="1:27" ht="15.75" customHeight="1" x14ac:dyDescent="0.3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</row>
    <row r="430" spans="1:27" ht="15.75" customHeight="1" x14ac:dyDescent="0.3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</row>
    <row r="431" spans="1:27" ht="15.75" customHeight="1" x14ac:dyDescent="0.3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</row>
    <row r="432" spans="1:27" ht="15.75" customHeight="1" x14ac:dyDescent="0.3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</row>
    <row r="433" spans="1:27" ht="15.75" customHeight="1" x14ac:dyDescent="0.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</row>
    <row r="434" spans="1:27" ht="15.75" customHeight="1" x14ac:dyDescent="0.3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</row>
    <row r="435" spans="1:27" ht="15.75" customHeight="1" x14ac:dyDescent="0.3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</row>
    <row r="436" spans="1:27" ht="15.75" customHeight="1" x14ac:dyDescent="0.3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</row>
    <row r="437" spans="1:27" ht="15.75" customHeight="1" x14ac:dyDescent="0.3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</row>
    <row r="438" spans="1:27" ht="15.75" customHeight="1" x14ac:dyDescent="0.3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</row>
    <row r="439" spans="1:27" ht="15.75" customHeight="1" x14ac:dyDescent="0.3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</row>
    <row r="440" spans="1:27" ht="15.75" customHeight="1" x14ac:dyDescent="0.3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</row>
    <row r="441" spans="1:27" ht="15.75" customHeight="1" x14ac:dyDescent="0.3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</row>
    <row r="442" spans="1:27" ht="15.75" customHeight="1" x14ac:dyDescent="0.3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</row>
    <row r="443" spans="1:27" ht="15.75" customHeight="1" x14ac:dyDescent="0.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</row>
    <row r="444" spans="1:27" ht="15.75" customHeight="1" x14ac:dyDescent="0.3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</row>
    <row r="445" spans="1:27" ht="15.75" customHeight="1" x14ac:dyDescent="0.3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</row>
    <row r="446" spans="1:27" ht="15.75" customHeight="1" x14ac:dyDescent="0.3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</row>
    <row r="447" spans="1:27" ht="15.75" customHeight="1" x14ac:dyDescent="0.3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</row>
    <row r="448" spans="1:27" ht="15.75" customHeight="1" x14ac:dyDescent="0.3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</row>
    <row r="449" spans="1:27" ht="15.75" customHeight="1" x14ac:dyDescent="0.3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</row>
    <row r="450" spans="1:27" ht="15.75" customHeight="1" x14ac:dyDescent="0.3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</row>
    <row r="451" spans="1:27" ht="15.75" customHeight="1" x14ac:dyDescent="0.3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</row>
    <row r="452" spans="1:27" ht="15.75" customHeight="1" x14ac:dyDescent="0.3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</row>
    <row r="453" spans="1:27" ht="15.75" customHeight="1" x14ac:dyDescent="0.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</row>
    <row r="454" spans="1:27" ht="15.75" customHeight="1" x14ac:dyDescent="0.3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</row>
    <row r="455" spans="1:27" ht="15.75" customHeight="1" x14ac:dyDescent="0.3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</row>
    <row r="456" spans="1:27" ht="15.75" customHeight="1" x14ac:dyDescent="0.3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</row>
    <row r="457" spans="1:27" ht="15.75" customHeight="1" x14ac:dyDescent="0.3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</row>
    <row r="458" spans="1:27" ht="15.75" customHeight="1" x14ac:dyDescent="0.3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</row>
    <row r="459" spans="1:27" ht="15.75" customHeight="1" x14ac:dyDescent="0.3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</row>
    <row r="460" spans="1:27" ht="15.75" customHeight="1" x14ac:dyDescent="0.3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</row>
    <row r="461" spans="1:27" ht="15.75" customHeight="1" x14ac:dyDescent="0.3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</row>
    <row r="462" spans="1:27" ht="15.75" customHeight="1" x14ac:dyDescent="0.3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</row>
    <row r="463" spans="1:27" ht="15.75" customHeight="1" x14ac:dyDescent="0.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</row>
    <row r="464" spans="1:27" ht="15.75" customHeight="1" x14ac:dyDescent="0.3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</row>
    <row r="465" spans="1:27" ht="15.75" customHeight="1" x14ac:dyDescent="0.3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</row>
    <row r="466" spans="1:27" ht="15.75" customHeight="1" x14ac:dyDescent="0.3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</row>
    <row r="467" spans="1:27" ht="15.75" customHeight="1" x14ac:dyDescent="0.3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</row>
    <row r="468" spans="1:27" ht="15.75" customHeight="1" x14ac:dyDescent="0.3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</row>
    <row r="469" spans="1:27" ht="15.75" customHeight="1" x14ac:dyDescent="0.3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</row>
    <row r="470" spans="1:27" ht="15.75" customHeight="1" x14ac:dyDescent="0.3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</row>
    <row r="471" spans="1:27" ht="15.75" customHeight="1" x14ac:dyDescent="0.3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</row>
    <row r="472" spans="1:27" ht="15.75" customHeight="1" x14ac:dyDescent="0.3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</row>
    <row r="473" spans="1:27" ht="15.75" customHeight="1" x14ac:dyDescent="0.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</row>
    <row r="474" spans="1:27" ht="15.75" customHeight="1" x14ac:dyDescent="0.3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</row>
    <row r="475" spans="1:27" ht="15.75" customHeight="1" x14ac:dyDescent="0.3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</row>
    <row r="476" spans="1:27" ht="15.75" customHeight="1" x14ac:dyDescent="0.3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</row>
    <row r="477" spans="1:27" ht="15.75" customHeight="1" x14ac:dyDescent="0.3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</row>
    <row r="478" spans="1:27" ht="15.75" customHeight="1" x14ac:dyDescent="0.3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</row>
    <row r="479" spans="1:27" ht="15.75" customHeight="1" x14ac:dyDescent="0.3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</row>
    <row r="480" spans="1:27" ht="15.75" customHeight="1" x14ac:dyDescent="0.3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</row>
    <row r="481" spans="1:27" ht="15.75" customHeight="1" x14ac:dyDescent="0.3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</row>
    <row r="482" spans="1:27" ht="15.75" customHeight="1" x14ac:dyDescent="0.3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</row>
    <row r="483" spans="1:27" ht="15.75" customHeight="1" x14ac:dyDescent="0.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</row>
    <row r="484" spans="1:27" ht="15.75" customHeight="1" x14ac:dyDescent="0.3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</row>
    <row r="485" spans="1:27" ht="15.75" customHeight="1" x14ac:dyDescent="0.3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</row>
    <row r="486" spans="1:27" ht="15.75" customHeight="1" x14ac:dyDescent="0.3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</row>
    <row r="487" spans="1:27" ht="15.75" customHeight="1" x14ac:dyDescent="0.3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</row>
    <row r="488" spans="1:27" ht="15.75" customHeight="1" x14ac:dyDescent="0.3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</row>
    <row r="489" spans="1:27" ht="15.75" customHeight="1" x14ac:dyDescent="0.3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</row>
    <row r="490" spans="1:27" ht="15.75" customHeight="1" x14ac:dyDescent="0.3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</row>
    <row r="491" spans="1:27" ht="15.75" customHeight="1" x14ac:dyDescent="0.3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</row>
    <row r="492" spans="1:27" ht="15.75" customHeight="1" x14ac:dyDescent="0.3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</row>
    <row r="493" spans="1:27" ht="15.75" customHeight="1" x14ac:dyDescent="0.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</row>
    <row r="494" spans="1:27" ht="15.75" customHeight="1" x14ac:dyDescent="0.3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</row>
    <row r="495" spans="1:27" ht="15.75" customHeight="1" x14ac:dyDescent="0.3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</row>
    <row r="496" spans="1:27" ht="15.75" customHeight="1" x14ac:dyDescent="0.3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</row>
    <row r="497" spans="1:27" ht="15.75" customHeight="1" x14ac:dyDescent="0.3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</row>
    <row r="498" spans="1:27" ht="15.75" customHeight="1" x14ac:dyDescent="0.3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</row>
    <row r="499" spans="1:27" ht="15.75" customHeight="1" x14ac:dyDescent="0.3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</row>
    <row r="500" spans="1:27" ht="15.75" customHeight="1" x14ac:dyDescent="0.3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</row>
    <row r="501" spans="1:27" ht="15.75" customHeight="1" x14ac:dyDescent="0.3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</row>
    <row r="502" spans="1:27" ht="15.75" customHeight="1" x14ac:dyDescent="0.3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</row>
    <row r="503" spans="1:27" ht="15.75" customHeight="1" x14ac:dyDescent="0.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</row>
    <row r="504" spans="1:27" ht="15.75" customHeight="1" x14ac:dyDescent="0.3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</row>
    <row r="505" spans="1:27" ht="15.75" customHeight="1" x14ac:dyDescent="0.3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</row>
    <row r="506" spans="1:27" ht="15.75" customHeight="1" x14ac:dyDescent="0.3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</row>
    <row r="507" spans="1:27" ht="15.75" customHeight="1" x14ac:dyDescent="0.3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</row>
    <row r="508" spans="1:27" ht="15.75" customHeight="1" x14ac:dyDescent="0.3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</row>
    <row r="509" spans="1:27" ht="15.75" customHeight="1" x14ac:dyDescent="0.3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</row>
    <row r="510" spans="1:27" ht="15.75" customHeight="1" x14ac:dyDescent="0.3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</row>
    <row r="511" spans="1:27" ht="15.75" customHeight="1" x14ac:dyDescent="0.3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</row>
    <row r="512" spans="1:27" ht="15.75" customHeight="1" x14ac:dyDescent="0.3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</row>
    <row r="513" spans="1:27" ht="15.75" customHeight="1" x14ac:dyDescent="0.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</row>
    <row r="514" spans="1:27" ht="15.75" customHeight="1" x14ac:dyDescent="0.3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</row>
    <row r="515" spans="1:27" ht="15.75" customHeight="1" x14ac:dyDescent="0.3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</row>
    <row r="516" spans="1:27" ht="15.75" customHeight="1" x14ac:dyDescent="0.3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</row>
    <row r="517" spans="1:27" ht="15.75" customHeight="1" x14ac:dyDescent="0.3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</row>
    <row r="518" spans="1:27" ht="15.75" customHeight="1" x14ac:dyDescent="0.3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</row>
    <row r="519" spans="1:27" ht="15.75" customHeight="1" x14ac:dyDescent="0.3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</row>
    <row r="520" spans="1:27" ht="15.75" customHeight="1" x14ac:dyDescent="0.3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</row>
    <row r="521" spans="1:27" ht="15.75" customHeight="1" x14ac:dyDescent="0.3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</row>
    <row r="522" spans="1:27" ht="15.75" customHeight="1" x14ac:dyDescent="0.3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</row>
    <row r="523" spans="1:27" ht="15.75" customHeight="1" x14ac:dyDescent="0.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</row>
    <row r="524" spans="1:27" ht="15.75" customHeight="1" x14ac:dyDescent="0.3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</row>
    <row r="525" spans="1:27" ht="15.75" customHeight="1" x14ac:dyDescent="0.3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</row>
    <row r="526" spans="1:27" ht="15.75" customHeight="1" x14ac:dyDescent="0.3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</row>
    <row r="527" spans="1:27" ht="15.75" customHeight="1" x14ac:dyDescent="0.3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</row>
    <row r="528" spans="1:27" ht="15.75" customHeight="1" x14ac:dyDescent="0.3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</row>
    <row r="529" spans="1:27" ht="15.75" customHeight="1" x14ac:dyDescent="0.3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</row>
    <row r="530" spans="1:27" ht="15.75" customHeight="1" x14ac:dyDescent="0.3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</row>
    <row r="531" spans="1:27" ht="15.75" customHeight="1" x14ac:dyDescent="0.3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</row>
    <row r="532" spans="1:27" ht="15.75" customHeight="1" x14ac:dyDescent="0.3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</row>
    <row r="533" spans="1:27" ht="15.75" customHeight="1" x14ac:dyDescent="0.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</row>
    <row r="534" spans="1:27" ht="15.75" customHeight="1" x14ac:dyDescent="0.3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</row>
    <row r="535" spans="1:27" ht="15.75" customHeight="1" x14ac:dyDescent="0.3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</row>
    <row r="536" spans="1:27" ht="15.75" customHeight="1" x14ac:dyDescent="0.3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</row>
    <row r="537" spans="1:27" ht="15.75" customHeight="1" x14ac:dyDescent="0.3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</row>
    <row r="538" spans="1:27" ht="15.75" customHeight="1" x14ac:dyDescent="0.3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</row>
    <row r="539" spans="1:27" ht="15.75" customHeight="1" x14ac:dyDescent="0.3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</row>
    <row r="540" spans="1:27" ht="15.75" customHeight="1" x14ac:dyDescent="0.3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</row>
    <row r="541" spans="1:27" ht="15.75" customHeight="1" x14ac:dyDescent="0.3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</row>
    <row r="542" spans="1:27" ht="15.75" customHeight="1" x14ac:dyDescent="0.3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</row>
    <row r="543" spans="1:27" ht="15.75" customHeight="1" x14ac:dyDescent="0.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</row>
    <row r="544" spans="1:27" ht="15.75" customHeight="1" x14ac:dyDescent="0.3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</row>
    <row r="545" spans="1:27" ht="15.75" customHeight="1" x14ac:dyDescent="0.3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</row>
    <row r="546" spans="1:27" ht="15.75" customHeight="1" x14ac:dyDescent="0.3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</row>
    <row r="547" spans="1:27" ht="15.75" customHeight="1" x14ac:dyDescent="0.3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</row>
    <row r="548" spans="1:27" ht="15.75" customHeight="1" x14ac:dyDescent="0.3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</row>
    <row r="549" spans="1:27" ht="15.75" customHeight="1" x14ac:dyDescent="0.3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</row>
    <row r="550" spans="1:27" ht="15.75" customHeight="1" x14ac:dyDescent="0.3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</row>
    <row r="551" spans="1:27" ht="15.75" customHeight="1" x14ac:dyDescent="0.3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</row>
    <row r="552" spans="1:27" ht="15.75" customHeight="1" x14ac:dyDescent="0.3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</row>
    <row r="553" spans="1:27" ht="15.75" customHeight="1" x14ac:dyDescent="0.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</row>
    <row r="554" spans="1:27" ht="15.75" customHeight="1" x14ac:dyDescent="0.3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</row>
    <row r="555" spans="1:27" ht="15.75" customHeight="1" x14ac:dyDescent="0.3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</row>
    <row r="556" spans="1:27" ht="15.75" customHeight="1" x14ac:dyDescent="0.3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</row>
    <row r="557" spans="1:27" ht="15.75" customHeight="1" x14ac:dyDescent="0.3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</row>
    <row r="558" spans="1:27" ht="15.75" customHeight="1" x14ac:dyDescent="0.3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</row>
    <row r="559" spans="1:27" ht="15.75" customHeight="1" x14ac:dyDescent="0.3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</row>
    <row r="560" spans="1:27" ht="15.75" customHeight="1" x14ac:dyDescent="0.3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</row>
    <row r="561" spans="1:27" ht="15.75" customHeight="1" x14ac:dyDescent="0.3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</row>
    <row r="562" spans="1:27" ht="15.75" customHeight="1" x14ac:dyDescent="0.3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</row>
    <row r="563" spans="1:27" ht="15.75" customHeight="1" x14ac:dyDescent="0.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</row>
    <row r="564" spans="1:27" ht="15.75" customHeight="1" x14ac:dyDescent="0.3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</row>
    <row r="565" spans="1:27" ht="15.75" customHeight="1" x14ac:dyDescent="0.3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</row>
    <row r="566" spans="1:27" ht="15.75" customHeight="1" x14ac:dyDescent="0.3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</row>
    <row r="567" spans="1:27" ht="15.75" customHeight="1" x14ac:dyDescent="0.3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</row>
    <row r="568" spans="1:27" ht="15.75" customHeight="1" x14ac:dyDescent="0.3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</row>
    <row r="569" spans="1:27" ht="15.75" customHeight="1" x14ac:dyDescent="0.3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</row>
    <row r="570" spans="1:27" ht="15.75" customHeight="1" x14ac:dyDescent="0.3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</row>
    <row r="571" spans="1:27" ht="15.75" customHeight="1" x14ac:dyDescent="0.3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</row>
    <row r="572" spans="1:27" ht="15.75" customHeight="1" x14ac:dyDescent="0.3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</row>
    <row r="573" spans="1:27" ht="15.75" customHeight="1" x14ac:dyDescent="0.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</row>
    <row r="574" spans="1:27" ht="15.75" customHeight="1" x14ac:dyDescent="0.3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</row>
    <row r="575" spans="1:27" ht="15.75" customHeight="1" x14ac:dyDescent="0.3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</row>
    <row r="576" spans="1:27" ht="15.75" customHeight="1" x14ac:dyDescent="0.3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</row>
    <row r="577" spans="1:27" ht="15.75" customHeight="1" x14ac:dyDescent="0.3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</row>
    <row r="578" spans="1:27" ht="15.75" customHeight="1" x14ac:dyDescent="0.3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</row>
    <row r="579" spans="1:27" ht="15.75" customHeight="1" x14ac:dyDescent="0.3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</row>
    <row r="580" spans="1:27" ht="15.75" customHeight="1" x14ac:dyDescent="0.3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</row>
    <row r="581" spans="1:27" ht="15.75" customHeight="1" x14ac:dyDescent="0.3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</row>
    <row r="582" spans="1:27" ht="15.75" customHeight="1" x14ac:dyDescent="0.3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</row>
    <row r="583" spans="1:27" ht="15.75" customHeight="1" x14ac:dyDescent="0.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</row>
    <row r="584" spans="1:27" ht="15.75" customHeight="1" x14ac:dyDescent="0.3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</row>
    <row r="585" spans="1:27" ht="15.75" customHeight="1" x14ac:dyDescent="0.3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</row>
    <row r="586" spans="1:27" ht="15.75" customHeight="1" x14ac:dyDescent="0.3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</row>
    <row r="587" spans="1:27" ht="15.75" customHeight="1" x14ac:dyDescent="0.3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</row>
    <row r="588" spans="1:27" ht="15.75" customHeight="1" x14ac:dyDescent="0.3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</row>
    <row r="589" spans="1:27" ht="15.75" customHeight="1" x14ac:dyDescent="0.3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</row>
    <row r="590" spans="1:27" ht="15.75" customHeight="1" x14ac:dyDescent="0.3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</row>
    <row r="591" spans="1:27" ht="15.75" customHeight="1" x14ac:dyDescent="0.3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</row>
    <row r="592" spans="1:27" ht="15.75" customHeight="1" x14ac:dyDescent="0.3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</row>
    <row r="593" spans="1:27" ht="15.75" customHeight="1" x14ac:dyDescent="0.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</row>
    <row r="594" spans="1:27" ht="15.75" customHeight="1" x14ac:dyDescent="0.3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</row>
    <row r="595" spans="1:27" ht="15.75" customHeight="1" x14ac:dyDescent="0.3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</row>
    <row r="596" spans="1:27" ht="15.75" customHeight="1" x14ac:dyDescent="0.3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</row>
    <row r="597" spans="1:27" ht="15.75" customHeight="1" x14ac:dyDescent="0.3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</row>
    <row r="598" spans="1:27" ht="15.75" customHeight="1" x14ac:dyDescent="0.3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</row>
    <row r="599" spans="1:27" ht="15.75" customHeight="1" x14ac:dyDescent="0.3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</row>
    <row r="600" spans="1:27" ht="15.75" customHeight="1" x14ac:dyDescent="0.3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</row>
    <row r="601" spans="1:27" ht="15.75" customHeight="1" x14ac:dyDescent="0.3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</row>
    <row r="602" spans="1:27" ht="15.75" customHeight="1" x14ac:dyDescent="0.3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</row>
    <row r="603" spans="1:27" ht="15.75" customHeight="1" x14ac:dyDescent="0.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</row>
    <row r="604" spans="1:27" ht="15.75" customHeight="1" x14ac:dyDescent="0.3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</row>
    <row r="605" spans="1:27" ht="15.75" customHeight="1" x14ac:dyDescent="0.3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</row>
    <row r="606" spans="1:27" ht="15.75" customHeight="1" x14ac:dyDescent="0.3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</row>
    <row r="607" spans="1:27" ht="15.75" customHeight="1" x14ac:dyDescent="0.3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</row>
    <row r="608" spans="1:27" ht="15.75" customHeight="1" x14ac:dyDescent="0.3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</row>
    <row r="609" spans="1:27" ht="15.75" customHeight="1" x14ac:dyDescent="0.3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</row>
    <row r="610" spans="1:27" ht="15.75" customHeight="1" x14ac:dyDescent="0.3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</row>
    <row r="611" spans="1:27" ht="15.75" customHeight="1" x14ac:dyDescent="0.3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</row>
    <row r="612" spans="1:27" ht="15.75" customHeight="1" x14ac:dyDescent="0.3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</row>
    <row r="613" spans="1:27" ht="15.75" customHeight="1" x14ac:dyDescent="0.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</row>
    <row r="614" spans="1:27" ht="15.75" customHeight="1" x14ac:dyDescent="0.3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</row>
    <row r="615" spans="1:27" ht="15.75" customHeight="1" x14ac:dyDescent="0.3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</row>
    <row r="616" spans="1:27" ht="15.75" customHeight="1" x14ac:dyDescent="0.3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</row>
    <row r="617" spans="1:27" ht="15.75" customHeight="1" x14ac:dyDescent="0.3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</row>
    <row r="618" spans="1:27" ht="15.75" customHeight="1" x14ac:dyDescent="0.3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</row>
    <row r="619" spans="1:27" ht="15.75" customHeight="1" x14ac:dyDescent="0.3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</row>
    <row r="620" spans="1:27" ht="15.75" customHeight="1" x14ac:dyDescent="0.3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</row>
    <row r="621" spans="1:27" ht="15.75" customHeight="1" x14ac:dyDescent="0.3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</row>
    <row r="622" spans="1:27" ht="15.75" customHeight="1" x14ac:dyDescent="0.3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</row>
    <row r="623" spans="1:27" ht="15.75" customHeight="1" x14ac:dyDescent="0.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</row>
    <row r="624" spans="1:27" ht="15.75" customHeight="1" x14ac:dyDescent="0.3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</row>
    <row r="625" spans="1:27" ht="15.75" customHeight="1" x14ac:dyDescent="0.3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</row>
    <row r="626" spans="1:27" ht="15.75" customHeight="1" x14ac:dyDescent="0.3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</row>
    <row r="627" spans="1:27" ht="15.75" customHeight="1" x14ac:dyDescent="0.3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</row>
    <row r="628" spans="1:27" ht="15.75" customHeight="1" x14ac:dyDescent="0.3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</row>
    <row r="629" spans="1:27" ht="15.75" customHeight="1" x14ac:dyDescent="0.3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</row>
    <row r="630" spans="1:27" ht="15.75" customHeight="1" x14ac:dyDescent="0.3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</row>
    <row r="631" spans="1:27" ht="15.75" customHeight="1" x14ac:dyDescent="0.3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</row>
    <row r="632" spans="1:27" ht="15.75" customHeight="1" x14ac:dyDescent="0.3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</row>
    <row r="633" spans="1:27" ht="15.75" customHeight="1" x14ac:dyDescent="0.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</row>
    <row r="634" spans="1:27" ht="15.75" customHeight="1" x14ac:dyDescent="0.3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</row>
    <row r="635" spans="1:27" ht="15.75" customHeight="1" x14ac:dyDescent="0.3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</row>
    <row r="636" spans="1:27" ht="15.75" customHeight="1" x14ac:dyDescent="0.3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</row>
    <row r="637" spans="1:27" ht="15.75" customHeight="1" x14ac:dyDescent="0.3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</row>
    <row r="638" spans="1:27" ht="15.75" customHeight="1" x14ac:dyDescent="0.3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</row>
    <row r="639" spans="1:27" ht="15.75" customHeight="1" x14ac:dyDescent="0.3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</row>
    <row r="640" spans="1:27" ht="15.75" customHeight="1" x14ac:dyDescent="0.3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</row>
    <row r="641" spans="1:27" ht="15.75" customHeight="1" x14ac:dyDescent="0.3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</row>
    <row r="642" spans="1:27" ht="15.75" customHeight="1" x14ac:dyDescent="0.3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</row>
    <row r="643" spans="1:27" ht="15.75" customHeight="1" x14ac:dyDescent="0.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</row>
    <row r="644" spans="1:27" ht="15.75" customHeight="1" x14ac:dyDescent="0.3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</row>
    <row r="645" spans="1:27" ht="15.75" customHeight="1" x14ac:dyDescent="0.3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</row>
    <row r="646" spans="1:27" ht="15.75" customHeight="1" x14ac:dyDescent="0.3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</row>
    <row r="647" spans="1:27" ht="15.75" customHeight="1" x14ac:dyDescent="0.3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</row>
    <row r="648" spans="1:27" ht="15.75" customHeight="1" x14ac:dyDescent="0.3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</row>
    <row r="649" spans="1:27" ht="15.75" customHeight="1" x14ac:dyDescent="0.3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</row>
    <row r="650" spans="1:27" ht="15.75" customHeight="1" x14ac:dyDescent="0.3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</row>
    <row r="651" spans="1:27" ht="15.75" customHeight="1" x14ac:dyDescent="0.3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</row>
    <row r="652" spans="1:27" ht="15.75" customHeight="1" x14ac:dyDescent="0.3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</row>
    <row r="653" spans="1:27" ht="15.75" customHeight="1" x14ac:dyDescent="0.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</row>
    <row r="654" spans="1:27" ht="15.75" customHeight="1" x14ac:dyDescent="0.3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</row>
    <row r="655" spans="1:27" ht="15.75" customHeight="1" x14ac:dyDescent="0.3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</row>
    <row r="656" spans="1:27" ht="15.75" customHeight="1" x14ac:dyDescent="0.3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</row>
    <row r="657" spans="1:27" ht="15.75" customHeight="1" x14ac:dyDescent="0.3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</row>
    <row r="658" spans="1:27" ht="15.75" customHeight="1" x14ac:dyDescent="0.3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</row>
    <row r="659" spans="1:27" ht="15.75" customHeight="1" x14ac:dyDescent="0.3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</row>
    <row r="660" spans="1:27" ht="15.75" customHeight="1" x14ac:dyDescent="0.3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</row>
    <row r="661" spans="1:27" ht="15.75" customHeight="1" x14ac:dyDescent="0.3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</row>
    <row r="662" spans="1:27" ht="15.75" customHeight="1" x14ac:dyDescent="0.3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</row>
    <row r="663" spans="1:27" ht="15.75" customHeight="1" x14ac:dyDescent="0.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</row>
    <row r="664" spans="1:27" ht="15.75" customHeight="1" x14ac:dyDescent="0.3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</row>
    <row r="665" spans="1:27" ht="15.75" customHeight="1" x14ac:dyDescent="0.3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</row>
    <row r="666" spans="1:27" ht="15.75" customHeight="1" x14ac:dyDescent="0.3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</row>
    <row r="667" spans="1:27" ht="15.75" customHeight="1" x14ac:dyDescent="0.3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</row>
    <row r="668" spans="1:27" ht="15.75" customHeight="1" x14ac:dyDescent="0.3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</row>
    <row r="669" spans="1:27" ht="15.75" customHeight="1" x14ac:dyDescent="0.3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</row>
    <row r="670" spans="1:27" ht="15.75" customHeight="1" x14ac:dyDescent="0.3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</row>
    <row r="671" spans="1:27" ht="15.75" customHeight="1" x14ac:dyDescent="0.3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</row>
    <row r="672" spans="1:27" ht="15.75" customHeight="1" x14ac:dyDescent="0.3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</row>
    <row r="673" spans="1:27" ht="15.75" customHeight="1" x14ac:dyDescent="0.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</row>
    <row r="674" spans="1:27" ht="15.75" customHeight="1" x14ac:dyDescent="0.3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</row>
    <row r="675" spans="1:27" ht="15.75" customHeight="1" x14ac:dyDescent="0.3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</row>
    <row r="676" spans="1:27" ht="15.75" customHeight="1" x14ac:dyDescent="0.3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</row>
    <row r="677" spans="1:27" ht="15.75" customHeight="1" x14ac:dyDescent="0.3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</row>
    <row r="678" spans="1:27" ht="15.75" customHeight="1" x14ac:dyDescent="0.3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</row>
    <row r="679" spans="1:27" ht="15.75" customHeight="1" x14ac:dyDescent="0.3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</row>
    <row r="680" spans="1:27" ht="15.75" customHeight="1" x14ac:dyDescent="0.3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</row>
    <row r="681" spans="1:27" ht="15.75" customHeight="1" x14ac:dyDescent="0.3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</row>
    <row r="682" spans="1:27" ht="15.75" customHeight="1" x14ac:dyDescent="0.3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</row>
    <row r="683" spans="1:27" ht="15.75" customHeight="1" x14ac:dyDescent="0.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</row>
    <row r="684" spans="1:27" ht="15.75" customHeight="1" x14ac:dyDescent="0.3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</row>
    <row r="685" spans="1:27" ht="15.75" customHeight="1" x14ac:dyDescent="0.3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</row>
    <row r="686" spans="1:27" ht="15.75" customHeight="1" x14ac:dyDescent="0.3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</row>
    <row r="687" spans="1:27" ht="15.75" customHeight="1" x14ac:dyDescent="0.3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</row>
    <row r="688" spans="1:27" ht="15.75" customHeight="1" x14ac:dyDescent="0.3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</row>
    <row r="689" spans="1:27" ht="15.75" customHeight="1" x14ac:dyDescent="0.3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</row>
    <row r="690" spans="1:27" ht="15.75" customHeight="1" x14ac:dyDescent="0.3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</row>
    <row r="691" spans="1:27" ht="15.75" customHeight="1" x14ac:dyDescent="0.3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</row>
    <row r="692" spans="1:27" ht="15.75" customHeight="1" x14ac:dyDescent="0.3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</row>
    <row r="693" spans="1:27" ht="15.75" customHeight="1" x14ac:dyDescent="0.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</row>
    <row r="694" spans="1:27" ht="15.75" customHeight="1" x14ac:dyDescent="0.3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</row>
    <row r="695" spans="1:27" ht="15.75" customHeight="1" x14ac:dyDescent="0.3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</row>
    <row r="696" spans="1:27" ht="15.75" customHeight="1" x14ac:dyDescent="0.3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</row>
    <row r="697" spans="1:27" ht="15.75" customHeight="1" x14ac:dyDescent="0.3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</row>
    <row r="698" spans="1:27" ht="15.75" customHeight="1" x14ac:dyDescent="0.3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</row>
    <row r="699" spans="1:27" ht="15.75" customHeight="1" x14ac:dyDescent="0.3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</row>
    <row r="700" spans="1:27" ht="15.75" customHeight="1" x14ac:dyDescent="0.3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</row>
    <row r="701" spans="1:27" ht="15.75" customHeight="1" x14ac:dyDescent="0.3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</row>
    <row r="702" spans="1:27" ht="15.75" customHeight="1" x14ac:dyDescent="0.3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</row>
    <row r="703" spans="1:27" ht="15.75" customHeight="1" x14ac:dyDescent="0.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</row>
    <row r="704" spans="1:27" ht="15.75" customHeight="1" x14ac:dyDescent="0.3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</row>
    <row r="705" spans="1:27" ht="15.75" customHeight="1" x14ac:dyDescent="0.3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</row>
    <row r="706" spans="1:27" ht="15.75" customHeight="1" x14ac:dyDescent="0.3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</row>
    <row r="707" spans="1:27" ht="15.75" customHeight="1" x14ac:dyDescent="0.3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</row>
    <row r="708" spans="1:27" ht="15.75" customHeight="1" x14ac:dyDescent="0.3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</row>
    <row r="709" spans="1:27" ht="15.75" customHeight="1" x14ac:dyDescent="0.3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</row>
    <row r="710" spans="1:27" ht="15.75" customHeight="1" x14ac:dyDescent="0.3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</row>
    <row r="711" spans="1:27" ht="15.75" customHeight="1" x14ac:dyDescent="0.3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</row>
    <row r="712" spans="1:27" ht="15.75" customHeight="1" x14ac:dyDescent="0.3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</row>
    <row r="713" spans="1:27" ht="15.75" customHeight="1" x14ac:dyDescent="0.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</row>
    <row r="714" spans="1:27" ht="15.75" customHeight="1" x14ac:dyDescent="0.3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</row>
    <row r="715" spans="1:27" ht="15.75" customHeight="1" x14ac:dyDescent="0.3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</row>
    <row r="716" spans="1:27" ht="15.75" customHeight="1" x14ac:dyDescent="0.3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</row>
    <row r="717" spans="1:27" ht="15.75" customHeight="1" x14ac:dyDescent="0.3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</row>
    <row r="718" spans="1:27" ht="15.75" customHeight="1" x14ac:dyDescent="0.3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</row>
    <row r="719" spans="1:27" ht="15.75" customHeight="1" x14ac:dyDescent="0.3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</row>
    <row r="720" spans="1:27" ht="15.75" customHeight="1" x14ac:dyDescent="0.3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</row>
    <row r="721" spans="1:27" ht="15.75" customHeight="1" x14ac:dyDescent="0.3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</row>
    <row r="722" spans="1:27" ht="15.75" customHeight="1" x14ac:dyDescent="0.3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</row>
    <row r="723" spans="1:27" ht="15.75" customHeight="1" x14ac:dyDescent="0.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</row>
    <row r="724" spans="1:27" ht="15.75" customHeight="1" x14ac:dyDescent="0.3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</row>
    <row r="725" spans="1:27" ht="15.75" customHeight="1" x14ac:dyDescent="0.3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</row>
    <row r="726" spans="1:27" ht="15.75" customHeight="1" x14ac:dyDescent="0.3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</row>
    <row r="727" spans="1:27" ht="15.75" customHeight="1" x14ac:dyDescent="0.3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</row>
    <row r="728" spans="1:27" ht="15.75" customHeight="1" x14ac:dyDescent="0.3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</row>
    <row r="729" spans="1:27" ht="15.75" customHeight="1" x14ac:dyDescent="0.3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</row>
    <row r="730" spans="1:27" ht="15.75" customHeight="1" x14ac:dyDescent="0.3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</row>
    <row r="731" spans="1:27" ht="15.75" customHeight="1" x14ac:dyDescent="0.3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</row>
    <row r="732" spans="1:27" ht="15.75" customHeight="1" x14ac:dyDescent="0.3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</row>
    <row r="733" spans="1:27" ht="15.75" customHeight="1" x14ac:dyDescent="0.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</row>
    <row r="734" spans="1:27" ht="15.75" customHeight="1" x14ac:dyDescent="0.3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</row>
    <row r="735" spans="1:27" ht="15.75" customHeight="1" x14ac:dyDescent="0.3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</row>
    <row r="736" spans="1:27" ht="15.75" customHeight="1" x14ac:dyDescent="0.3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</row>
    <row r="737" spans="1:27" ht="15.75" customHeight="1" x14ac:dyDescent="0.3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</row>
    <row r="738" spans="1:27" ht="15.75" customHeight="1" x14ac:dyDescent="0.3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</row>
    <row r="739" spans="1:27" ht="15.75" customHeight="1" x14ac:dyDescent="0.3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</row>
    <row r="740" spans="1:27" ht="15.75" customHeight="1" x14ac:dyDescent="0.3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</row>
    <row r="741" spans="1:27" ht="15.75" customHeight="1" x14ac:dyDescent="0.3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</row>
    <row r="742" spans="1:27" ht="15.75" customHeight="1" x14ac:dyDescent="0.3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</row>
    <row r="743" spans="1:27" ht="15.75" customHeight="1" x14ac:dyDescent="0.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</row>
    <row r="744" spans="1:27" ht="15.75" customHeight="1" x14ac:dyDescent="0.3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</row>
    <row r="745" spans="1:27" ht="15.75" customHeight="1" x14ac:dyDescent="0.3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</row>
    <row r="746" spans="1:27" ht="15.75" customHeight="1" x14ac:dyDescent="0.3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</row>
    <row r="747" spans="1:27" ht="15.75" customHeight="1" x14ac:dyDescent="0.3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</row>
    <row r="748" spans="1:27" ht="15.75" customHeight="1" x14ac:dyDescent="0.3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</row>
    <row r="749" spans="1:27" ht="15.75" customHeight="1" x14ac:dyDescent="0.3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</row>
    <row r="750" spans="1:27" ht="15.75" customHeight="1" x14ac:dyDescent="0.3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</row>
    <row r="751" spans="1:27" ht="15.75" customHeight="1" x14ac:dyDescent="0.3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</row>
    <row r="752" spans="1:27" ht="15.75" customHeight="1" x14ac:dyDescent="0.3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</row>
    <row r="753" spans="1:27" ht="15.75" customHeight="1" x14ac:dyDescent="0.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</row>
    <row r="754" spans="1:27" ht="15.75" customHeight="1" x14ac:dyDescent="0.3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</row>
    <row r="755" spans="1:27" ht="15.75" customHeight="1" x14ac:dyDescent="0.3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</row>
    <row r="756" spans="1:27" ht="15.75" customHeight="1" x14ac:dyDescent="0.3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</row>
    <row r="757" spans="1:27" ht="15.75" customHeight="1" x14ac:dyDescent="0.3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</row>
    <row r="758" spans="1:27" ht="15.75" customHeight="1" x14ac:dyDescent="0.3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</row>
    <row r="759" spans="1:27" ht="15.75" customHeight="1" x14ac:dyDescent="0.3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</row>
    <row r="760" spans="1:27" ht="15.75" customHeight="1" x14ac:dyDescent="0.3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</row>
    <row r="761" spans="1:27" ht="15.75" customHeight="1" x14ac:dyDescent="0.3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</row>
    <row r="762" spans="1:27" ht="15.75" customHeight="1" x14ac:dyDescent="0.3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</row>
    <row r="763" spans="1:27" ht="15.75" customHeight="1" x14ac:dyDescent="0.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</row>
    <row r="764" spans="1:27" ht="15.75" customHeight="1" x14ac:dyDescent="0.3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</row>
    <row r="765" spans="1:27" ht="15.75" customHeight="1" x14ac:dyDescent="0.3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</row>
    <row r="766" spans="1:27" ht="15.75" customHeight="1" x14ac:dyDescent="0.3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</row>
    <row r="767" spans="1:27" ht="15.75" customHeight="1" x14ac:dyDescent="0.3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</row>
    <row r="768" spans="1:27" ht="15.75" customHeight="1" x14ac:dyDescent="0.3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</row>
    <row r="769" spans="1:27" ht="15.75" customHeight="1" x14ac:dyDescent="0.3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</row>
    <row r="770" spans="1:27" ht="15.75" customHeight="1" x14ac:dyDescent="0.3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</row>
    <row r="771" spans="1:27" ht="15.75" customHeight="1" x14ac:dyDescent="0.3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</row>
    <row r="772" spans="1:27" ht="15.75" customHeight="1" x14ac:dyDescent="0.3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</row>
    <row r="773" spans="1:27" ht="15.75" customHeight="1" x14ac:dyDescent="0.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</row>
    <row r="774" spans="1:27" ht="15.75" customHeight="1" x14ac:dyDescent="0.3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</row>
    <row r="775" spans="1:27" ht="15.75" customHeight="1" x14ac:dyDescent="0.3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</row>
    <row r="776" spans="1:27" ht="15.75" customHeight="1" x14ac:dyDescent="0.3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</row>
    <row r="777" spans="1:27" ht="15.75" customHeight="1" x14ac:dyDescent="0.3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</row>
    <row r="778" spans="1:27" ht="15.75" customHeight="1" x14ac:dyDescent="0.3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</row>
    <row r="779" spans="1:27" ht="15.75" customHeight="1" x14ac:dyDescent="0.3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</row>
    <row r="780" spans="1:27" ht="15.75" customHeight="1" x14ac:dyDescent="0.3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</row>
    <row r="781" spans="1:27" ht="15.75" customHeight="1" x14ac:dyDescent="0.3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</row>
    <row r="782" spans="1:27" ht="15.75" customHeight="1" x14ac:dyDescent="0.3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</row>
    <row r="783" spans="1:27" ht="15.75" customHeight="1" x14ac:dyDescent="0.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</row>
    <row r="784" spans="1:27" ht="15.75" customHeight="1" x14ac:dyDescent="0.3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</row>
    <row r="785" spans="1:27" ht="15.75" customHeight="1" x14ac:dyDescent="0.3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</row>
    <row r="786" spans="1:27" ht="15.75" customHeight="1" x14ac:dyDescent="0.3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</row>
    <row r="787" spans="1:27" ht="15.75" customHeight="1" x14ac:dyDescent="0.3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</row>
    <row r="788" spans="1:27" ht="15.75" customHeight="1" x14ac:dyDescent="0.3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</row>
    <row r="789" spans="1:27" ht="15.75" customHeight="1" x14ac:dyDescent="0.3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</row>
    <row r="790" spans="1:27" ht="15.75" customHeight="1" x14ac:dyDescent="0.3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</row>
    <row r="791" spans="1:27" ht="15.75" customHeight="1" x14ac:dyDescent="0.3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</row>
    <row r="792" spans="1:27" ht="15.75" customHeight="1" x14ac:dyDescent="0.3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</row>
    <row r="793" spans="1:27" ht="15.75" customHeight="1" x14ac:dyDescent="0.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</row>
    <row r="794" spans="1:27" ht="15.75" customHeight="1" x14ac:dyDescent="0.3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</row>
    <row r="795" spans="1:27" ht="15.75" customHeight="1" x14ac:dyDescent="0.3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</row>
    <row r="796" spans="1:27" ht="15.75" customHeight="1" x14ac:dyDescent="0.3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</row>
    <row r="797" spans="1:27" ht="15.75" customHeight="1" x14ac:dyDescent="0.3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</row>
    <row r="798" spans="1:27" ht="15.75" customHeight="1" x14ac:dyDescent="0.3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</row>
    <row r="799" spans="1:27" ht="15.75" customHeight="1" x14ac:dyDescent="0.3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</row>
    <row r="800" spans="1:27" ht="15.75" customHeight="1" x14ac:dyDescent="0.3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</row>
    <row r="801" spans="1:27" ht="15.75" customHeight="1" x14ac:dyDescent="0.3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</row>
    <row r="802" spans="1:27" ht="15.75" customHeight="1" x14ac:dyDescent="0.3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</row>
    <row r="803" spans="1:27" ht="15.75" customHeight="1" x14ac:dyDescent="0.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</row>
    <row r="804" spans="1:27" ht="15.75" customHeight="1" x14ac:dyDescent="0.3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</row>
    <row r="805" spans="1:27" ht="15.75" customHeight="1" x14ac:dyDescent="0.3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</row>
    <row r="806" spans="1:27" ht="15.75" customHeight="1" x14ac:dyDescent="0.3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</row>
    <row r="807" spans="1:27" ht="15.75" customHeight="1" x14ac:dyDescent="0.3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</row>
    <row r="808" spans="1:27" ht="15.75" customHeight="1" x14ac:dyDescent="0.3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</row>
    <row r="809" spans="1:27" ht="15.75" customHeight="1" x14ac:dyDescent="0.3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</row>
    <row r="810" spans="1:27" ht="15.75" customHeight="1" x14ac:dyDescent="0.3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</row>
    <row r="811" spans="1:27" ht="15.75" customHeight="1" x14ac:dyDescent="0.3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</row>
    <row r="812" spans="1:27" ht="15.75" customHeight="1" x14ac:dyDescent="0.3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</row>
    <row r="813" spans="1:27" ht="15.75" customHeight="1" x14ac:dyDescent="0.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</row>
    <row r="814" spans="1:27" ht="15.75" customHeight="1" x14ac:dyDescent="0.3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</row>
    <row r="815" spans="1:27" ht="15.75" customHeight="1" x14ac:dyDescent="0.3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</row>
    <row r="816" spans="1:27" ht="15.75" customHeight="1" x14ac:dyDescent="0.3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</row>
    <row r="817" spans="1:27" ht="15.75" customHeight="1" x14ac:dyDescent="0.3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</row>
    <row r="818" spans="1:27" ht="15.75" customHeight="1" x14ac:dyDescent="0.3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</row>
    <row r="819" spans="1:27" ht="15.75" customHeight="1" x14ac:dyDescent="0.3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</row>
    <row r="820" spans="1:27" ht="15.75" customHeight="1" x14ac:dyDescent="0.3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</row>
    <row r="821" spans="1:27" ht="15.75" customHeight="1" x14ac:dyDescent="0.3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</row>
    <row r="822" spans="1:27" ht="15.75" customHeight="1" x14ac:dyDescent="0.3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</row>
    <row r="823" spans="1:27" ht="15.75" customHeight="1" x14ac:dyDescent="0.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</row>
    <row r="824" spans="1:27" ht="15.75" customHeight="1" x14ac:dyDescent="0.3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</row>
    <row r="825" spans="1:27" ht="15.75" customHeight="1" x14ac:dyDescent="0.3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</row>
    <row r="826" spans="1:27" ht="15.75" customHeight="1" x14ac:dyDescent="0.3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</row>
    <row r="827" spans="1:27" ht="15.75" customHeight="1" x14ac:dyDescent="0.3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</row>
    <row r="828" spans="1:27" ht="15.75" customHeight="1" x14ac:dyDescent="0.3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</row>
    <row r="829" spans="1:27" ht="15.75" customHeight="1" x14ac:dyDescent="0.3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</row>
    <row r="830" spans="1:27" ht="15.75" customHeight="1" x14ac:dyDescent="0.3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</row>
    <row r="831" spans="1:27" ht="15.75" customHeight="1" x14ac:dyDescent="0.3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</row>
    <row r="832" spans="1:27" ht="15.75" customHeight="1" x14ac:dyDescent="0.3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</row>
    <row r="833" spans="1:27" ht="15.75" customHeight="1" x14ac:dyDescent="0.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</row>
    <row r="834" spans="1:27" ht="15.75" customHeight="1" x14ac:dyDescent="0.3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</row>
    <row r="835" spans="1:27" ht="15.75" customHeight="1" x14ac:dyDescent="0.3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</row>
    <row r="836" spans="1:27" ht="15.75" customHeight="1" x14ac:dyDescent="0.3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</row>
    <row r="837" spans="1:27" ht="15.75" customHeight="1" x14ac:dyDescent="0.3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</row>
    <row r="838" spans="1:27" ht="15.75" customHeight="1" x14ac:dyDescent="0.3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</row>
    <row r="839" spans="1:27" ht="15.75" customHeight="1" x14ac:dyDescent="0.3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</row>
    <row r="840" spans="1:27" ht="15.75" customHeight="1" x14ac:dyDescent="0.3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</row>
    <row r="841" spans="1:27" ht="15.75" customHeight="1" x14ac:dyDescent="0.3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</row>
    <row r="842" spans="1:27" ht="15.75" customHeight="1" x14ac:dyDescent="0.3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</row>
    <row r="843" spans="1:27" ht="15.75" customHeight="1" x14ac:dyDescent="0.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</row>
    <row r="844" spans="1:27" ht="15.75" customHeight="1" x14ac:dyDescent="0.3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</row>
    <row r="845" spans="1:27" ht="15.75" customHeight="1" x14ac:dyDescent="0.3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</row>
    <row r="846" spans="1:27" ht="15.75" customHeight="1" x14ac:dyDescent="0.3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</row>
    <row r="847" spans="1:27" ht="15.75" customHeight="1" x14ac:dyDescent="0.3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</row>
    <row r="848" spans="1:27" ht="15.75" customHeight="1" x14ac:dyDescent="0.3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</row>
    <row r="849" spans="1:27" ht="15.75" customHeight="1" x14ac:dyDescent="0.3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</row>
    <row r="850" spans="1:27" ht="15.75" customHeight="1" x14ac:dyDescent="0.3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</row>
    <row r="851" spans="1:27" ht="15.75" customHeight="1" x14ac:dyDescent="0.3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</row>
    <row r="852" spans="1:27" ht="15.75" customHeight="1" x14ac:dyDescent="0.3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</row>
    <row r="853" spans="1:27" ht="15.75" customHeight="1" x14ac:dyDescent="0.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</row>
    <row r="854" spans="1:27" ht="15.75" customHeight="1" x14ac:dyDescent="0.3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</row>
    <row r="855" spans="1:27" ht="15.75" customHeight="1" x14ac:dyDescent="0.3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</row>
    <row r="856" spans="1:27" ht="15.75" customHeight="1" x14ac:dyDescent="0.3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</row>
    <row r="857" spans="1:27" ht="15.75" customHeight="1" x14ac:dyDescent="0.3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</row>
    <row r="858" spans="1:27" ht="15.75" customHeight="1" x14ac:dyDescent="0.3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</row>
    <row r="859" spans="1:27" ht="15.75" customHeight="1" x14ac:dyDescent="0.3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</row>
    <row r="860" spans="1:27" ht="15.75" customHeight="1" x14ac:dyDescent="0.3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</row>
    <row r="861" spans="1:27" ht="15.75" customHeight="1" x14ac:dyDescent="0.3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</row>
    <row r="862" spans="1:27" ht="15.75" customHeight="1" x14ac:dyDescent="0.3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</row>
    <row r="863" spans="1:27" ht="15.75" customHeight="1" x14ac:dyDescent="0.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</row>
    <row r="864" spans="1:27" ht="15.75" customHeight="1" x14ac:dyDescent="0.3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</row>
    <row r="865" spans="1:27" ht="15.75" customHeight="1" x14ac:dyDescent="0.3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</row>
    <row r="866" spans="1:27" ht="15.75" customHeight="1" x14ac:dyDescent="0.3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</row>
    <row r="867" spans="1:27" ht="15.75" customHeight="1" x14ac:dyDescent="0.3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</row>
    <row r="868" spans="1:27" ht="15.75" customHeight="1" x14ac:dyDescent="0.3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</row>
    <row r="869" spans="1:27" ht="15.75" customHeight="1" x14ac:dyDescent="0.3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</row>
    <row r="870" spans="1:27" ht="15.75" customHeight="1" x14ac:dyDescent="0.3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</row>
    <row r="871" spans="1:27" ht="15.75" customHeight="1" x14ac:dyDescent="0.3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</row>
    <row r="872" spans="1:27" ht="15.75" customHeight="1" x14ac:dyDescent="0.3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</row>
    <row r="873" spans="1:27" ht="15.75" customHeight="1" x14ac:dyDescent="0.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</row>
    <row r="874" spans="1:27" ht="15.75" customHeight="1" x14ac:dyDescent="0.3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</row>
    <row r="875" spans="1:27" ht="15.75" customHeight="1" x14ac:dyDescent="0.3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</row>
    <row r="876" spans="1:27" ht="15.75" customHeight="1" x14ac:dyDescent="0.3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</row>
    <row r="877" spans="1:27" ht="15.75" customHeight="1" x14ac:dyDescent="0.3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</row>
    <row r="878" spans="1:27" ht="15.75" customHeight="1" x14ac:dyDescent="0.3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</row>
    <row r="879" spans="1:27" ht="15.75" customHeight="1" x14ac:dyDescent="0.3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</row>
    <row r="880" spans="1:27" ht="15.75" customHeight="1" x14ac:dyDescent="0.3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</row>
    <row r="881" spans="1:27" ht="15.75" customHeight="1" x14ac:dyDescent="0.3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</row>
    <row r="882" spans="1:27" ht="15.75" customHeight="1" x14ac:dyDescent="0.3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</row>
    <row r="883" spans="1:27" ht="15.75" customHeight="1" x14ac:dyDescent="0.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</row>
    <row r="884" spans="1:27" ht="15.75" customHeight="1" x14ac:dyDescent="0.3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</row>
    <row r="885" spans="1:27" ht="15.75" customHeight="1" x14ac:dyDescent="0.3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</row>
    <row r="886" spans="1:27" ht="15.75" customHeight="1" x14ac:dyDescent="0.3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</row>
    <row r="887" spans="1:27" ht="15.75" customHeight="1" x14ac:dyDescent="0.3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</row>
    <row r="888" spans="1:27" ht="15.75" customHeight="1" x14ac:dyDescent="0.3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</row>
    <row r="889" spans="1:27" ht="15.75" customHeight="1" x14ac:dyDescent="0.3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</row>
    <row r="890" spans="1:27" ht="15.75" customHeight="1" x14ac:dyDescent="0.3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</row>
    <row r="891" spans="1:27" ht="15.75" customHeight="1" x14ac:dyDescent="0.3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</row>
    <row r="892" spans="1:27" ht="15.75" customHeight="1" x14ac:dyDescent="0.3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</row>
    <row r="893" spans="1:27" ht="15.75" customHeight="1" x14ac:dyDescent="0.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</row>
    <row r="894" spans="1:27" ht="15.75" customHeight="1" x14ac:dyDescent="0.3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</row>
    <row r="895" spans="1:27" ht="15.75" customHeight="1" x14ac:dyDescent="0.3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</row>
    <row r="896" spans="1:27" ht="15.75" customHeight="1" x14ac:dyDescent="0.3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</row>
    <row r="897" spans="1:27" ht="15.75" customHeight="1" x14ac:dyDescent="0.3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</row>
    <row r="898" spans="1:27" ht="15.75" customHeight="1" x14ac:dyDescent="0.3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</row>
    <row r="899" spans="1:27" ht="15.75" customHeight="1" x14ac:dyDescent="0.3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</row>
    <row r="900" spans="1:27" ht="15.75" customHeight="1" x14ac:dyDescent="0.3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</row>
    <row r="901" spans="1:27" ht="15.75" customHeight="1" x14ac:dyDescent="0.3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</row>
    <row r="902" spans="1:27" ht="15.75" customHeight="1" x14ac:dyDescent="0.3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</row>
    <row r="903" spans="1:27" ht="15.75" customHeight="1" x14ac:dyDescent="0.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</row>
    <row r="904" spans="1:27" ht="15.75" customHeight="1" x14ac:dyDescent="0.3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</row>
    <row r="905" spans="1:27" ht="15.75" customHeight="1" x14ac:dyDescent="0.3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</row>
    <row r="906" spans="1:27" ht="15.75" customHeight="1" x14ac:dyDescent="0.3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</row>
    <row r="907" spans="1:27" ht="15.75" customHeight="1" x14ac:dyDescent="0.3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</row>
    <row r="908" spans="1:27" ht="15.75" customHeight="1" x14ac:dyDescent="0.3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</row>
    <row r="909" spans="1:27" ht="15.75" customHeight="1" x14ac:dyDescent="0.3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</row>
    <row r="910" spans="1:27" ht="15.75" customHeight="1" x14ac:dyDescent="0.3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</row>
    <row r="911" spans="1:27" ht="15.75" customHeight="1" x14ac:dyDescent="0.3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</row>
    <row r="912" spans="1:27" ht="15.75" customHeight="1" x14ac:dyDescent="0.3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</row>
    <row r="913" spans="1:27" ht="15.75" customHeight="1" x14ac:dyDescent="0.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</row>
    <row r="914" spans="1:27" ht="15.75" customHeight="1" x14ac:dyDescent="0.3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</row>
    <row r="915" spans="1:27" ht="15.75" customHeight="1" x14ac:dyDescent="0.3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</row>
    <row r="916" spans="1:27" ht="15.75" customHeight="1" x14ac:dyDescent="0.3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</row>
    <row r="917" spans="1:27" ht="15.75" customHeight="1" x14ac:dyDescent="0.3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</row>
    <row r="918" spans="1:27" ht="15.75" customHeight="1" x14ac:dyDescent="0.3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</row>
    <row r="919" spans="1:27" ht="15.75" customHeight="1" x14ac:dyDescent="0.3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</row>
    <row r="920" spans="1:27" ht="15.75" customHeight="1" x14ac:dyDescent="0.3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</row>
    <row r="921" spans="1:27" ht="15.75" customHeight="1" x14ac:dyDescent="0.3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</row>
    <row r="922" spans="1:27" ht="15.75" customHeight="1" x14ac:dyDescent="0.3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</row>
    <row r="923" spans="1:27" ht="15.75" customHeight="1" x14ac:dyDescent="0.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</row>
    <row r="924" spans="1:27" ht="15.75" customHeight="1" x14ac:dyDescent="0.3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</row>
    <row r="925" spans="1:27" ht="15.75" customHeight="1" x14ac:dyDescent="0.3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</row>
    <row r="926" spans="1:27" ht="15.75" customHeight="1" x14ac:dyDescent="0.3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</row>
    <row r="927" spans="1:27" ht="15.75" customHeight="1" x14ac:dyDescent="0.3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</row>
    <row r="928" spans="1:27" ht="15.75" customHeight="1" x14ac:dyDescent="0.3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</row>
    <row r="929" spans="1:27" ht="15.75" customHeight="1" x14ac:dyDescent="0.3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</row>
    <row r="930" spans="1:27" ht="15.75" customHeight="1" x14ac:dyDescent="0.3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</row>
    <row r="931" spans="1:27" ht="15.75" customHeight="1" x14ac:dyDescent="0.3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</row>
    <row r="932" spans="1:27" ht="15.75" customHeight="1" x14ac:dyDescent="0.3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</row>
    <row r="933" spans="1:27" ht="15.75" customHeight="1" x14ac:dyDescent="0.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</row>
    <row r="934" spans="1:27" ht="15.75" customHeight="1" x14ac:dyDescent="0.3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</row>
    <row r="935" spans="1:27" ht="15.75" customHeight="1" x14ac:dyDescent="0.3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</row>
    <row r="936" spans="1:27" ht="15.75" customHeight="1" x14ac:dyDescent="0.3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</row>
    <row r="937" spans="1:27" ht="15.75" customHeight="1" x14ac:dyDescent="0.3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</row>
    <row r="938" spans="1:27" ht="15.75" customHeight="1" x14ac:dyDescent="0.3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</row>
    <row r="939" spans="1:27" ht="15.75" customHeight="1" x14ac:dyDescent="0.3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</row>
    <row r="940" spans="1:27" ht="15.75" customHeight="1" x14ac:dyDescent="0.3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</row>
    <row r="941" spans="1:27" ht="15.75" customHeight="1" x14ac:dyDescent="0.3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</row>
    <row r="942" spans="1:27" ht="15.75" customHeight="1" x14ac:dyDescent="0.3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</row>
    <row r="943" spans="1:27" ht="15.75" customHeight="1" x14ac:dyDescent="0.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</row>
    <row r="944" spans="1:27" ht="15.75" customHeight="1" x14ac:dyDescent="0.3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</row>
    <row r="945" spans="1:27" ht="15.75" customHeight="1" x14ac:dyDescent="0.3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</row>
    <row r="946" spans="1:27" ht="15.75" customHeight="1" x14ac:dyDescent="0.3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</row>
    <row r="947" spans="1:27" ht="15.75" customHeight="1" x14ac:dyDescent="0.3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</row>
    <row r="948" spans="1:27" ht="15.75" customHeight="1" x14ac:dyDescent="0.3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</row>
    <row r="949" spans="1:27" ht="15.75" customHeight="1" x14ac:dyDescent="0.3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</row>
    <row r="950" spans="1:27" ht="15.75" customHeight="1" x14ac:dyDescent="0.3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</row>
    <row r="951" spans="1:27" ht="15.75" customHeight="1" x14ac:dyDescent="0.3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</row>
    <row r="952" spans="1:27" ht="15.75" customHeight="1" x14ac:dyDescent="0.3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</row>
    <row r="953" spans="1:27" ht="15.75" customHeight="1" x14ac:dyDescent="0.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</row>
    <row r="954" spans="1:27" ht="15.75" customHeight="1" x14ac:dyDescent="0.3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</row>
    <row r="955" spans="1:27" ht="15.75" customHeight="1" x14ac:dyDescent="0.3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</row>
    <row r="956" spans="1:27" ht="15.75" customHeight="1" x14ac:dyDescent="0.3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</row>
    <row r="957" spans="1:27" ht="15.75" customHeight="1" x14ac:dyDescent="0.3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</row>
    <row r="958" spans="1:27" ht="15.75" customHeight="1" x14ac:dyDescent="0.3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</row>
    <row r="959" spans="1:27" ht="15.75" customHeight="1" x14ac:dyDescent="0.3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</row>
    <row r="960" spans="1:27" ht="15.75" customHeight="1" x14ac:dyDescent="0.3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</row>
    <row r="961" spans="1:27" ht="15.75" customHeight="1" x14ac:dyDescent="0.3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</row>
    <row r="962" spans="1:27" ht="15.75" customHeight="1" x14ac:dyDescent="0.3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</row>
    <row r="963" spans="1:27" ht="15.75" customHeight="1" x14ac:dyDescent="0.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</row>
    <row r="964" spans="1:27" ht="15.75" customHeight="1" x14ac:dyDescent="0.3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</row>
    <row r="965" spans="1:27" ht="15.75" customHeight="1" x14ac:dyDescent="0.3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</row>
    <row r="966" spans="1:27" ht="15.75" customHeight="1" x14ac:dyDescent="0.3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</row>
    <row r="967" spans="1:27" ht="15.75" customHeight="1" x14ac:dyDescent="0.3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</row>
    <row r="968" spans="1:27" ht="15.75" customHeight="1" x14ac:dyDescent="0.3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</row>
    <row r="969" spans="1:27" ht="15.75" customHeight="1" x14ac:dyDescent="0.3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</row>
    <row r="970" spans="1:27" ht="15.75" customHeight="1" x14ac:dyDescent="0.3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</row>
    <row r="971" spans="1:27" ht="15.75" customHeight="1" x14ac:dyDescent="0.3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</row>
    <row r="972" spans="1:27" ht="15.75" customHeight="1" x14ac:dyDescent="0.3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</row>
    <row r="973" spans="1:27" ht="15.75" customHeight="1" x14ac:dyDescent="0.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</row>
    <row r="974" spans="1:27" ht="15.75" customHeight="1" x14ac:dyDescent="0.3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</row>
    <row r="975" spans="1:27" ht="15.75" customHeight="1" x14ac:dyDescent="0.3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</row>
    <row r="976" spans="1:27" ht="15.75" customHeight="1" x14ac:dyDescent="0.3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</row>
    <row r="977" spans="1:27" ht="15.75" customHeight="1" x14ac:dyDescent="0.3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</row>
    <row r="978" spans="1:27" ht="15.75" customHeight="1" x14ac:dyDescent="0.3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</row>
    <row r="979" spans="1:27" ht="15.75" customHeight="1" x14ac:dyDescent="0.3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</row>
    <row r="980" spans="1:27" ht="15.75" customHeight="1" x14ac:dyDescent="0.3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</row>
    <row r="981" spans="1:27" ht="15.75" customHeight="1" x14ac:dyDescent="0.3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</row>
    <row r="982" spans="1:27" ht="15.75" customHeight="1" x14ac:dyDescent="0.3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</row>
    <row r="983" spans="1:27" ht="15.75" customHeight="1" x14ac:dyDescent="0.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</row>
    <row r="984" spans="1:27" ht="15.75" customHeight="1" x14ac:dyDescent="0.3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</row>
    <row r="985" spans="1:27" ht="15.75" customHeight="1" x14ac:dyDescent="0.3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</row>
    <row r="986" spans="1:27" ht="15.75" customHeight="1" x14ac:dyDescent="0.3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</row>
    <row r="987" spans="1:27" ht="15.75" customHeight="1" x14ac:dyDescent="0.3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</row>
    <row r="988" spans="1:27" ht="15.75" customHeight="1" x14ac:dyDescent="0.3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</row>
    <row r="989" spans="1:27" ht="15.75" customHeight="1" x14ac:dyDescent="0.3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</row>
    <row r="990" spans="1:27" ht="15.75" customHeight="1" x14ac:dyDescent="0.3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</row>
    <row r="991" spans="1:27" ht="15.75" customHeight="1" x14ac:dyDescent="0.3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</row>
    <row r="992" spans="1:27" ht="15.75" customHeight="1" x14ac:dyDescent="0.3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</row>
    <row r="993" spans="1:27" ht="15.75" customHeight="1" x14ac:dyDescent="0.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</row>
    <row r="994" spans="1:27" ht="15.75" customHeight="1" x14ac:dyDescent="0.3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</row>
    <row r="995" spans="1:27" ht="15.75" customHeight="1" x14ac:dyDescent="0.3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</row>
    <row r="996" spans="1:27" ht="15.75" customHeight="1" x14ac:dyDescent="0.3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</row>
    <row r="997" spans="1:27" ht="15.75" customHeight="1" x14ac:dyDescent="0.3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</row>
    <row r="998" spans="1:27" ht="15.75" customHeight="1" x14ac:dyDescent="0.3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</row>
    <row r="999" spans="1:27" ht="15.75" customHeight="1" x14ac:dyDescent="0.3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</row>
    <row r="1000" spans="1:27" ht="15.75" customHeight="1" x14ac:dyDescent="0.3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</row>
    <row r="1001" spans="1:27" ht="15.75" customHeight="1" x14ac:dyDescent="0.3">
      <c r="A1001" s="152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</row>
  </sheetData>
  <mergeCells count="77">
    <mergeCell ref="I71:L71"/>
    <mergeCell ref="I72:L72"/>
    <mergeCell ref="I73:L73"/>
    <mergeCell ref="I74:L74"/>
    <mergeCell ref="O79:Q79"/>
    <mergeCell ref="I76:L76"/>
    <mergeCell ref="I77:L77"/>
    <mergeCell ref="I78:L78"/>
    <mergeCell ref="I81:L81"/>
    <mergeCell ref="O81:Q81"/>
    <mergeCell ref="U81:V81"/>
    <mergeCell ref="I80:L80"/>
    <mergeCell ref="O80:Q80"/>
    <mergeCell ref="U80:V80"/>
    <mergeCell ref="E93:AA96"/>
    <mergeCell ref="D92:G92"/>
    <mergeCell ref="U73:V73"/>
    <mergeCell ref="O73:Q73"/>
    <mergeCell ref="O74:Q74"/>
    <mergeCell ref="I85:M85"/>
    <mergeCell ref="I86:M86"/>
    <mergeCell ref="U77:V77"/>
    <mergeCell ref="U74:V74"/>
    <mergeCell ref="O77:Q77"/>
    <mergeCell ref="U78:V78"/>
    <mergeCell ref="O78:Q78"/>
    <mergeCell ref="O76:Q76"/>
    <mergeCell ref="U76:V76"/>
    <mergeCell ref="I75:L75"/>
    <mergeCell ref="U79:V79"/>
    <mergeCell ref="U71:V71"/>
    <mergeCell ref="U72:V72"/>
    <mergeCell ref="O71:Q71"/>
    <mergeCell ref="O72:Q72"/>
    <mergeCell ref="O75:Q75"/>
    <mergeCell ref="U75:V75"/>
    <mergeCell ref="S68:X70"/>
    <mergeCell ref="R34:S34"/>
    <mergeCell ref="R35:S35"/>
    <mergeCell ref="T37:Y37"/>
    <mergeCell ref="M52:P52"/>
    <mergeCell ref="C66:Z66"/>
    <mergeCell ref="R64:V64"/>
    <mergeCell ref="B57:I57"/>
    <mergeCell ref="B58:I58"/>
    <mergeCell ref="B59:I59"/>
    <mergeCell ref="B60:I60"/>
    <mergeCell ref="B61:I61"/>
    <mergeCell ref="B62:I62"/>
    <mergeCell ref="J62:P62"/>
    <mergeCell ref="B63:I63"/>
    <mergeCell ref="R63:V63"/>
    <mergeCell ref="J63:Q63"/>
    <mergeCell ref="B2:Z2"/>
    <mergeCell ref="B3:Z3"/>
    <mergeCell ref="B10:G10"/>
    <mergeCell ref="B12:G12"/>
    <mergeCell ref="B14:G14"/>
    <mergeCell ref="M53:P53"/>
    <mergeCell ref="H27:AA28"/>
    <mergeCell ref="H29:AA31"/>
    <mergeCell ref="I88:L88"/>
    <mergeCell ref="I79:L79"/>
    <mergeCell ref="B16:G16"/>
    <mergeCell ref="M54:P54"/>
    <mergeCell ref="B18:G18"/>
    <mergeCell ref="B20:G20"/>
    <mergeCell ref="H20:L20"/>
    <mergeCell ref="H21:L21"/>
    <mergeCell ref="H18:I18"/>
    <mergeCell ref="F68:H70"/>
    <mergeCell ref="B27:G27"/>
    <mergeCell ref="B29:G29"/>
    <mergeCell ref="N68:R69"/>
    <mergeCell ref="N70:R70"/>
    <mergeCell ref="I68:M69"/>
    <mergeCell ref="I70:M70"/>
  </mergeCells>
  <conditionalFormatting sqref="M42:Q43">
    <cfRule type="expression" dxfId="0" priority="1">
      <formula>#REF!=""</formula>
    </cfRule>
  </conditionalFormatting>
  <pageMargins left="0" right="0" top="0" bottom="0" header="0" footer="0"/>
  <pageSetup paperSize="9" orientation="portrait" r:id="rId1"/>
  <headerFooter scaleWithDoc="0" alignWithMargins="0">
    <oddHeader>&amp;C&amp;G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8"/>
  <sheetViews>
    <sheetView workbookViewId="0">
      <selection activeCell="J25" sqref="J25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5" width="8.6640625" customWidth="1"/>
    <col min="6" max="6" width="9.88671875" customWidth="1"/>
    <col min="7" max="9" width="8.6640625" customWidth="1"/>
    <col min="10" max="10" width="10.5546875" customWidth="1"/>
    <col min="11" max="14" width="8.6640625" customWidth="1"/>
  </cols>
  <sheetData>
    <row r="1" spans="1:10" ht="14.4" x14ac:dyDescent="0.3">
      <c r="A1" s="395"/>
      <c r="B1" s="396"/>
      <c r="C1" s="396"/>
      <c r="D1" s="396"/>
      <c r="E1" s="396"/>
      <c r="F1" s="396"/>
      <c r="G1" s="396"/>
      <c r="H1" s="396"/>
      <c r="I1" s="396"/>
      <c r="J1" s="397"/>
    </row>
    <row r="2" spans="1:10" ht="14.4" x14ac:dyDescent="0.3">
      <c r="D2" s="264" t="s">
        <v>215</v>
      </c>
      <c r="F2" t="s">
        <v>2</v>
      </c>
      <c r="J2" s="263"/>
    </row>
    <row r="3" spans="1:10" ht="14.4" x14ac:dyDescent="0.3">
      <c r="A3" s="398" t="s">
        <v>12</v>
      </c>
      <c r="B3" s="345"/>
      <c r="C3" s="345"/>
      <c r="D3" s="345"/>
      <c r="E3" s="345"/>
      <c r="F3" s="345"/>
      <c r="G3" s="345"/>
      <c r="H3" s="345"/>
      <c r="I3" s="345"/>
      <c r="J3" s="399"/>
    </row>
    <row r="4" spans="1:10" ht="14.4" x14ac:dyDescent="0.3">
      <c r="A4" s="398" t="s">
        <v>13</v>
      </c>
      <c r="B4" s="345"/>
      <c r="C4" s="345"/>
      <c r="D4" s="345"/>
      <c r="E4" s="345"/>
      <c r="F4" s="345"/>
      <c r="G4" s="345"/>
      <c r="H4" s="345"/>
      <c r="I4" s="345"/>
      <c r="J4" s="399"/>
    </row>
    <row r="5" spans="1:10" ht="14.4" x14ac:dyDescent="0.3">
      <c r="A5" s="398" t="s">
        <v>14</v>
      </c>
      <c r="B5" s="345"/>
      <c r="C5" s="345"/>
      <c r="D5" s="345"/>
      <c r="E5" s="345"/>
      <c r="F5" s="345"/>
      <c r="G5" s="345"/>
      <c r="H5" s="345"/>
      <c r="I5" s="345"/>
      <c r="J5" s="399"/>
    </row>
    <row r="6" spans="1:10" ht="14.4" x14ac:dyDescent="0.3">
      <c r="A6" s="400"/>
      <c r="B6" s="401"/>
      <c r="C6" s="401"/>
      <c r="D6" s="401"/>
      <c r="E6" s="401"/>
      <c r="F6" s="401"/>
      <c r="G6" s="401"/>
      <c r="H6" s="401"/>
      <c r="I6" s="401"/>
      <c r="J6" s="402"/>
    </row>
    <row r="7" spans="1:10" ht="15.6" x14ac:dyDescent="0.3">
      <c r="A7" s="2" t="s">
        <v>15</v>
      </c>
      <c r="B7" s="3" t="s">
        <v>16</v>
      </c>
      <c r="C7" s="4" t="s">
        <v>150</v>
      </c>
      <c r="E7" s="4"/>
      <c r="F7" s="5" t="s">
        <v>17</v>
      </c>
      <c r="G7" s="4" t="s">
        <v>150</v>
      </c>
      <c r="H7" s="6"/>
      <c r="I7" s="4"/>
      <c r="J7" s="7"/>
    </row>
    <row r="8" spans="1:10" ht="14.4" x14ac:dyDescent="0.3">
      <c r="A8" s="2" t="s">
        <v>18</v>
      </c>
      <c r="B8" s="4"/>
      <c r="C8" s="256" t="s">
        <v>239</v>
      </c>
      <c r="D8" s="4" t="s">
        <v>60</v>
      </c>
      <c r="E8" s="4"/>
      <c r="F8" s="8"/>
      <c r="G8" s="8"/>
      <c r="H8" s="4"/>
      <c r="I8" s="8"/>
      <c r="J8" s="9"/>
    </row>
    <row r="9" spans="1:10" ht="14.4" x14ac:dyDescent="0.3">
      <c r="A9" s="2" t="s">
        <v>3</v>
      </c>
      <c r="B9" s="3" t="s">
        <v>16</v>
      </c>
      <c r="C9" s="317" t="s">
        <v>150</v>
      </c>
      <c r="D9" s="149"/>
      <c r="E9" s="149" t="s">
        <v>201</v>
      </c>
      <c r="F9" s="149" t="s">
        <v>240</v>
      </c>
      <c r="G9" s="149"/>
      <c r="H9" s="149"/>
      <c r="I9" s="149"/>
      <c r="J9" s="150"/>
    </row>
    <row r="10" spans="1:10" ht="15.6" x14ac:dyDescent="0.3">
      <c r="A10" s="2" t="s">
        <v>19</v>
      </c>
      <c r="B10" s="3"/>
      <c r="C10" s="10" t="s">
        <v>241</v>
      </c>
      <c r="D10" s="4"/>
      <c r="E10" s="4"/>
      <c r="F10" s="11"/>
      <c r="G10" s="11"/>
      <c r="H10" s="11"/>
      <c r="I10" s="11"/>
      <c r="J10" s="12"/>
    </row>
    <row r="11" spans="1:10" ht="14.4" x14ac:dyDescent="0.3">
      <c r="A11" s="2" t="s">
        <v>20</v>
      </c>
      <c r="B11" s="4"/>
      <c r="C11" s="4"/>
      <c r="D11" s="4"/>
      <c r="E11" s="4"/>
      <c r="F11" s="4" t="s">
        <v>21</v>
      </c>
      <c r="G11" s="4"/>
      <c r="H11" s="4"/>
      <c r="I11" s="4"/>
      <c r="J11" s="7"/>
    </row>
    <row r="12" spans="1:10" ht="16.2" x14ac:dyDescent="0.35">
      <c r="A12" s="2" t="s">
        <v>22</v>
      </c>
      <c r="B12" s="257">
        <v>20.9</v>
      </c>
      <c r="C12" s="258">
        <v>19.899999999999999</v>
      </c>
      <c r="D12" s="255">
        <v>23.2</v>
      </c>
      <c r="E12" s="254" t="s">
        <v>23</v>
      </c>
      <c r="F12" s="254" t="s">
        <v>24</v>
      </c>
      <c r="G12" s="260">
        <v>60</v>
      </c>
      <c r="H12" s="257">
        <v>69.7</v>
      </c>
      <c r="I12" s="4">
        <v>58.5</v>
      </c>
      <c r="J12" s="7"/>
    </row>
    <row r="13" spans="1:10" ht="16.2" x14ac:dyDescent="0.35">
      <c r="A13" s="2" t="s">
        <v>25</v>
      </c>
      <c r="B13" s="257">
        <v>27</v>
      </c>
      <c r="C13" s="259">
        <v>22.5</v>
      </c>
      <c r="D13" s="255">
        <v>23.8</v>
      </c>
      <c r="E13" s="254" t="s">
        <v>23</v>
      </c>
      <c r="F13" s="254" t="s">
        <v>26</v>
      </c>
      <c r="G13" s="260">
        <v>60</v>
      </c>
      <c r="H13" s="257">
        <v>78.599999999999994</v>
      </c>
      <c r="I13" s="4">
        <v>55.5</v>
      </c>
      <c r="J13" s="7"/>
    </row>
    <row r="14" spans="1:10" ht="18" x14ac:dyDescent="0.35">
      <c r="A14" s="16"/>
      <c r="B14" s="8" t="s">
        <v>27</v>
      </c>
      <c r="C14" t="s">
        <v>137</v>
      </c>
      <c r="D14" s="16"/>
      <c r="E14" s="16"/>
      <c r="F14" s="16"/>
      <c r="G14" s="8" t="s">
        <v>27</v>
      </c>
      <c r="H14" s="8" t="s">
        <v>137</v>
      </c>
      <c r="J14" s="16"/>
    </row>
    <row r="15" spans="1:10" ht="14.4" x14ac:dyDescent="0.3">
      <c r="A15" s="405" t="s">
        <v>28</v>
      </c>
      <c r="B15" s="406"/>
      <c r="C15" s="406"/>
      <c r="D15" s="406"/>
      <c r="E15" s="406"/>
      <c r="F15" s="405" t="s">
        <v>29</v>
      </c>
      <c r="G15" s="406"/>
      <c r="H15" s="406"/>
      <c r="I15" s="406"/>
      <c r="J15" s="404"/>
    </row>
    <row r="16" spans="1:10" ht="14.4" x14ac:dyDescent="0.3">
      <c r="A16" s="18" t="s">
        <v>30</v>
      </c>
      <c r="B16" s="18" t="s">
        <v>31</v>
      </c>
      <c r="C16" s="18" t="s">
        <v>32</v>
      </c>
      <c r="D16" s="18" t="s">
        <v>33</v>
      </c>
      <c r="E16" s="18" t="s">
        <v>34</v>
      </c>
      <c r="F16" s="18" t="s">
        <v>35</v>
      </c>
      <c r="G16" s="18" t="s">
        <v>36</v>
      </c>
      <c r="H16" s="18" t="s">
        <v>37</v>
      </c>
      <c r="I16" s="18" t="s">
        <v>38</v>
      </c>
      <c r="J16" s="18" t="s">
        <v>39</v>
      </c>
    </row>
    <row r="17" spans="1:14" ht="14.4" x14ac:dyDescent="0.3">
      <c r="A17" s="133">
        <v>100.01</v>
      </c>
      <c r="B17" s="133">
        <v>100.01</v>
      </c>
      <c r="C17" s="133">
        <v>100.01</v>
      </c>
      <c r="D17" s="133">
        <v>100.01</v>
      </c>
      <c r="E17" s="133">
        <v>100.01</v>
      </c>
      <c r="F17" s="133">
        <v>100.15</v>
      </c>
      <c r="G17" s="133">
        <v>100.15</v>
      </c>
      <c r="H17" s="133">
        <v>100.15</v>
      </c>
      <c r="I17" s="133">
        <v>100.15</v>
      </c>
      <c r="J17" s="133">
        <v>100.15</v>
      </c>
      <c r="K17" s="211"/>
      <c r="L17" s="6"/>
      <c r="M17" s="6"/>
      <c r="N17" s="6"/>
    </row>
    <row r="18" spans="1:14" ht="15.75" customHeight="1" x14ac:dyDescent="0.3">
      <c r="A18" s="134">
        <v>109.93</v>
      </c>
      <c r="B18" s="134">
        <v>109.93</v>
      </c>
      <c r="C18" s="134">
        <v>109.93</v>
      </c>
      <c r="D18" s="134">
        <v>109.935</v>
      </c>
      <c r="E18" s="134">
        <v>109.935</v>
      </c>
      <c r="F18" s="134">
        <v>109.905</v>
      </c>
      <c r="G18" s="134">
        <v>109.905</v>
      </c>
      <c r="H18" s="134">
        <v>109.905</v>
      </c>
      <c r="I18" s="134">
        <v>109.9</v>
      </c>
      <c r="J18" s="134">
        <v>109.9</v>
      </c>
      <c r="K18" s="131"/>
      <c r="M18" s="6"/>
      <c r="N18" s="19"/>
    </row>
    <row r="19" spans="1:14" ht="15.75" customHeight="1" x14ac:dyDescent="0.3">
      <c r="A19" s="134">
        <v>119.825</v>
      </c>
      <c r="B19" s="134">
        <v>119.825</v>
      </c>
      <c r="C19" s="134">
        <v>119.825</v>
      </c>
      <c r="D19" s="134">
        <v>119.82</v>
      </c>
      <c r="E19" s="134">
        <v>119.82</v>
      </c>
      <c r="F19" s="134">
        <v>119.46</v>
      </c>
      <c r="G19" s="134">
        <v>119.46</v>
      </c>
      <c r="H19" s="134">
        <v>119.455</v>
      </c>
      <c r="I19" s="134">
        <v>119.455</v>
      </c>
      <c r="J19" s="134">
        <v>119.45</v>
      </c>
      <c r="K19" s="131"/>
      <c r="M19" s="6"/>
      <c r="N19" s="20"/>
    </row>
    <row r="20" spans="1:14" ht="15.75" customHeight="1" x14ac:dyDescent="0.3">
      <c r="A20" s="132">
        <v>129.57499999999999</v>
      </c>
      <c r="B20" s="132">
        <v>129.57499999999999</v>
      </c>
      <c r="C20" s="132">
        <v>129.58000000000001</v>
      </c>
      <c r="D20" s="132">
        <v>129.57499999999999</v>
      </c>
      <c r="E20" s="132">
        <v>129.58000000000001</v>
      </c>
      <c r="F20" s="132">
        <v>129.17500000000001</v>
      </c>
      <c r="G20" s="132">
        <v>129.17500000000001</v>
      </c>
      <c r="H20" s="132">
        <v>129.18</v>
      </c>
      <c r="I20" s="132">
        <v>129.17500000000001</v>
      </c>
      <c r="J20" s="132">
        <v>129.185</v>
      </c>
      <c r="K20" s="131"/>
      <c r="M20" s="6"/>
      <c r="N20" s="20"/>
    </row>
    <row r="21" spans="1:14" ht="15.75" customHeight="1" x14ac:dyDescent="0.3">
      <c r="A21" s="132">
        <v>139.27500000000001</v>
      </c>
      <c r="B21" s="132">
        <v>139.27500000000001</v>
      </c>
      <c r="C21" s="132">
        <v>139.27500000000001</v>
      </c>
      <c r="D21" s="132">
        <v>139.27500000000001</v>
      </c>
      <c r="E21" s="132">
        <v>139.27500000000001</v>
      </c>
      <c r="F21" s="132">
        <v>138.71</v>
      </c>
      <c r="G21" s="132">
        <v>138.71</v>
      </c>
      <c r="H21" s="132">
        <v>138.69999999999999</v>
      </c>
      <c r="I21" s="132">
        <v>138.69999999999999</v>
      </c>
      <c r="J21" s="132">
        <v>138.71</v>
      </c>
      <c r="K21" s="216"/>
      <c r="M21" s="6"/>
      <c r="N21" s="19"/>
    </row>
    <row r="22" spans="1:14" ht="15.75" customHeight="1" x14ac:dyDescent="0.3">
      <c r="A22" s="132">
        <v>148.905</v>
      </c>
      <c r="B22" s="132">
        <v>148.905</v>
      </c>
      <c r="C22" s="132">
        <v>148.905</v>
      </c>
      <c r="D22" s="132">
        <v>148.9</v>
      </c>
      <c r="E22" s="132">
        <v>148.905</v>
      </c>
      <c r="F22" s="132">
        <v>148.16999999999999</v>
      </c>
      <c r="G22" s="132">
        <v>148.16999999999999</v>
      </c>
      <c r="H22" s="132">
        <v>148.18</v>
      </c>
      <c r="I22" s="132">
        <v>148.18</v>
      </c>
      <c r="J22" s="132">
        <v>148.16999999999999</v>
      </c>
      <c r="K22" s="131"/>
      <c r="M22" s="6"/>
      <c r="N22" s="19"/>
    </row>
    <row r="23" spans="1:14" ht="15.75" customHeight="1" x14ac:dyDescent="0.3">
      <c r="A23" s="132">
        <v>158.44999999999999</v>
      </c>
      <c r="B23" s="132">
        <v>158.44999999999999</v>
      </c>
      <c r="C23" s="132">
        <v>158.44999999999999</v>
      </c>
      <c r="D23" s="132">
        <v>158.46</v>
      </c>
      <c r="E23" s="132">
        <v>158.46</v>
      </c>
      <c r="F23" s="132">
        <v>157.58000000000001</v>
      </c>
      <c r="G23" s="132">
        <v>157.58000000000001</v>
      </c>
      <c r="H23" s="132">
        <v>157.57499999999999</v>
      </c>
      <c r="I23" s="132">
        <v>157.59</v>
      </c>
      <c r="J23" s="132">
        <v>157.59</v>
      </c>
      <c r="K23" s="131"/>
      <c r="N23" s="6"/>
    </row>
    <row r="24" spans="1:14" ht="15.75" customHeight="1" x14ac:dyDescent="0.3">
      <c r="A24" s="320">
        <v>167.92</v>
      </c>
      <c r="B24" s="320">
        <v>167.92</v>
      </c>
      <c r="C24" s="320">
        <v>167.92</v>
      </c>
      <c r="D24" s="320">
        <v>167.94</v>
      </c>
      <c r="E24" s="320">
        <v>167.94</v>
      </c>
      <c r="F24" s="320">
        <v>166.98</v>
      </c>
      <c r="G24" s="320">
        <v>166.98</v>
      </c>
      <c r="H24" s="320">
        <v>166.96</v>
      </c>
      <c r="I24" s="320">
        <v>166.96</v>
      </c>
      <c r="J24" s="320">
        <v>166.98</v>
      </c>
      <c r="K24" s="131"/>
    </row>
    <row r="25" spans="1:14" ht="15.75" customHeight="1" x14ac:dyDescent="0.3">
      <c r="A25" s="320">
        <v>177.34</v>
      </c>
      <c r="B25" s="320">
        <v>177.34</v>
      </c>
      <c r="C25" s="320">
        <v>177.32</v>
      </c>
      <c r="D25" s="320">
        <v>177.32</v>
      </c>
      <c r="E25" s="320">
        <v>177.32</v>
      </c>
      <c r="F25" s="320">
        <v>176.16</v>
      </c>
      <c r="G25" s="320">
        <v>176.16</v>
      </c>
      <c r="H25" s="320">
        <v>176.16</v>
      </c>
      <c r="I25" s="320">
        <v>176.18</v>
      </c>
      <c r="J25" s="320">
        <v>176.18</v>
      </c>
      <c r="K25" s="131"/>
    </row>
    <row r="26" spans="1:14" ht="15.75" customHeight="1" x14ac:dyDescent="0.3">
      <c r="A26" s="335">
        <v>186.66</v>
      </c>
      <c r="B26" s="335">
        <v>186.68</v>
      </c>
      <c r="C26" s="335">
        <v>186.68</v>
      </c>
      <c r="D26" s="335">
        <v>186.66</v>
      </c>
      <c r="E26" s="335">
        <v>186.66</v>
      </c>
      <c r="F26" s="45">
        <v>185.28</v>
      </c>
      <c r="G26" s="45">
        <v>185.28</v>
      </c>
      <c r="H26" s="45">
        <v>185.28</v>
      </c>
      <c r="I26" s="45">
        <v>185.28</v>
      </c>
      <c r="J26" s="45">
        <v>185.28</v>
      </c>
    </row>
    <row r="27" spans="1:14" ht="15.75" customHeight="1" x14ac:dyDescent="0.35">
      <c r="A27" s="21">
        <v>195.94</v>
      </c>
      <c r="B27" s="21">
        <v>195.94</v>
      </c>
      <c r="C27" s="21">
        <v>195.94</v>
      </c>
      <c r="D27" s="21">
        <v>195.94</v>
      </c>
      <c r="E27" s="21">
        <v>195.94</v>
      </c>
      <c r="F27" s="45">
        <v>194.48</v>
      </c>
      <c r="G27" s="45">
        <v>194.48</v>
      </c>
      <c r="H27" s="45">
        <v>194.48</v>
      </c>
      <c r="I27" s="45">
        <v>194.48</v>
      </c>
      <c r="J27" s="45">
        <v>194.48</v>
      </c>
    </row>
    <row r="28" spans="1:14" ht="15.75" customHeight="1" x14ac:dyDescent="0.35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4" ht="15.75" customHeight="1" x14ac:dyDescent="0.35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4" ht="15.75" customHeight="1" x14ac:dyDescent="0.35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4" ht="15.75" customHeight="1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spans="1:14" ht="15.75" customHeight="1" x14ac:dyDescent="0.3">
      <c r="A32" s="403" t="s">
        <v>0</v>
      </c>
      <c r="B32" s="404"/>
      <c r="C32" s="407" t="s">
        <v>243</v>
      </c>
      <c r="D32" s="406"/>
      <c r="E32" s="406"/>
      <c r="F32" s="128" t="s">
        <v>64</v>
      </c>
      <c r="G32" s="413" t="s">
        <v>242</v>
      </c>
      <c r="H32" s="414"/>
      <c r="I32" s="408" t="s">
        <v>40</v>
      </c>
      <c r="J32" s="12"/>
    </row>
    <row r="33" spans="1:10" ht="15.75" customHeight="1" x14ac:dyDescent="0.3">
      <c r="A33" s="403" t="s">
        <v>41</v>
      </c>
      <c r="B33" s="404"/>
      <c r="C33" s="411">
        <v>45952</v>
      </c>
      <c r="D33" s="412"/>
      <c r="E33" s="412"/>
      <c r="F33" s="128" t="s">
        <v>145</v>
      </c>
      <c r="G33" s="130" t="s">
        <v>10</v>
      </c>
      <c r="H33" s="129"/>
      <c r="I33" s="409"/>
      <c r="J33" s="7"/>
    </row>
    <row r="34" spans="1:10" ht="15.75" customHeight="1" x14ac:dyDescent="0.3">
      <c r="A34" s="403" t="s">
        <v>42</v>
      </c>
      <c r="B34" s="404"/>
      <c r="C34" s="280">
        <v>45959</v>
      </c>
      <c r="D34" s="281" t="s">
        <v>221</v>
      </c>
      <c r="E34" s="283">
        <v>45961</v>
      </c>
      <c r="F34" s="128" t="s">
        <v>66</v>
      </c>
      <c r="G34" s="130" t="s">
        <v>209</v>
      </c>
      <c r="H34" s="129"/>
      <c r="I34" s="410"/>
      <c r="J34" s="23"/>
    </row>
    <row r="35" spans="1:10" ht="15.75" customHeight="1" x14ac:dyDescent="0.3">
      <c r="A35" s="24" t="s">
        <v>43</v>
      </c>
      <c r="B35" s="11"/>
      <c r="C35" s="11"/>
      <c r="D35" s="11"/>
      <c r="E35" s="11"/>
      <c r="F35" s="11"/>
      <c r="G35" s="11"/>
      <c r="H35" s="11"/>
      <c r="I35" s="8"/>
      <c r="J35" s="12"/>
    </row>
    <row r="36" spans="1:10" ht="15.75" customHeight="1" x14ac:dyDescent="0.3">
      <c r="A36" s="8" t="s">
        <v>251</v>
      </c>
      <c r="B36" s="8"/>
      <c r="C36" s="8"/>
      <c r="D36" s="8"/>
      <c r="E36" s="8"/>
      <c r="F36" s="8"/>
      <c r="G36" s="8"/>
      <c r="H36" s="25"/>
      <c r="I36" s="25"/>
      <c r="J36" s="26"/>
    </row>
    <row r="37" spans="1:10" ht="15.75" customHeight="1" x14ac:dyDescent="0.3">
      <c r="A37" s="8"/>
      <c r="B37" s="8"/>
      <c r="C37" s="8"/>
      <c r="D37" s="8"/>
      <c r="E37" s="8"/>
      <c r="F37" s="8"/>
      <c r="G37" s="8"/>
      <c r="H37" s="25"/>
      <c r="I37" s="25"/>
      <c r="J37" s="26"/>
    </row>
    <row r="38" spans="1:10" ht="15.75" customHeight="1" x14ac:dyDescent="0.3">
      <c r="A38" s="22"/>
      <c r="B38" s="27"/>
      <c r="C38" s="27"/>
      <c r="D38" s="27"/>
      <c r="E38" s="27"/>
      <c r="F38" s="27"/>
      <c r="G38" s="27"/>
      <c r="H38" s="28"/>
      <c r="I38" s="28"/>
      <c r="J38" s="29"/>
    </row>
    <row r="39" spans="1:10" ht="15.75" customHeight="1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15.75" customHeight="1" x14ac:dyDescent="0.3">
      <c r="H40" s="30" t="s">
        <v>210</v>
      </c>
    </row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4">
    <mergeCell ref="A34:B34"/>
    <mergeCell ref="A15:E15"/>
    <mergeCell ref="F15:J15"/>
    <mergeCell ref="A32:B32"/>
    <mergeCell ref="C32:E32"/>
    <mergeCell ref="I32:I34"/>
    <mergeCell ref="A33:B33"/>
    <mergeCell ref="C33:E33"/>
    <mergeCell ref="G32:H32"/>
    <mergeCell ref="A1:J1"/>
    <mergeCell ref="A3:J3"/>
    <mergeCell ref="A4:J4"/>
    <mergeCell ref="A5:J5"/>
    <mergeCell ref="A6:J6"/>
  </mergeCells>
  <pageMargins left="0.7" right="0.7" top="0.75" bottom="0.7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1"/>
  <sheetViews>
    <sheetView tabSelected="1" zoomScaleNormal="100" workbookViewId="0">
      <selection activeCell="I19" sqref="I19"/>
    </sheetView>
  </sheetViews>
  <sheetFormatPr defaultColWidth="14.44140625" defaultRowHeight="15" customHeight="1" x14ac:dyDescent="0.3"/>
  <cols>
    <col min="1" max="4" width="8.6640625" customWidth="1"/>
    <col min="5" max="5" width="11.33203125" customWidth="1"/>
    <col min="6" max="6" width="10" customWidth="1"/>
    <col min="7" max="7" width="11" customWidth="1"/>
    <col min="8" max="8" width="14" customWidth="1"/>
    <col min="9" max="9" width="12.44140625" customWidth="1"/>
    <col min="10" max="10" width="11.5546875" customWidth="1"/>
    <col min="11" max="12" width="8.6640625" customWidth="1"/>
    <col min="13" max="13" width="12" customWidth="1"/>
    <col min="14" max="14" width="12.6640625" bestFit="1" customWidth="1"/>
    <col min="15" max="16" width="12" customWidth="1"/>
    <col min="17" max="17" width="11.88671875" customWidth="1"/>
    <col min="18" max="19" width="8.6640625" customWidth="1"/>
    <col min="20" max="20" width="13.44140625" bestFit="1" customWidth="1"/>
    <col min="21" max="23" width="8.6640625" customWidth="1"/>
    <col min="24" max="24" width="17.6640625" customWidth="1"/>
  </cols>
  <sheetData>
    <row r="1" spans="1:19" ht="14.4" x14ac:dyDescent="0.3">
      <c r="A1" s="398"/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99"/>
    </row>
    <row r="2" spans="1:19" ht="14.4" x14ac:dyDescent="0.3">
      <c r="A2" s="398" t="s">
        <v>11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99"/>
    </row>
    <row r="3" spans="1:19" ht="14.4" x14ac:dyDescent="0.3">
      <c r="A3" s="398" t="s">
        <v>12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99"/>
    </row>
    <row r="4" spans="1:19" ht="14.4" x14ac:dyDescent="0.3">
      <c r="A4" s="398" t="s">
        <v>13</v>
      </c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99"/>
    </row>
    <row r="5" spans="1:19" ht="14.4" x14ac:dyDescent="0.3">
      <c r="A5" s="398" t="s">
        <v>14</v>
      </c>
      <c r="B5" s="345"/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99"/>
    </row>
    <row r="6" spans="1:19" thickBot="1" x14ac:dyDescent="0.35">
      <c r="A6" s="400"/>
      <c r="B6" s="401"/>
      <c r="C6" s="401"/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2"/>
    </row>
    <row r="7" spans="1:19" ht="16.2" thickTop="1" x14ac:dyDescent="0.3">
      <c r="A7" s="2" t="s">
        <v>15</v>
      </c>
      <c r="B7" s="4"/>
      <c r="C7" s="4" t="str">
        <f>'Data Mentah PT100'!C7</f>
        <v>-</v>
      </c>
      <c r="D7" s="4"/>
      <c r="E7" s="4"/>
      <c r="F7" s="4"/>
      <c r="G7" s="4" t="s">
        <v>44</v>
      </c>
      <c r="H7" s="256" t="str">
        <f>'Data Mentah PT100'!G7</f>
        <v>-</v>
      </c>
      <c r="I7" s="4"/>
      <c r="J7" s="5"/>
      <c r="K7" s="4"/>
      <c r="L7" s="4"/>
      <c r="M7" s="4"/>
      <c r="N7" s="4"/>
      <c r="O7" s="4"/>
      <c r="P7" s="4"/>
      <c r="Q7" s="7"/>
    </row>
    <row r="8" spans="1:19" ht="14.4" x14ac:dyDescent="0.3">
      <c r="A8" s="2" t="s">
        <v>45</v>
      </c>
      <c r="B8" s="4"/>
      <c r="C8" s="4" t="str">
        <f>'Data Mentah PT100'!C8</f>
        <v>500</v>
      </c>
      <c r="D8" s="4"/>
      <c r="E8" s="4"/>
      <c r="F8" s="4"/>
      <c r="G8" s="4"/>
      <c r="H8" s="4"/>
      <c r="I8" s="8"/>
      <c r="J8" s="8"/>
      <c r="K8" s="8"/>
      <c r="L8" s="8"/>
      <c r="M8" s="8"/>
      <c r="N8" s="8"/>
      <c r="O8" s="8"/>
      <c r="P8" s="8"/>
      <c r="Q8" s="9"/>
    </row>
    <row r="9" spans="1:19" ht="14.4" x14ac:dyDescent="0.3">
      <c r="A9" s="2" t="s">
        <v>3</v>
      </c>
      <c r="B9" s="4"/>
      <c r="C9" s="415" t="str">
        <f>'Data Mentah PT100'!C9</f>
        <v>-</v>
      </c>
      <c r="D9" s="406"/>
      <c r="E9" s="406"/>
      <c r="F9" s="4"/>
      <c r="G9" s="4"/>
      <c r="H9" s="4"/>
      <c r="I9" s="11"/>
      <c r="J9" s="11"/>
      <c r="K9" s="11"/>
      <c r="L9" s="11"/>
      <c r="M9" s="11"/>
      <c r="N9" s="11"/>
      <c r="O9" s="11"/>
      <c r="P9" s="11"/>
      <c r="Q9" s="12"/>
    </row>
    <row r="10" spans="1:19" ht="14.4" x14ac:dyDescent="0.3">
      <c r="A10" s="2" t="s">
        <v>4</v>
      </c>
      <c r="B10" s="4"/>
      <c r="C10" s="4" t="str">
        <f>'Data Mentah PT100'!C10</f>
        <v>IK-K-KT-04</v>
      </c>
      <c r="D10" s="4"/>
      <c r="E10" s="4"/>
      <c r="F10" s="4"/>
      <c r="G10" s="4"/>
      <c r="H10" s="4"/>
      <c r="I10" s="11"/>
      <c r="J10" s="11"/>
      <c r="K10" s="11"/>
      <c r="L10" s="11"/>
      <c r="M10" s="11"/>
      <c r="N10" s="11"/>
      <c r="O10" s="11"/>
      <c r="P10" s="11"/>
      <c r="Q10" s="12"/>
    </row>
    <row r="11" spans="1:19" ht="14.4" x14ac:dyDescent="0.3">
      <c r="A11" s="2" t="s">
        <v>20</v>
      </c>
      <c r="B11" s="4"/>
      <c r="C11" s="4"/>
      <c r="D11" s="4"/>
      <c r="E11" s="4"/>
      <c r="F11" s="13"/>
      <c r="G11" s="13"/>
      <c r="H11" s="4" t="s">
        <v>21</v>
      </c>
      <c r="I11" s="4"/>
      <c r="J11" s="31"/>
      <c r="K11" s="4"/>
      <c r="L11" s="4"/>
      <c r="M11" s="4"/>
      <c r="N11" s="4"/>
      <c r="O11" s="13"/>
      <c r="P11" s="13"/>
      <c r="Q11" s="32"/>
    </row>
    <row r="12" spans="1:19" ht="16.2" x14ac:dyDescent="0.35">
      <c r="A12" s="2" t="s">
        <v>46</v>
      </c>
      <c r="B12" s="4">
        <f>'Data Mentah PT100'!B12</f>
        <v>20.9</v>
      </c>
      <c r="C12" s="4">
        <f>'Data Mentah PT100'!C12</f>
        <v>19.899999999999999</v>
      </c>
      <c r="D12" s="4">
        <f>'Data Mentah PT100'!D12</f>
        <v>23.2</v>
      </c>
      <c r="E12" s="14">
        <f>FORECAST(B12,'THM A21011860&amp;Oakton'!I4:I5,'THM A21011860&amp;Oakton'!H4:H5)</f>
        <v>0.56551724137931103</v>
      </c>
      <c r="F12" s="14">
        <f>FORECAST(C12,'THM A21011860&amp;Oakton'!B4:B5,'THM A21011860&amp;Oakton'!A4:A5)</f>
        <v>0.31496430210324994</v>
      </c>
      <c r="G12" s="14">
        <f>FORECAST(D12,'THM A21011860&amp;Oakton'!I4:I5,'THM A21011860&amp;Oakton'!H4:H5)</f>
        <v>0.24827586206896601</v>
      </c>
      <c r="H12" s="4" t="s">
        <v>47</v>
      </c>
      <c r="I12" s="14">
        <f>'Data Mentah PT100'!G12</f>
        <v>60</v>
      </c>
      <c r="J12" s="14">
        <f>'Data Mentah PT100'!H12</f>
        <v>69.7</v>
      </c>
      <c r="K12" s="14">
        <f>'Data Mentah PT100'!I12</f>
        <v>58.5</v>
      </c>
      <c r="L12" s="321" t="s">
        <v>244</v>
      </c>
      <c r="M12" s="322" t="s">
        <v>125</v>
      </c>
      <c r="N12" s="14">
        <f>FORECAST(I12,'THM A21011860&amp;Oakton'!K5:K6,'THM A21011860&amp;Oakton'!J5:J6)</f>
        <v>-1.0526315789473681</v>
      </c>
      <c r="O12" s="14">
        <f>FORECAST(J12,'THM A21011860&amp;Oakton'!D6:D7,'THM A21011860&amp;Oakton'!C6:C7)</f>
        <v>-1.0961448349308789E-2</v>
      </c>
      <c r="P12" s="14">
        <f>FORECAST(K12,'THM A21011860&amp;Oakton'!K5:K6,'THM A21011860&amp;Oakton'!J5:J6)</f>
        <v>-1.1315789473684208</v>
      </c>
      <c r="Q12" s="7"/>
    </row>
    <row r="13" spans="1:19" ht="16.2" x14ac:dyDescent="0.35">
      <c r="A13" s="2" t="s">
        <v>48</v>
      </c>
      <c r="B13" s="4">
        <f>'Data Mentah PT100'!B13</f>
        <v>27</v>
      </c>
      <c r="C13" s="4">
        <f>'Data Mentah PT100'!C13</f>
        <v>22.5</v>
      </c>
      <c r="D13" s="4">
        <f>'Data Mentah PT100'!D13</f>
        <v>23.8</v>
      </c>
      <c r="E13" s="14">
        <f>FORECAST(B13,'THM A21011860&amp;Oakton'!I5:I6,'THM A21011860&amp;Oakton'!H5:H6)</f>
        <v>-0.27586206896551735</v>
      </c>
      <c r="F13" s="14">
        <f>FORECAST(C13,'THM A21011860&amp;Oakton'!B4:B5,'THM A21011860&amp;Oakton'!A4:A5)</f>
        <v>0.25387793772193457</v>
      </c>
      <c r="G13" s="14">
        <f>FORECAST(D13,'THM A21011860&amp;Oakton'!I4:I5,'THM A21011860&amp;Oakton'!H4:H5)</f>
        <v>0.16551724137931068</v>
      </c>
      <c r="H13" s="4" t="s">
        <v>49</v>
      </c>
      <c r="I13" s="33">
        <f>'Data Mentah PT100'!G13</f>
        <v>60</v>
      </c>
      <c r="J13" s="14">
        <f>'Data Mentah PT100'!H13</f>
        <v>78.599999999999994</v>
      </c>
      <c r="K13" s="33">
        <f>'Data Mentah PT100'!I13</f>
        <v>55.5</v>
      </c>
      <c r="L13" s="321" t="s">
        <v>245</v>
      </c>
      <c r="M13" s="322" t="s">
        <v>125</v>
      </c>
      <c r="N13" s="14">
        <f>FORECAST(I13,'THM A21011860&amp;Oakton'!K5:K6,'THM A21011860&amp;Oakton'!J5:J6)</f>
        <v>-1.0526315789473681</v>
      </c>
      <c r="O13" s="14">
        <f>FORECAST(J13,'THM A21011860&amp;Oakton'!D7:D8,'THM A21011860&amp;Oakton'!C7:C8)</f>
        <v>0.26956025746652967</v>
      </c>
      <c r="P13" s="14">
        <f>FORECAST(K13,'THM A21011860&amp;Oakton'!K5:K6,'THM A21011860&amp;Oakton'!J5:J6)</f>
        <v>-1.2894736842105261</v>
      </c>
      <c r="Q13" s="7"/>
    </row>
    <row r="14" spans="1:19" ht="16.2" x14ac:dyDescent="0.35">
      <c r="A14" s="2" t="s">
        <v>50</v>
      </c>
      <c r="B14" s="4"/>
      <c r="C14" s="34">
        <f>SUM(B12:G13)/6</f>
        <v>23.095381752614543</v>
      </c>
      <c r="D14" s="34">
        <f>MAX(MAX(SUM(B12,E12),SUM(C12,F12),SUM(D12,G12),SUM(B13,E13),SUM(C13,F13),SUM(D13,G13))-C14,C14-MIN(SUM(B12,E12),SUM(C12,F12),SUM(D12,G12),SUM(B13,E13),SUM(C13,F13),SUM(D13,G13)))</f>
        <v>3.6287561784199411</v>
      </c>
      <c r="E14" s="4"/>
      <c r="F14" s="4"/>
      <c r="G14" s="4"/>
      <c r="H14" s="4" t="s">
        <v>51</v>
      </c>
      <c r="I14" s="4"/>
      <c r="J14" s="34">
        <f>SUM(I12:K13,N12:P13)/6</f>
        <v>63.005380503273926</v>
      </c>
      <c r="K14" s="34">
        <f>MAX(MAX(SUM(I12,N12),SUM(J12,O12),SUM(K12,P12),SUM(I13,N13),SUM(J13,O13),SUM(K13,P13))-J14,J14-MIN(SUM(I12,N12),SUM(J12,O12),SUM(K12,P12),SUM(I13,N13),SUM(J13,O13),SUM(K13,P13)))</f>
        <v>15.864179754192591</v>
      </c>
      <c r="L14" s="4"/>
      <c r="M14" s="4"/>
      <c r="N14" s="4"/>
      <c r="O14" s="4"/>
      <c r="P14" s="4"/>
      <c r="Q14" s="7"/>
    </row>
    <row r="15" spans="1:19" ht="18" x14ac:dyDescent="0.35">
      <c r="A15" s="16"/>
      <c r="B15" s="8" t="s">
        <v>27</v>
      </c>
      <c r="C15" t="s">
        <v>137</v>
      </c>
      <c r="D15" s="8" t="s">
        <v>27</v>
      </c>
      <c r="E15" s="16"/>
      <c r="F15" s="16"/>
      <c r="G15" s="16"/>
      <c r="H15" s="16"/>
      <c r="I15" s="16"/>
      <c r="J15" s="318"/>
      <c r="K15" s="318"/>
      <c r="L15" s="16"/>
      <c r="M15" s="16"/>
      <c r="N15" s="16"/>
      <c r="O15" s="16"/>
      <c r="P15" s="16"/>
      <c r="Q15" s="35"/>
    </row>
    <row r="16" spans="1:19" ht="15" customHeight="1" x14ac:dyDescent="0.3">
      <c r="A16" s="405" t="s">
        <v>52</v>
      </c>
      <c r="B16" s="406"/>
      <c r="C16" s="406"/>
      <c r="D16" s="406"/>
      <c r="E16" s="406"/>
      <c r="F16" s="404"/>
      <c r="G16" s="333" t="s">
        <v>53</v>
      </c>
      <c r="H16" s="36" t="s">
        <v>54</v>
      </c>
      <c r="I16" s="36" t="s">
        <v>54</v>
      </c>
      <c r="J16" s="405" t="s">
        <v>55</v>
      </c>
      <c r="K16" s="406"/>
      <c r="L16" s="406"/>
      <c r="M16" s="406"/>
      <c r="N16" s="406"/>
      <c r="O16" s="36" t="s">
        <v>56</v>
      </c>
      <c r="P16" s="416" t="s">
        <v>57</v>
      </c>
      <c r="Q16" s="416" t="s">
        <v>58</v>
      </c>
      <c r="S16" s="6" t="s">
        <v>124</v>
      </c>
    </row>
    <row r="17" spans="1:26" ht="14.4" x14ac:dyDescent="0.3">
      <c r="A17" s="18" t="s">
        <v>30</v>
      </c>
      <c r="B17" s="18" t="s">
        <v>31</v>
      </c>
      <c r="C17" s="18" t="s">
        <v>32</v>
      </c>
      <c r="D17" s="18" t="s">
        <v>33</v>
      </c>
      <c r="E17" s="18" t="s">
        <v>34</v>
      </c>
      <c r="F17" s="18" t="s">
        <v>59</v>
      </c>
      <c r="G17" s="334" t="s">
        <v>246</v>
      </c>
      <c r="H17" s="37" t="s">
        <v>247</v>
      </c>
      <c r="I17" s="37" t="s">
        <v>61</v>
      </c>
      <c r="J17" s="18" t="s">
        <v>35</v>
      </c>
      <c r="K17" s="18" t="s">
        <v>36</v>
      </c>
      <c r="L17" s="18" t="s">
        <v>37</v>
      </c>
      <c r="M17" s="18" t="s">
        <v>38</v>
      </c>
      <c r="N17" s="17" t="s">
        <v>39</v>
      </c>
      <c r="O17" s="37" t="s">
        <v>62</v>
      </c>
      <c r="P17" s="418"/>
      <c r="Q17" s="417"/>
      <c r="R17" s="238"/>
      <c r="S17">
        <v>40.019000000000005</v>
      </c>
      <c r="T17">
        <v>-1.8886516853939384E-2</v>
      </c>
      <c r="U17">
        <v>4.4000000000000004E-2</v>
      </c>
      <c r="V17" s="215"/>
      <c r="W17" s="215"/>
      <c r="X17" s="215"/>
      <c r="Y17" s="215"/>
      <c r="Z17" s="215"/>
    </row>
    <row r="18" spans="1:26" ht="12.6" customHeight="1" x14ac:dyDescent="0.3">
      <c r="A18" s="38">
        <f>'Data Mentah PT100'!A17</f>
        <v>100.01</v>
      </c>
      <c r="B18" s="38">
        <f>'Data Mentah PT100'!B17</f>
        <v>100.01</v>
      </c>
      <c r="C18" s="38">
        <f>'Data Mentah PT100'!C17</f>
        <v>100.01</v>
      </c>
      <c r="D18" s="38">
        <f>'Data Mentah PT100'!D17</f>
        <v>100.01</v>
      </c>
      <c r="E18" s="38">
        <f>'Data Mentah PT100'!E17</f>
        <v>100.01</v>
      </c>
      <c r="F18" s="39">
        <f t="shared" ref="F18:F23" si="0">AVERAGE(A18:E18)</f>
        <v>100.01</v>
      </c>
      <c r="G18" s="290">
        <f>FORECAST(F18,T$18:T$19,S$18:S$19)</f>
        <v>-3.8937991678316804E-2</v>
      </c>
      <c r="H18" s="291">
        <f t="shared" ref="H18:H27" si="1">F18+G18</f>
        <v>99.971062008321695</v>
      </c>
      <c r="I18" s="40">
        <f>_xlfn.FORECAST.LINEAR(H18,
INDEX(Table1[[Suhu ]],MATCH(H18,Table1[Resistansi 2024],1)):
INDEX(Table1[[Suhu ]],MATCH(H18,Table1[Resistansi 2024],1)+1),
INDEX(Table1[Resistansi 2024],MATCH(H18,Table1[Resistansi 2024],1)):
INDEX(Table1[Resistansi 2024],MATCH(H18,Table1[Resistansi 2024],1)+1))</f>
        <v>4.3935328752411351E-3</v>
      </c>
      <c r="J18" s="38">
        <f>'Data Mentah PT100'!F17</f>
        <v>100.15</v>
      </c>
      <c r="K18" s="38">
        <f>'Data Mentah PT100'!G17</f>
        <v>100.15</v>
      </c>
      <c r="L18" s="38">
        <f>'Data Mentah PT100'!H17</f>
        <v>100.15</v>
      </c>
      <c r="M18" s="38">
        <f>'Data Mentah PT100'!I17</f>
        <v>100.15</v>
      </c>
      <c r="N18" s="38">
        <f>'Data Mentah PT100'!J17</f>
        <v>100.15</v>
      </c>
      <c r="O18" s="41">
        <f t="shared" ref="O18:O28" si="2">AVERAGE(J18:N18)</f>
        <v>100.15</v>
      </c>
      <c r="P18" s="42">
        <f>FORECAST(O18,T$18:T$19,S$18:S$19)</f>
        <v>-3.9009760849910792E-2</v>
      </c>
      <c r="Q18" s="327">
        <f>O18+P18</f>
        <v>100.1109902391501</v>
      </c>
      <c r="R18" s="238"/>
      <c r="S18">
        <v>80.03</v>
      </c>
      <c r="T18">
        <v>-2.8695505617974959E-2</v>
      </c>
      <c r="U18">
        <v>8.8000000000000009E-2</v>
      </c>
      <c r="V18" s="135"/>
      <c r="W18" s="135"/>
      <c r="X18" s="135"/>
      <c r="Y18" s="135"/>
      <c r="Z18" s="215"/>
    </row>
    <row r="19" spans="1:26" ht="15.75" customHeight="1" x14ac:dyDescent="0.3">
      <c r="A19" s="38">
        <f>'Data Mentah PT100'!A18</f>
        <v>109.93</v>
      </c>
      <c r="B19" s="38">
        <f>'Data Mentah PT100'!B18</f>
        <v>109.93</v>
      </c>
      <c r="C19" s="38">
        <f>'Data Mentah PT100'!C18</f>
        <v>109.93</v>
      </c>
      <c r="D19" s="38">
        <f>'Data Mentah PT100'!D18</f>
        <v>109.935</v>
      </c>
      <c r="E19" s="38">
        <f>'Data Mentah PT100'!E18</f>
        <v>109.935</v>
      </c>
      <c r="F19" s="39">
        <f t="shared" si="0"/>
        <v>109.93200000000002</v>
      </c>
      <c r="G19" s="290">
        <f>FORECAST(F19,T$18:T$19,S$18:S$19)</f>
        <v>-4.4024375396570649E-2</v>
      </c>
      <c r="H19" s="291">
        <v>108</v>
      </c>
      <c r="I19" s="40">
        <f>_xlfn.FORECAST.LINEAR(H19,
INDEX(Table1[[Suhu ]],MATCH(H19,Table1[Resistansi 2024],1)):
INDEX(Table1[[Suhu ]],MATCH(H19,Table1[Resistansi 2024],1)+1),
INDEX(Table1[Resistansi 2024],MATCH(H19,Table1[Resistansi 2024],1)):
INDEX(Table1[Resistansi 2024],MATCH(H19,Table1[Resistansi 2024],1)+1))</f>
        <v>20.230448515476951</v>
      </c>
      <c r="J19" s="38">
        <f>'Data Mentah PT100'!F18</f>
        <v>109.905</v>
      </c>
      <c r="K19" s="38">
        <f>'Data Mentah PT100'!G18</f>
        <v>109.905</v>
      </c>
      <c r="L19" s="38">
        <f>'Data Mentah PT100'!H18</f>
        <v>109.905</v>
      </c>
      <c r="M19" s="38">
        <f>'Data Mentah PT100'!I18</f>
        <v>109.9</v>
      </c>
      <c r="N19" s="38">
        <f>'Data Mentah PT100'!J18</f>
        <v>109.9</v>
      </c>
      <c r="O19" s="44">
        <f t="shared" si="2"/>
        <v>109.90299999999999</v>
      </c>
      <c r="P19" s="42">
        <f>FORECAST(O19,T$18:T$19,S$18:S$19)</f>
        <v>-4.4009508925311885E-2</v>
      </c>
      <c r="Q19" s="327">
        <f t="shared" ref="Q19:Q24" si="3">O19+P19</f>
        <v>109.85899049107468</v>
      </c>
      <c r="R19" s="238"/>
      <c r="S19">
        <v>120.05</v>
      </c>
      <c r="T19">
        <v>-4.9211235955056054E-2</v>
      </c>
      <c r="U19">
        <v>3.3600000000000005E-2</v>
      </c>
      <c r="V19" s="215"/>
      <c r="W19" s="215"/>
      <c r="X19" s="215"/>
      <c r="Y19" s="332"/>
      <c r="Z19" s="215"/>
    </row>
    <row r="20" spans="1:26" ht="15.75" customHeight="1" x14ac:dyDescent="0.3">
      <c r="A20" s="38">
        <f>'Data Mentah PT100'!A19</f>
        <v>119.825</v>
      </c>
      <c r="B20" s="38">
        <f>'Data Mentah PT100'!B19</f>
        <v>119.825</v>
      </c>
      <c r="C20" s="38">
        <f>'Data Mentah PT100'!C19</f>
        <v>119.825</v>
      </c>
      <c r="D20" s="38">
        <f>'Data Mentah PT100'!D19</f>
        <v>119.82</v>
      </c>
      <c r="E20" s="38">
        <f>'Data Mentah PT100'!E19</f>
        <v>119.82</v>
      </c>
      <c r="F20" s="39">
        <f t="shared" si="0"/>
        <v>119.82300000000001</v>
      </c>
      <c r="G20" s="290">
        <f>FORECAST(F20,T$18:T$19,S$18:S$19)</f>
        <v>-4.9094867369685817E-2</v>
      </c>
      <c r="H20" s="291">
        <f t="shared" si="1"/>
        <v>119.77390513263032</v>
      </c>
      <c r="I20" s="40">
        <f>_xlfn.FORECAST.LINEAR(H20,
INDEX(Table1[[Suhu ]],MATCH(H20,Table1[Resistansi 2024],1)):
INDEX(Table1[[Suhu ]],MATCH(H20,Table1[Resistansi 2024],1)+1),
INDEX(Table1[Resistansi 2024],MATCH(H20,Table1[Resistansi 2024],1)):
INDEX(Table1[Resistansi 2024],MATCH(H20,Table1[Resistansi 2024],1)+1))</f>
        <v>50.111172354563166</v>
      </c>
      <c r="J20" s="38">
        <f>'Data Mentah PT100'!F19</f>
        <v>119.46</v>
      </c>
      <c r="K20" s="38">
        <f>'Data Mentah PT100'!G19</f>
        <v>119.46</v>
      </c>
      <c r="L20" s="38">
        <f>'Data Mentah PT100'!H19</f>
        <v>119.455</v>
      </c>
      <c r="M20" s="38">
        <f>'Data Mentah PT100'!I19</f>
        <v>119.455</v>
      </c>
      <c r="N20" s="38">
        <f>'Data Mentah PT100'!J19</f>
        <v>119.45</v>
      </c>
      <c r="O20" s="44">
        <f t="shared" si="2"/>
        <v>119.45599999999999</v>
      </c>
      <c r="P20" s="42">
        <f>FORECAST(O20,T$18:T$19,S$18:S$19)</f>
        <v>-4.8906729612721571E-2</v>
      </c>
      <c r="Q20" s="327">
        <f t="shared" si="3"/>
        <v>119.40709327038726</v>
      </c>
      <c r="R20" s="238"/>
      <c r="S20">
        <v>160.06</v>
      </c>
      <c r="T20">
        <v>-5.9656179775288365E-2</v>
      </c>
      <c r="U20">
        <v>4.4800000000000006E-2</v>
      </c>
      <c r="V20" s="329"/>
      <c r="W20" s="328"/>
      <c r="X20" s="329"/>
      <c r="Y20" s="328"/>
      <c r="Z20" s="329"/>
    </row>
    <row r="21" spans="1:26" ht="15.75" customHeight="1" x14ac:dyDescent="0.3">
      <c r="A21" s="38">
        <f>'Data Mentah PT100'!A20</f>
        <v>129.57499999999999</v>
      </c>
      <c r="B21" s="38">
        <f>'Data Mentah PT100'!B20</f>
        <v>129.57499999999999</v>
      </c>
      <c r="C21" s="38">
        <f>'Data Mentah PT100'!C20</f>
        <v>129.58000000000001</v>
      </c>
      <c r="D21" s="38">
        <f>'Data Mentah PT100'!D20</f>
        <v>129.57499999999999</v>
      </c>
      <c r="E21" s="38">
        <f>'Data Mentah PT100'!E20</f>
        <v>129.58000000000001</v>
      </c>
      <c r="F21" s="39">
        <f t="shared" si="0"/>
        <v>129.57700000000003</v>
      </c>
      <c r="G21" s="290">
        <f>FORECAST(F21,T$19:T$20,S$19:S$20)</f>
        <v>-5.1698338673760211E-2</v>
      </c>
      <c r="H21" s="291">
        <f t="shared" si="1"/>
        <v>129.52530166132627</v>
      </c>
      <c r="I21" s="40">
        <f>_xlfn.FORECAST.LINEAR(H21,
INDEX(Table1[[Suhu ]],MATCH(H21,Table1[Resistansi 2024],1)):
INDEX(Table1[[Suhu ]],MATCH(H21,Table1[Resistansi 2024],1)+1),
INDEX(Table1[Resistansi 2024],MATCH(H21,Table1[Resistansi 2024],1)):
INDEX(Table1[Resistansi 2024],MATCH(H21,Table1[Resistansi 2024],1)+1))</f>
        <v>75.062139840554494</v>
      </c>
      <c r="J21" s="38">
        <f>'Data Mentah PT100'!F20</f>
        <v>129.17500000000001</v>
      </c>
      <c r="K21" s="38">
        <f>'Data Mentah PT100'!G20</f>
        <v>129.17500000000001</v>
      </c>
      <c r="L21" s="38">
        <f>'Data Mentah PT100'!H20</f>
        <v>129.18</v>
      </c>
      <c r="M21" s="38">
        <f>'Data Mentah PT100'!I20</f>
        <v>129.17500000000001</v>
      </c>
      <c r="N21" s="38">
        <f>'Data Mentah PT100'!J20</f>
        <v>129.185</v>
      </c>
      <c r="O21" s="44">
        <f t="shared" si="2"/>
        <v>129.17800000000003</v>
      </c>
      <c r="P21" s="42">
        <f>FORECAST(O21,T$19:T$20,S$19:S$20)</f>
        <v>-5.15941763997219E-2</v>
      </c>
      <c r="Q21" s="327">
        <f t="shared" si="3"/>
        <v>129.12640582360029</v>
      </c>
      <c r="R21" s="238"/>
      <c r="S21">
        <v>200.06</v>
      </c>
      <c r="T21">
        <v>-6.0101123595501349E-2</v>
      </c>
      <c r="U21">
        <v>5.6000000000000008E-2</v>
      </c>
      <c r="V21" s="329"/>
      <c r="W21" s="328"/>
      <c r="X21" s="329"/>
      <c r="Y21" s="328"/>
      <c r="Z21" s="329"/>
    </row>
    <row r="22" spans="1:26" ht="15.75" customHeight="1" x14ac:dyDescent="0.3">
      <c r="A22" s="38">
        <f>'Data Mentah PT100'!A21</f>
        <v>139.27500000000001</v>
      </c>
      <c r="B22" s="38">
        <f>'Data Mentah PT100'!B21</f>
        <v>139.27500000000001</v>
      </c>
      <c r="C22" s="38">
        <f>'Data Mentah PT100'!C21</f>
        <v>139.27500000000001</v>
      </c>
      <c r="D22" s="38">
        <f>'Data Mentah PT100'!D21</f>
        <v>139.27500000000001</v>
      </c>
      <c r="E22" s="38">
        <f>'Data Mentah PT100'!E21</f>
        <v>139.27500000000001</v>
      </c>
      <c r="F22" s="39">
        <f t="shared" si="0"/>
        <v>139.27500000000001</v>
      </c>
      <c r="G22" s="290">
        <f>FORECAST(F22,T$19:T$20,S$19:S$20)</f>
        <v>-5.4230082367052207E-2</v>
      </c>
      <c r="H22" s="291">
        <f t="shared" si="1"/>
        <v>139.22076991763296</v>
      </c>
      <c r="I22" s="40">
        <f>_xlfn.FORECAST.LINEAR(H22,
INDEX(Table1[[Suhu ]],MATCH(H22,Table1[Resistansi 2024],1)):
INDEX(Table1[[Suhu ]],MATCH(H22,Table1[Resistansi 2024],1)+1),
INDEX(Table1[Resistansi 2024],MATCH(H22,Table1[Resistansi 2024],1)):
INDEX(Table1[Resistansi 2024],MATCH(H22,Table1[Resistansi 2024],1)+1))</f>
        <v>100.0568335558192</v>
      </c>
      <c r="J22" s="38">
        <f>'Data Mentah PT100'!F21</f>
        <v>138.71</v>
      </c>
      <c r="K22" s="38">
        <f>'Data Mentah PT100'!G21</f>
        <v>138.71</v>
      </c>
      <c r="L22" s="38">
        <f>'Data Mentah PT100'!H21</f>
        <v>138.69999999999999</v>
      </c>
      <c r="M22" s="38">
        <f>'Data Mentah PT100'!I21</f>
        <v>138.69999999999999</v>
      </c>
      <c r="N22" s="38">
        <f>'Data Mentah PT100'!J21</f>
        <v>138.71</v>
      </c>
      <c r="O22" s="44">
        <f t="shared" si="2"/>
        <v>138.70599999999999</v>
      </c>
      <c r="P22" s="42">
        <f>FORECAST(O22,T$19:T$20,S$19:S$20)</f>
        <v>-5.4081540176756968E-2</v>
      </c>
      <c r="Q22" s="327">
        <f t="shared" si="3"/>
        <v>138.65191845982324</v>
      </c>
      <c r="R22" s="238"/>
      <c r="S22">
        <v>240.06</v>
      </c>
      <c r="T22">
        <v>-6.0546067415742755E-2</v>
      </c>
      <c r="U22">
        <v>6.720000000000001E-2</v>
      </c>
      <c r="V22" s="329"/>
      <c r="W22" s="328"/>
      <c r="X22" s="329"/>
      <c r="Y22" s="328"/>
      <c r="Z22" s="329"/>
    </row>
    <row r="23" spans="1:26" ht="15.75" customHeight="1" x14ac:dyDescent="0.3">
      <c r="A23" s="38">
        <f>'Data Mentah PT100'!A22</f>
        <v>148.905</v>
      </c>
      <c r="B23" s="38">
        <f>'Data Mentah PT100'!B22</f>
        <v>148.905</v>
      </c>
      <c r="C23" s="38">
        <f>'Data Mentah PT100'!C22</f>
        <v>148.905</v>
      </c>
      <c r="D23" s="38">
        <f>'Data Mentah PT100'!D22</f>
        <v>148.9</v>
      </c>
      <c r="E23" s="38">
        <f>'Data Mentah PT100'!E22</f>
        <v>148.905</v>
      </c>
      <c r="F23" s="39">
        <f t="shared" si="0"/>
        <v>148.904</v>
      </c>
      <c r="G23" s="290">
        <f>FORECAST(F23,T$19:T$20,S$19:S$20)</f>
        <v>-5.6743813035510508E-2</v>
      </c>
      <c r="H23" s="291">
        <f t="shared" si="1"/>
        <v>148.84725618696447</v>
      </c>
      <c r="I23" s="40">
        <f>_xlfn.FORECAST.LINEAR(H23,
INDEX(Table1[[Suhu ]],MATCH(H23,Table1[Resistansi 2024],1)):
INDEX(Table1[[Suhu ]],MATCH(H23,Table1[Resistansi 2024],1)+1),
INDEX(Table1[Resistansi 2024],MATCH(H23,Table1[Resistansi 2024],1)):
INDEX(Table1[Resistansi 2024],MATCH(H23,Table1[Resistansi 2024],1)+1))</f>
        <v>125.06223905222049</v>
      </c>
      <c r="J23" s="38">
        <f>'Data Mentah PT100'!F22</f>
        <v>148.16999999999999</v>
      </c>
      <c r="K23" s="38">
        <f>'Data Mentah PT100'!G22</f>
        <v>148.16999999999999</v>
      </c>
      <c r="L23" s="38">
        <f>'Data Mentah PT100'!H22</f>
        <v>148.18</v>
      </c>
      <c r="M23" s="38">
        <f>'Data Mentah PT100'!I22</f>
        <v>148.18</v>
      </c>
      <c r="N23" s="38">
        <f>'Data Mentah PT100'!J22</f>
        <v>148.16999999999999</v>
      </c>
      <c r="O23" s="44">
        <f t="shared" si="2"/>
        <v>148.17400000000001</v>
      </c>
      <c r="P23" s="42">
        <f>FORECAST(O23,T$19:T$20,S$19:S$20)</f>
        <v>-5.6553240453936671E-2</v>
      </c>
      <c r="Q23" s="327">
        <f t="shared" si="3"/>
        <v>148.11744675954608</v>
      </c>
      <c r="R23" s="238"/>
      <c r="S23">
        <v>280.06799999999998</v>
      </c>
      <c r="T23">
        <v>-6.8991011235937094E-2</v>
      </c>
      <c r="U23">
        <v>7.8400000000000011E-2</v>
      </c>
      <c r="V23" s="331"/>
      <c r="W23" s="328"/>
      <c r="X23" s="330"/>
      <c r="Y23" s="328"/>
      <c r="Z23" s="331"/>
    </row>
    <row r="24" spans="1:26" ht="15.75" customHeight="1" x14ac:dyDescent="0.3">
      <c r="A24" s="38">
        <f>'Data Mentah PT100'!A23</f>
        <v>158.44999999999999</v>
      </c>
      <c r="B24" s="38">
        <f>'Data Mentah PT100'!B23</f>
        <v>158.44999999999999</v>
      </c>
      <c r="C24" s="38">
        <f>'Data Mentah PT100'!C23</f>
        <v>158.44999999999999</v>
      </c>
      <c r="D24" s="38">
        <f>'Data Mentah PT100'!D23</f>
        <v>158.46</v>
      </c>
      <c r="E24" s="38">
        <f>'Data Mentah PT100'!E23</f>
        <v>158.46</v>
      </c>
      <c r="F24" s="39">
        <f t="shared" ref="F24" si="4">AVERAGE(A24:E24)</f>
        <v>158.45400000000001</v>
      </c>
      <c r="G24" s="290">
        <f>FORECAST(F24,T$19:T$20,S$19:S$20)</f>
        <v>-5.9236920095825901E-2</v>
      </c>
      <c r="H24" s="291">
        <f t="shared" si="1"/>
        <v>158.39476307990418</v>
      </c>
      <c r="I24" s="40">
        <f>_xlfn.FORECAST.LINEAR(H24,
INDEX(Table1[[Suhu ]],MATCH(H24,Table1[Resistansi 2024],1)):
INDEX(Table1[[Suhu ]],MATCH(H24,Table1[Resistansi 2024],1)+1),
INDEX(Table1[Resistansi 2024],MATCH(H24,Table1[Resistansi 2024],1)):
INDEX(Table1[Resistansi 2024],MATCH(H24,Table1[Resistansi 2024],1)+1))</f>
        <v>150.05235475877481</v>
      </c>
      <c r="J24" s="38">
        <f>'Data Mentah PT100'!F23</f>
        <v>157.58000000000001</v>
      </c>
      <c r="K24" s="38">
        <f>'Data Mentah PT100'!G23</f>
        <v>157.58000000000001</v>
      </c>
      <c r="L24" s="38">
        <f>'Data Mentah PT100'!H23</f>
        <v>157.57499999999999</v>
      </c>
      <c r="M24" s="38">
        <f>'Data Mentah PT100'!I23</f>
        <v>157.59</v>
      </c>
      <c r="N24" s="38">
        <f>'Data Mentah PT100'!J23</f>
        <v>157.59</v>
      </c>
      <c r="O24" s="44">
        <f t="shared" si="2"/>
        <v>157.58300000000003</v>
      </c>
      <c r="P24" s="42">
        <f>FORECAST(O24,T$19:T$20,S$19:S$20)</f>
        <v>-5.9009538289591906E-2</v>
      </c>
      <c r="Q24" s="327">
        <f t="shared" si="3"/>
        <v>157.52399046171044</v>
      </c>
      <c r="R24" s="238"/>
      <c r="S24">
        <v>320.08</v>
      </c>
      <c r="T24">
        <v>-8.1435955056178955E-2</v>
      </c>
      <c r="U24">
        <v>8.9600000000000013E-2</v>
      </c>
    </row>
    <row r="25" spans="1:26" ht="15.75" customHeight="1" x14ac:dyDescent="0.3">
      <c r="A25" s="38">
        <f>'Data Mentah PT100'!A24</f>
        <v>167.92</v>
      </c>
      <c r="B25" s="38">
        <f>'Data Mentah PT100'!B24</f>
        <v>167.92</v>
      </c>
      <c r="C25" s="38">
        <f>'Data Mentah PT100'!C24</f>
        <v>167.92</v>
      </c>
      <c r="D25" s="38">
        <f>'Data Mentah PT100'!D24</f>
        <v>167.94</v>
      </c>
      <c r="E25" s="38">
        <f>'Data Mentah PT100'!E24</f>
        <v>167.94</v>
      </c>
      <c r="F25" s="39">
        <f t="shared" ref="F25:F28" si="5">AVERAGE(A25:E25)</f>
        <v>167.92800000000003</v>
      </c>
      <c r="G25" s="290">
        <f>FORECAST(F25,T$20:T$21,S$20:S$21)</f>
        <v>-5.9743700224724257E-2</v>
      </c>
      <c r="H25" s="291">
        <f t="shared" si="1"/>
        <v>167.86825629977531</v>
      </c>
      <c r="I25" s="40">
        <f>_xlfn.FORECAST.LINEAR(H25,
INDEX(Table1[[Suhu ]],MATCH(H25,Table1[Resistansi 2024],1)):
INDEX(Table1[[Suhu ]],MATCH(H25,Table1[Resistansi 2024],1)+1),
INDEX(Table1[Resistansi 2024],MATCH(H25,Table1[Resistansi 2024],1)):
INDEX(Table1[Resistansi 2024],MATCH(H25,Table1[Resistansi 2024],1)+1))</f>
        <v>175.0430001990112</v>
      </c>
      <c r="J25" s="38">
        <f>'Data Mentah PT100'!F24</f>
        <v>166.98</v>
      </c>
      <c r="K25" s="38">
        <f>'Data Mentah PT100'!G24</f>
        <v>166.98</v>
      </c>
      <c r="L25" s="38">
        <f>'Data Mentah PT100'!H24</f>
        <v>166.96</v>
      </c>
      <c r="M25" s="38">
        <f>'Data Mentah PT100'!I24</f>
        <v>166.96</v>
      </c>
      <c r="N25" s="38">
        <f>'Data Mentah PT100'!J24</f>
        <v>166.98</v>
      </c>
      <c r="O25" s="44">
        <f t="shared" si="2"/>
        <v>166.97200000000001</v>
      </c>
      <c r="P25" s="42">
        <f>FORECAST(O25,T$20:T$21,S$20:S$21)</f>
        <v>-5.9733066067421167E-2</v>
      </c>
      <c r="Q25" s="43">
        <f t="shared" ref="Q25:Q27" si="6">O25+P25</f>
        <v>166.91226693393259</v>
      </c>
      <c r="S25">
        <v>360.1</v>
      </c>
      <c r="T25">
        <v>-0.11433724770648723</v>
      </c>
      <c r="U25">
        <v>0.1008</v>
      </c>
    </row>
    <row r="26" spans="1:26" ht="15.75" customHeight="1" x14ac:dyDescent="0.3">
      <c r="A26" s="38">
        <f>'Data Mentah PT100'!A25</f>
        <v>177.34</v>
      </c>
      <c r="B26" s="38">
        <f>'Data Mentah PT100'!B25</f>
        <v>177.34</v>
      </c>
      <c r="C26" s="38">
        <f>'Data Mentah PT100'!C25</f>
        <v>177.32</v>
      </c>
      <c r="D26" s="38">
        <f>'Data Mentah PT100'!D25</f>
        <v>177.32</v>
      </c>
      <c r="E26" s="38">
        <f>'Data Mentah PT100'!E25</f>
        <v>177.32</v>
      </c>
      <c r="F26" s="39">
        <f t="shared" si="5"/>
        <v>177.32799999999997</v>
      </c>
      <c r="G26" s="262">
        <f>FORECAST(F26,T$20:T$21,S$20:S$21)</f>
        <v>-5.9848262022474306E-2</v>
      </c>
      <c r="H26" s="336">
        <f t="shared" si="1"/>
        <v>177.26815173797749</v>
      </c>
      <c r="I26" s="40">
        <f>_xlfn.FORECAST.LINEAR(H26,
INDEX(Table1[[Suhu ]],MATCH(H26,Table1[Resistansi 2024],1)):
INDEX(Table1[[Suhu ]],MATCH(H26,Table1[Resistansi 2024],1)+1),
INDEX(Table1[Resistansi 2024],MATCH(H26,Table1[Resistansi 2024],1)):
INDEX(Table1[Resistansi 2024],MATCH(H26,Table1[Resistansi 2024],1)+1))</f>
        <v>200.02602614955697</v>
      </c>
      <c r="J26" s="38">
        <f>'Data Mentah PT100'!F25</f>
        <v>176.16</v>
      </c>
      <c r="K26" s="38">
        <f>'Data Mentah PT100'!G25</f>
        <v>176.16</v>
      </c>
      <c r="L26" s="38">
        <f>'Data Mentah PT100'!H25</f>
        <v>176.16</v>
      </c>
      <c r="M26" s="38">
        <f>'Data Mentah PT100'!I25</f>
        <v>176.18</v>
      </c>
      <c r="N26" s="38">
        <f>'Data Mentah PT100'!J25</f>
        <v>176.18</v>
      </c>
      <c r="O26" s="44">
        <f t="shared" si="2"/>
        <v>176.16800000000003</v>
      </c>
      <c r="P26" s="42">
        <f>FORECAST(O26,T$20:T$21,S$20:S$21)</f>
        <v>-5.9835358651688132E-2</v>
      </c>
      <c r="Q26" s="43">
        <f t="shared" si="6"/>
        <v>176.10816464134834</v>
      </c>
      <c r="S26">
        <v>400.1</v>
      </c>
      <c r="T26">
        <v>-0.10232584269658673</v>
      </c>
      <c r="U26">
        <v>0.11200000000000002</v>
      </c>
    </row>
    <row r="27" spans="1:26" ht="15.75" customHeight="1" x14ac:dyDescent="0.3">
      <c r="A27" s="38">
        <f>'Data Mentah PT100'!A26</f>
        <v>186.66</v>
      </c>
      <c r="B27" s="38">
        <f>'Data Mentah PT100'!B26</f>
        <v>186.68</v>
      </c>
      <c r="C27" s="38">
        <f>'Data Mentah PT100'!C26</f>
        <v>186.68</v>
      </c>
      <c r="D27" s="38">
        <f>'Data Mentah PT100'!D26</f>
        <v>186.66</v>
      </c>
      <c r="E27" s="38">
        <f>'Data Mentah PT100'!E26</f>
        <v>186.66</v>
      </c>
      <c r="F27" s="39">
        <f t="shared" si="5"/>
        <v>186.66799999999998</v>
      </c>
      <c r="G27" s="262">
        <f>FORECAST(F27,T$20:T$21,S$20:S$21)</f>
        <v>-5.9952156404494042E-2</v>
      </c>
      <c r="H27" s="336">
        <f t="shared" si="1"/>
        <v>186.60804784359547</v>
      </c>
      <c r="I27" s="40">
        <f>_xlfn.FORECAST.LINEAR(H27,
INDEX(Table1[[Suhu ]],MATCH(H27,Table1[Resistansi 2024],1)):
INDEX(Table1[[Suhu ]],MATCH(H27,Table1[Resistansi 2024],1)+1),
INDEX(Table1[Resistansi 2024],MATCH(H27,Table1[Resistansi 2024],1)):
INDEX(Table1[Resistansi 2024],MATCH(H27,Table1[Resistansi 2024],1)+1))</f>
        <v>225.04720080586242</v>
      </c>
      <c r="J27" s="38">
        <f>'Data Mentah PT100'!F26</f>
        <v>185.28</v>
      </c>
      <c r="K27" s="38">
        <f>'Data Mentah PT100'!G26</f>
        <v>185.28</v>
      </c>
      <c r="L27" s="38">
        <f>'Data Mentah PT100'!H26</f>
        <v>185.28</v>
      </c>
      <c r="M27" s="38">
        <f>'Data Mentah PT100'!I26</f>
        <v>185.28</v>
      </c>
      <c r="N27" s="38">
        <f>'Data Mentah PT100'!J26</f>
        <v>185.28</v>
      </c>
      <c r="O27" s="44">
        <f t="shared" si="2"/>
        <v>185.28</v>
      </c>
      <c r="P27" s="42">
        <f>FORECAST(O27,T$20:T$21,S$20:S$21)</f>
        <v>-5.9936716853932648E-2</v>
      </c>
      <c r="Q27" s="43">
        <f t="shared" si="6"/>
        <v>185.22006328314606</v>
      </c>
    </row>
    <row r="28" spans="1:26" ht="15.75" customHeight="1" x14ac:dyDescent="0.3">
      <c r="A28" s="38">
        <f>'Data Mentah PT100'!A27</f>
        <v>195.94</v>
      </c>
      <c r="B28" s="38">
        <f>'Data Mentah PT100'!B27</f>
        <v>195.94</v>
      </c>
      <c r="C28" s="38">
        <f>'Data Mentah PT100'!C27</f>
        <v>195.94</v>
      </c>
      <c r="D28" s="38">
        <f>'Data Mentah PT100'!D27</f>
        <v>195.94</v>
      </c>
      <c r="E28" s="38">
        <f>'Data Mentah PT100'!E27</f>
        <v>195.94</v>
      </c>
      <c r="F28" s="39">
        <f t="shared" si="5"/>
        <v>195.94</v>
      </c>
      <c r="G28" s="262">
        <f>FORECAST(F28,T$20:T$21,S$20:S$21)</f>
        <v>-6.0055294382019411E-2</v>
      </c>
      <c r="H28" s="336">
        <f t="shared" ref="H28" si="7">F28+G28</f>
        <v>195.87994470561799</v>
      </c>
      <c r="I28" s="40">
        <f>_xlfn.FORECAST.LINEAR(H28,
INDEX(Table1[[Suhu ]],MATCH(H28,Table1[Resistansi 2024],1)):
INDEX(Table1[[Suhu ]],MATCH(H28,Table1[Resistansi 2024],1)+1),
INDEX(Table1[Resistansi 2024],MATCH(H28,Table1[Resistansi 2024],1)):
INDEX(Table1[Resistansi 2024],MATCH(H28,Table1[Resistansi 2024],1)+1))</f>
        <v>250.04129115681161</v>
      </c>
      <c r="J28" s="38">
        <f>'Data Mentah PT100'!F27</f>
        <v>194.48</v>
      </c>
      <c r="K28" s="38">
        <f>'Data Mentah PT100'!G27</f>
        <v>194.48</v>
      </c>
      <c r="L28" s="38">
        <f>'Data Mentah PT100'!H27</f>
        <v>194.48</v>
      </c>
      <c r="M28" s="38">
        <f>'Data Mentah PT100'!I27</f>
        <v>194.48</v>
      </c>
      <c r="N28" s="38">
        <f>'Data Mentah PT100'!J27</f>
        <v>194.48</v>
      </c>
      <c r="O28" s="44">
        <f t="shared" si="2"/>
        <v>194.48</v>
      </c>
      <c r="P28" s="42">
        <f>FORECAST(O28,T$20:T$21,S$20:S$21)</f>
        <v>-6.0039053932581639E-2</v>
      </c>
      <c r="Q28" s="43">
        <f>O28+P28</f>
        <v>194.41996094606742</v>
      </c>
    </row>
    <row r="29" spans="1:26" ht="15.75" customHeight="1" x14ac:dyDescent="0.35">
      <c r="A29" s="22"/>
      <c r="B29" s="15"/>
      <c r="C29" s="27"/>
      <c r="D29" s="27"/>
      <c r="E29" s="27"/>
      <c r="F29" s="27"/>
      <c r="G29" s="261"/>
      <c r="H29" s="46"/>
      <c r="I29" s="47"/>
      <c r="J29" s="48"/>
      <c r="K29" s="48"/>
      <c r="L29" s="48"/>
      <c r="M29" s="48"/>
      <c r="N29" s="48"/>
      <c r="O29" s="48"/>
      <c r="P29" s="48"/>
      <c r="Q29" s="49"/>
    </row>
    <row r="30" spans="1:26" ht="15.75" customHeight="1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32"/>
    </row>
    <row r="31" spans="1:26" ht="15.75" customHeight="1" x14ac:dyDescent="0.3">
      <c r="A31" s="403" t="s">
        <v>0</v>
      </c>
      <c r="B31" s="404"/>
      <c r="C31" s="407" t="s">
        <v>231</v>
      </c>
      <c r="D31" s="406"/>
      <c r="E31" s="406"/>
      <c r="F31" s="406"/>
      <c r="G31" s="406"/>
      <c r="H31" s="405" t="s">
        <v>64</v>
      </c>
      <c r="I31" s="406"/>
      <c r="J31" s="404"/>
      <c r="K31" s="2" t="str">
        <f>'Data Mentah PT100'!G32</f>
        <v>Tris,Nikita</v>
      </c>
      <c r="L31" s="4"/>
      <c r="M31" s="13"/>
      <c r="N31" s="4"/>
      <c r="O31" s="50"/>
      <c r="P31" s="419" t="s">
        <v>40</v>
      </c>
      <c r="Q31" s="32"/>
    </row>
    <row r="32" spans="1:26" ht="15.75" customHeight="1" x14ac:dyDescent="0.3">
      <c r="A32" s="403" t="s">
        <v>41</v>
      </c>
      <c r="B32" s="404"/>
      <c r="C32" s="411">
        <v>45958</v>
      </c>
      <c r="D32" s="412"/>
      <c r="E32" s="412"/>
      <c r="F32" s="412"/>
      <c r="G32" s="412"/>
      <c r="H32" s="405" t="s">
        <v>65</v>
      </c>
      <c r="I32" s="406"/>
      <c r="J32" s="404"/>
      <c r="K32" s="2" t="str">
        <f>'Data Mentah PT100'!G33</f>
        <v>Nur ID</v>
      </c>
      <c r="L32" s="4"/>
      <c r="M32" s="13"/>
      <c r="N32" s="4"/>
      <c r="O32" s="50"/>
      <c r="P32" s="420"/>
      <c r="Q32" s="32"/>
    </row>
    <row r="33" spans="1:30" ht="15.75" customHeight="1" x14ac:dyDescent="0.3">
      <c r="A33" s="403" t="s">
        <v>42</v>
      </c>
      <c r="B33" s="404"/>
      <c r="C33" s="280">
        <f>'Data Mentah PT100'!C34</f>
        <v>45959</v>
      </c>
      <c r="D33" s="281" t="s">
        <v>232</v>
      </c>
      <c r="E33" s="292">
        <f>'Data Mentah PT100'!E34</f>
        <v>45961</v>
      </c>
      <c r="F33" s="281"/>
      <c r="G33" s="281"/>
      <c r="H33" s="405" t="s">
        <v>66</v>
      </c>
      <c r="I33" s="406"/>
      <c r="J33" s="404"/>
      <c r="K33" s="2" t="str">
        <f>'Data Mentah PT100'!G34</f>
        <v>Yoyon S</v>
      </c>
      <c r="L33" s="4"/>
      <c r="M33" s="13"/>
      <c r="N33" s="4"/>
      <c r="O33" s="50"/>
      <c r="P33" s="418"/>
      <c r="Q33" s="32"/>
    </row>
    <row r="34" spans="1:30" ht="15.75" customHeight="1" x14ac:dyDescent="0.3">
      <c r="A34" s="24" t="s">
        <v>43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8"/>
      <c r="Q34" s="49"/>
    </row>
    <row r="35" spans="1:30" ht="15.75" customHeight="1" x14ac:dyDescent="0.3">
      <c r="A35" s="51" t="str">
        <f>'Data Mentah PT100'!A36</f>
        <v>Temperature Calibrator Beamex TC305 No. Seri 3209 dan IPRT Burns Engr 3925 No. Seri 490464 tertelusur ke SI melalui LK-001-IDN dan LK-304-IDN.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25"/>
      <c r="M35" s="25"/>
      <c r="N35" s="25"/>
      <c r="O35" s="8"/>
      <c r="P35" s="8"/>
      <c r="Q35" s="49"/>
    </row>
    <row r="36" spans="1:30" ht="15.75" customHeight="1" x14ac:dyDescent="0.3">
      <c r="A36" s="51"/>
      <c r="B36" s="8"/>
      <c r="C36" s="8"/>
      <c r="D36" s="8"/>
      <c r="E36" s="8"/>
      <c r="F36" s="8"/>
      <c r="G36" s="8"/>
      <c r="H36" s="8"/>
      <c r="I36" s="8"/>
      <c r="J36" s="8"/>
      <c r="K36" s="8"/>
      <c r="L36" s="25"/>
      <c r="M36" s="25"/>
      <c r="N36" s="25"/>
      <c r="O36" s="8"/>
      <c r="P36" s="8"/>
      <c r="Q36" s="49"/>
    </row>
    <row r="37" spans="1:30" ht="15.75" customHeight="1" x14ac:dyDescent="0.3">
      <c r="A37" s="2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28"/>
      <c r="N37" s="28"/>
      <c r="O37" s="27"/>
      <c r="P37" s="27"/>
      <c r="Q37" s="52"/>
    </row>
    <row r="38" spans="1:30" ht="15.75" customHeight="1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30" t="s">
        <v>147</v>
      </c>
      <c r="P38" s="30"/>
      <c r="Q38" s="30"/>
    </row>
    <row r="39" spans="1:30" ht="15.75" customHeight="1" x14ac:dyDescent="0.3">
      <c r="G39" s="325"/>
      <c r="H39" s="6"/>
    </row>
    <row r="40" spans="1:30" ht="15.75" customHeight="1" x14ac:dyDescent="0.3">
      <c r="L40" s="135"/>
      <c r="M40" s="135"/>
      <c r="N40" s="135"/>
      <c r="O40" s="135"/>
      <c r="P40" s="135"/>
      <c r="Q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</row>
    <row r="41" spans="1:30" ht="15.75" customHeight="1" x14ac:dyDescent="0.3">
      <c r="L41" s="135"/>
      <c r="M41" s="135"/>
      <c r="N41" s="135"/>
      <c r="O41" s="135"/>
      <c r="P41" s="135"/>
      <c r="Q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</row>
    <row r="42" spans="1:30" ht="15.75" customHeight="1" x14ac:dyDescent="0.3">
      <c r="F42" s="53"/>
      <c r="G42" s="54"/>
      <c r="H42" s="53"/>
      <c r="I42" s="6"/>
      <c r="J42" s="6"/>
      <c r="L42" s="135"/>
      <c r="M42" s="324"/>
      <c r="N42" s="294"/>
      <c r="O42" s="294"/>
      <c r="P42" s="324"/>
      <c r="Q42" s="135"/>
    </row>
    <row r="43" spans="1:30" ht="15.75" customHeight="1" x14ac:dyDescent="0.3">
      <c r="F43" s="53"/>
      <c r="G43" s="54"/>
      <c r="H43" s="53"/>
      <c r="I43" s="6"/>
      <c r="J43" s="6"/>
      <c r="L43" s="135"/>
      <c r="M43" s="324"/>
      <c r="N43" s="294"/>
      <c r="O43" s="294"/>
      <c r="P43" s="324"/>
      <c r="Q43" s="135"/>
    </row>
    <row r="44" spans="1:30" ht="15.75" customHeight="1" x14ac:dyDescent="0.3">
      <c r="F44" s="53"/>
      <c r="G44" s="54"/>
      <c r="H44" s="53"/>
      <c r="I44" s="6"/>
      <c r="J44" s="6"/>
      <c r="L44" s="299"/>
      <c r="M44" s="324"/>
      <c r="N44" s="297"/>
      <c r="O44" s="294"/>
      <c r="P44" s="324"/>
      <c r="Q44" s="135"/>
    </row>
    <row r="45" spans="1:30" ht="15.75" customHeight="1" x14ac:dyDescent="0.3">
      <c r="F45" s="53"/>
      <c r="G45" s="54"/>
      <c r="H45" s="53"/>
      <c r="I45" s="6"/>
      <c r="J45" s="6"/>
      <c r="L45" s="135"/>
      <c r="M45" s="324"/>
      <c r="N45" s="294"/>
      <c r="O45" s="294"/>
      <c r="P45" s="324"/>
      <c r="Q45" s="324"/>
    </row>
    <row r="46" spans="1:30" ht="15.75" customHeight="1" x14ac:dyDescent="0.3">
      <c r="F46" s="53"/>
      <c r="G46" s="54"/>
      <c r="H46" s="53"/>
      <c r="I46" s="6"/>
      <c r="J46" s="6"/>
      <c r="L46" s="135"/>
      <c r="M46" s="324"/>
      <c r="N46" s="294"/>
      <c r="O46" s="294"/>
      <c r="P46" s="324"/>
      <c r="Q46" s="324"/>
    </row>
    <row r="47" spans="1:30" ht="15.75" customHeight="1" x14ac:dyDescent="0.3">
      <c r="F47" s="53"/>
      <c r="G47" s="54"/>
      <c r="H47" s="53"/>
      <c r="I47" s="6"/>
      <c r="J47" s="6"/>
      <c r="L47" s="135"/>
      <c r="M47" s="324"/>
      <c r="N47" s="294"/>
      <c r="O47" s="294"/>
      <c r="P47" s="324"/>
      <c r="Q47" s="324"/>
    </row>
    <row r="48" spans="1:30" ht="15.75" customHeight="1" x14ac:dyDescent="0.3">
      <c r="A48" s="246"/>
      <c r="F48" s="53"/>
      <c r="G48" s="54"/>
      <c r="H48" s="53"/>
      <c r="I48" s="6"/>
      <c r="J48" s="6"/>
      <c r="L48" s="135"/>
      <c r="M48" s="324"/>
      <c r="N48" s="294"/>
      <c r="O48" s="294"/>
      <c r="P48" s="324"/>
      <c r="Q48" s="324"/>
      <c r="R48" s="135"/>
      <c r="S48" s="135"/>
      <c r="T48" s="135"/>
      <c r="U48" s="135"/>
      <c r="V48" s="135"/>
      <c r="W48" s="135"/>
      <c r="X48" s="135"/>
    </row>
    <row r="49" spans="4:24" ht="15.75" customHeight="1" x14ac:dyDescent="0.3">
      <c r="F49" s="53"/>
      <c r="G49" s="54"/>
      <c r="H49" s="53"/>
      <c r="I49" s="6"/>
      <c r="J49" s="6"/>
      <c r="L49" s="135"/>
      <c r="M49" s="324"/>
      <c r="N49" s="294"/>
      <c r="O49" s="294"/>
      <c r="P49" s="324"/>
      <c r="Q49" s="324"/>
      <c r="R49" s="135"/>
      <c r="S49" s="135"/>
      <c r="T49" s="135"/>
      <c r="U49" s="135"/>
      <c r="V49" s="135"/>
      <c r="W49" s="135"/>
      <c r="X49" s="135"/>
    </row>
    <row r="50" spans="4:24" ht="15.75" customHeight="1" x14ac:dyDescent="0.3">
      <c r="F50" s="53"/>
      <c r="G50" s="54"/>
      <c r="H50" s="53"/>
      <c r="I50" s="6"/>
      <c r="J50" s="6"/>
      <c r="L50" s="135"/>
      <c r="M50" s="324"/>
      <c r="N50" s="294"/>
      <c r="O50" s="294"/>
      <c r="P50" s="324"/>
      <c r="Q50" s="324"/>
      <c r="R50" s="135"/>
      <c r="S50" s="135"/>
      <c r="T50" s="135"/>
      <c r="U50" s="135"/>
      <c r="V50" s="135"/>
      <c r="W50" s="135"/>
      <c r="X50" s="135"/>
    </row>
    <row r="51" spans="4:24" ht="15.75" customHeight="1" x14ac:dyDescent="0.3">
      <c r="F51" s="53"/>
      <c r="G51" s="54"/>
      <c r="H51" s="53"/>
      <c r="I51" s="6"/>
      <c r="J51" s="6"/>
      <c r="L51" s="135"/>
      <c r="M51" s="324"/>
      <c r="N51" s="294"/>
      <c r="O51" s="294"/>
      <c r="P51" s="324"/>
      <c r="Q51" s="324"/>
      <c r="R51" s="135"/>
      <c r="S51" s="135"/>
      <c r="T51" s="135"/>
      <c r="U51" s="135"/>
      <c r="V51" s="135"/>
      <c r="W51" s="135"/>
      <c r="X51" s="135"/>
    </row>
    <row r="52" spans="4:24" ht="15.75" customHeight="1" x14ac:dyDescent="0.3">
      <c r="F52" s="53"/>
      <c r="G52" s="54"/>
      <c r="H52" s="53"/>
      <c r="I52" s="6"/>
      <c r="J52" s="6"/>
      <c r="K52" s="147"/>
      <c r="L52" s="135"/>
      <c r="M52" s="324"/>
      <c r="N52" s="294"/>
      <c r="O52" s="294"/>
      <c r="P52" s="324"/>
      <c r="Q52" s="324"/>
      <c r="R52" s="135"/>
      <c r="S52" s="135"/>
      <c r="T52" s="135"/>
      <c r="U52" s="135"/>
      <c r="V52" s="135"/>
      <c r="W52" s="135"/>
      <c r="X52" s="135"/>
    </row>
    <row r="53" spans="4:24" ht="15.75" customHeight="1" x14ac:dyDescent="0.3">
      <c r="F53" s="53"/>
      <c r="G53" s="54"/>
      <c r="H53" s="53"/>
      <c r="I53" s="6"/>
      <c r="J53" s="6"/>
      <c r="K53" s="147"/>
      <c r="L53" s="135"/>
      <c r="M53" s="324"/>
      <c r="N53" s="294"/>
      <c r="O53" s="294"/>
      <c r="P53" s="324"/>
      <c r="Q53" s="135"/>
      <c r="R53" s="135"/>
      <c r="S53" s="135"/>
      <c r="T53" s="135"/>
      <c r="U53" s="135"/>
      <c r="V53" s="135"/>
      <c r="W53" s="135"/>
      <c r="X53" s="135"/>
    </row>
    <row r="54" spans="4:24" ht="15.75" customHeight="1" x14ac:dyDescent="0.3">
      <c r="G54" s="6"/>
      <c r="K54" s="147"/>
      <c r="L54" s="299"/>
      <c r="M54" s="324"/>
      <c r="N54" s="294"/>
      <c r="O54" s="294"/>
      <c r="P54" s="324"/>
      <c r="Q54" s="135"/>
      <c r="R54" s="135"/>
      <c r="S54" s="135"/>
      <c r="T54" s="135"/>
      <c r="U54" s="135"/>
      <c r="V54" s="135"/>
      <c r="W54" s="135"/>
      <c r="X54" s="135"/>
    </row>
    <row r="55" spans="4:24" ht="15.75" customHeight="1" x14ac:dyDescent="0.3">
      <c r="G55" s="6"/>
      <c r="K55" s="147"/>
      <c r="L55" s="299"/>
      <c r="M55" s="324"/>
      <c r="N55" s="294"/>
      <c r="O55" s="294"/>
      <c r="P55" s="324"/>
      <c r="Q55" s="135"/>
      <c r="R55" s="135"/>
      <c r="S55" s="135"/>
      <c r="T55" s="135"/>
      <c r="U55" s="135"/>
      <c r="V55" s="135"/>
      <c r="W55" s="135"/>
      <c r="X55" s="135"/>
    </row>
    <row r="56" spans="4:24" ht="15.75" customHeight="1" x14ac:dyDescent="0.3">
      <c r="G56" s="6"/>
      <c r="K56" s="147"/>
      <c r="L56" s="148"/>
      <c r="M56" s="147"/>
      <c r="N56" s="147"/>
      <c r="O56" s="147"/>
      <c r="P56" s="147"/>
      <c r="Q56" s="135"/>
      <c r="R56" s="135"/>
      <c r="S56" s="299"/>
      <c r="T56" s="326"/>
      <c r="U56" s="135"/>
      <c r="V56" s="135"/>
      <c r="W56" s="135"/>
      <c r="X56" s="135"/>
    </row>
    <row r="57" spans="4:24" ht="15.75" customHeight="1" x14ac:dyDescent="0.3">
      <c r="O57" s="147"/>
      <c r="Q57" s="135"/>
      <c r="R57" s="135"/>
      <c r="S57" s="299"/>
      <c r="T57" s="326"/>
      <c r="U57" s="135"/>
      <c r="V57" s="135"/>
      <c r="W57" s="135"/>
      <c r="X57" s="135"/>
    </row>
    <row r="58" spans="4:24" ht="15.75" customHeight="1" x14ac:dyDescent="0.3"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323"/>
      <c r="P58" s="135"/>
      <c r="Q58" s="135"/>
      <c r="R58" s="135"/>
      <c r="S58" s="299"/>
      <c r="T58" s="326"/>
      <c r="U58" s="135"/>
      <c r="V58" s="135"/>
      <c r="W58" s="135"/>
      <c r="X58" s="135"/>
    </row>
    <row r="59" spans="4:24" ht="15.75" customHeight="1" x14ac:dyDescent="0.3">
      <c r="D59" s="135"/>
      <c r="E59" s="135"/>
      <c r="F59" s="139"/>
      <c r="G59" s="139"/>
      <c r="H59" s="135"/>
      <c r="I59" s="135"/>
      <c r="J59" s="135"/>
      <c r="K59" s="135"/>
      <c r="L59" s="135"/>
      <c r="M59" s="135"/>
      <c r="N59" s="135"/>
      <c r="O59" s="323"/>
      <c r="P59" s="139"/>
      <c r="Q59" s="135"/>
      <c r="R59" s="135"/>
      <c r="S59" s="135"/>
      <c r="T59" s="326"/>
      <c r="U59" s="135"/>
      <c r="V59" s="135"/>
      <c r="W59" s="135"/>
      <c r="X59" s="135"/>
    </row>
    <row r="60" spans="4:24" ht="15.75" customHeight="1" x14ac:dyDescent="0.3"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323"/>
      <c r="P60" s="135"/>
      <c r="Q60" s="135"/>
      <c r="R60" s="135"/>
      <c r="S60" s="299"/>
      <c r="T60" s="326"/>
      <c r="U60" s="135"/>
      <c r="V60" s="135"/>
      <c r="W60" s="135"/>
      <c r="X60" s="135"/>
    </row>
    <row r="61" spans="4:24" ht="15.75" customHeight="1" x14ac:dyDescent="0.3"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323"/>
      <c r="P61" s="135"/>
      <c r="Q61" s="135"/>
      <c r="R61" s="135"/>
      <c r="S61" s="299"/>
      <c r="T61" s="326"/>
      <c r="U61" s="135"/>
      <c r="V61" s="135"/>
      <c r="W61" s="135"/>
      <c r="X61" s="135"/>
    </row>
    <row r="62" spans="4:24" ht="15.75" customHeight="1" x14ac:dyDescent="0.3"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323"/>
      <c r="P62" s="135"/>
      <c r="Q62" s="135"/>
      <c r="R62" s="135"/>
      <c r="S62" s="135"/>
      <c r="T62" s="135"/>
      <c r="U62" s="135"/>
      <c r="V62" s="135"/>
      <c r="W62" s="135"/>
      <c r="X62" s="135"/>
    </row>
    <row r="63" spans="4:24" ht="15.75" customHeight="1" x14ac:dyDescent="0.3"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323"/>
      <c r="P63" s="135"/>
      <c r="Q63" s="135"/>
      <c r="R63" s="135"/>
      <c r="S63" s="135"/>
      <c r="T63" s="135"/>
      <c r="U63" s="135"/>
      <c r="V63" s="135"/>
      <c r="W63" s="135"/>
      <c r="X63" s="135"/>
    </row>
    <row r="64" spans="4:24" ht="15.75" customHeight="1" x14ac:dyDescent="0.3"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323"/>
      <c r="P64" s="135"/>
      <c r="Q64" s="135"/>
      <c r="R64" s="135"/>
      <c r="S64" s="135"/>
      <c r="T64" s="135"/>
      <c r="U64" s="135"/>
      <c r="V64" s="135"/>
      <c r="W64" s="135"/>
      <c r="X64" s="135"/>
    </row>
    <row r="65" spans="4:29" ht="15.75" customHeight="1" x14ac:dyDescent="0.3"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</row>
    <row r="66" spans="4:29" ht="15.75" customHeight="1" x14ac:dyDescent="0.3"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</row>
    <row r="67" spans="4:29" ht="15.75" customHeight="1" x14ac:dyDescent="0.3">
      <c r="D67" s="135"/>
      <c r="E67" s="135"/>
      <c r="F67" s="140"/>
      <c r="G67" s="140"/>
      <c r="H67" s="140"/>
      <c r="I67" s="140"/>
      <c r="J67" s="140"/>
      <c r="K67" s="140"/>
      <c r="L67" s="135"/>
      <c r="M67" s="135"/>
      <c r="N67" s="135"/>
      <c r="O67" s="135"/>
      <c r="P67" s="140"/>
      <c r="Q67" s="140"/>
      <c r="R67" s="140"/>
      <c r="S67" s="140"/>
      <c r="T67" s="140"/>
      <c r="U67" s="135"/>
      <c r="V67" s="135"/>
      <c r="W67" s="135"/>
      <c r="X67" s="135"/>
    </row>
    <row r="68" spans="4:29" ht="15.75" customHeight="1" x14ac:dyDescent="0.3"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</row>
    <row r="69" spans="4:29" ht="15.75" customHeight="1" x14ac:dyDescent="0.3"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</row>
    <row r="70" spans="4:29" ht="15.75" customHeight="1" x14ac:dyDescent="0.3"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</row>
    <row r="71" spans="4:29" ht="15.75" customHeight="1" x14ac:dyDescent="0.3"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</row>
    <row r="72" spans="4:29" ht="15.75" customHeight="1" x14ac:dyDescent="0.3">
      <c r="D72" s="135"/>
      <c r="E72" s="135"/>
      <c r="F72" s="140"/>
      <c r="G72" s="140"/>
      <c r="H72" s="140"/>
      <c r="I72" s="140"/>
      <c r="J72" s="140"/>
      <c r="K72" s="140"/>
      <c r="L72" s="140"/>
      <c r="M72" s="140"/>
      <c r="N72" s="140"/>
      <c r="O72" s="135"/>
      <c r="P72" s="140"/>
      <c r="Q72" s="140"/>
      <c r="R72" s="140"/>
      <c r="S72" s="140"/>
      <c r="T72" s="140"/>
      <c r="U72" s="135"/>
      <c r="V72" s="135"/>
      <c r="W72" s="135"/>
      <c r="X72" s="135"/>
    </row>
    <row r="73" spans="4:29" ht="15.75" customHeight="1" x14ac:dyDescent="0.3"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</row>
    <row r="74" spans="4:29" ht="15.75" customHeight="1" x14ac:dyDescent="0.3"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</row>
    <row r="75" spans="4:29" ht="15.75" customHeight="1" x14ac:dyDescent="0.3"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</row>
    <row r="76" spans="4:29" ht="15.75" customHeight="1" x14ac:dyDescent="0.3"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</row>
    <row r="77" spans="4:29" ht="15.75" customHeight="1" x14ac:dyDescent="0.3"/>
    <row r="78" spans="4:29" ht="15.75" customHeight="1" x14ac:dyDescent="0.3">
      <c r="X78" s="135"/>
      <c r="Y78" s="135"/>
      <c r="Z78" s="135"/>
      <c r="AA78" s="135"/>
      <c r="AB78" s="135"/>
    </row>
    <row r="79" spans="4:29" ht="15.75" customHeight="1" x14ac:dyDescent="0.3"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299" t="s">
        <v>151</v>
      </c>
      <c r="AA79" s="135"/>
      <c r="AB79" s="135"/>
    </row>
    <row r="80" spans="4:29" ht="15.75" customHeight="1" x14ac:dyDescent="0.3">
      <c r="D80" s="144"/>
      <c r="E80" s="212"/>
      <c r="P80" s="135"/>
      <c r="Q80" s="135"/>
      <c r="R80" s="135"/>
      <c r="S80" s="135"/>
      <c r="T80" s="135"/>
      <c r="U80" s="135"/>
      <c r="V80" s="135"/>
      <c r="W80" s="135"/>
      <c r="X80" s="135" t="s">
        <v>233</v>
      </c>
      <c r="Y80" s="135" t="s">
        <v>205</v>
      </c>
      <c r="Z80" s="135" t="s">
        <v>234</v>
      </c>
      <c r="AA80" s="135" t="s">
        <v>235</v>
      </c>
      <c r="AB80" s="135" t="s">
        <v>236</v>
      </c>
      <c r="AC80" s="135"/>
    </row>
    <row r="81" spans="4:28" ht="15.75" customHeight="1" x14ac:dyDescent="0.3">
      <c r="D81" s="144"/>
      <c r="E81" s="212"/>
      <c r="P81" s="135"/>
      <c r="Q81" s="135"/>
      <c r="R81" s="135"/>
      <c r="S81" s="135"/>
      <c r="T81" s="135"/>
      <c r="U81" s="135"/>
      <c r="V81" s="135"/>
      <c r="W81" s="135"/>
      <c r="X81" s="294">
        <f t="shared" ref="X81:X91" si="8">Q18</f>
        <v>100.1109902391501</v>
      </c>
      <c r="Y81" s="295">
        <f t="shared" ref="Y81:Y91" si="9">I18</f>
        <v>4.3935328752411351E-3</v>
      </c>
      <c r="Z81" s="296">
        <f>X81-X$81</f>
        <v>0</v>
      </c>
      <c r="AA81" s="140">
        <f>X$81*Y81</f>
        <v>0.43984092678865033</v>
      </c>
      <c r="AB81" s="140">
        <f>X$81*Y81^2</f>
        <v>1.9324555717224645E-3</v>
      </c>
    </row>
    <row r="82" spans="4:28" ht="15.75" customHeight="1" x14ac:dyDescent="0.3">
      <c r="D82" s="144"/>
      <c r="E82" s="213"/>
      <c r="P82" s="135"/>
      <c r="Q82" s="135"/>
      <c r="R82" s="135"/>
      <c r="S82" s="135"/>
      <c r="T82" s="135"/>
      <c r="U82" s="135"/>
      <c r="V82" s="135"/>
      <c r="W82" s="135"/>
      <c r="X82" s="294">
        <f t="shared" si="8"/>
        <v>109.85899049107468</v>
      </c>
      <c r="Y82" s="295">
        <f t="shared" si="9"/>
        <v>20.230448515476951</v>
      </c>
      <c r="Z82" s="296">
        <f t="shared" ref="Z82:Z90" si="10">X82-X$81</f>
        <v>9.7480002519245801</v>
      </c>
      <c r="AA82" s="140">
        <f t="shared" ref="AA82:AA90" si="11">X$81*Y82</f>
        <v>2025.2902338665417</v>
      </c>
      <c r="AB82" s="140">
        <f t="shared" ref="AB82:AB90" si="12">X$81*Y82^2</f>
        <v>40972.529805135346</v>
      </c>
    </row>
    <row r="83" spans="4:28" ht="15.75" customHeight="1" x14ac:dyDescent="0.3">
      <c r="P83" s="135"/>
      <c r="Q83" s="135"/>
      <c r="R83" s="135"/>
      <c r="S83" s="135"/>
      <c r="T83" s="135"/>
      <c r="U83" s="135"/>
      <c r="V83" s="135"/>
      <c r="W83" s="135"/>
      <c r="X83" s="294">
        <f t="shared" si="8"/>
        <v>119.40709327038726</v>
      </c>
      <c r="Y83" s="295">
        <f t="shared" si="9"/>
        <v>50.111172354563166</v>
      </c>
      <c r="Z83" s="296">
        <f t="shared" si="10"/>
        <v>19.296103031237166</v>
      </c>
      <c r="AA83" s="140">
        <f t="shared" si="11"/>
        <v>5016.6790864600416</v>
      </c>
      <c r="AB83" s="140">
        <f t="shared" si="12"/>
        <v>251391.6703491316</v>
      </c>
    </row>
    <row r="84" spans="4:28" ht="15.75" customHeight="1" x14ac:dyDescent="0.3">
      <c r="X84" s="294">
        <f t="shared" si="8"/>
        <v>129.12640582360029</v>
      </c>
      <c r="Y84" s="295">
        <f t="shared" si="9"/>
        <v>75.062139840554494</v>
      </c>
      <c r="Z84" s="296">
        <f t="shared" si="10"/>
        <v>29.015415584450196</v>
      </c>
      <c r="AA84" s="140">
        <f t="shared" si="11"/>
        <v>7514.5451489074703</v>
      </c>
      <c r="AB84" s="140">
        <f t="shared" si="12"/>
        <v>564057.83880545304</v>
      </c>
    </row>
    <row r="85" spans="4:28" ht="15.75" customHeight="1" x14ac:dyDescent="0.3">
      <c r="F85" s="145"/>
      <c r="X85" s="294">
        <f t="shared" si="8"/>
        <v>138.65191845982324</v>
      </c>
      <c r="Y85" s="295">
        <f t="shared" si="9"/>
        <v>100.0568335558192</v>
      </c>
      <c r="Z85" s="296">
        <f t="shared" si="10"/>
        <v>38.540928220673138</v>
      </c>
      <c r="AA85" s="140">
        <f t="shared" si="11"/>
        <v>10016.788687466882</v>
      </c>
      <c r="AB85" s="140">
        <f t="shared" si="12"/>
        <v>1002248.1584656864</v>
      </c>
    </row>
    <row r="86" spans="4:28" ht="15.75" customHeight="1" x14ac:dyDescent="0.3">
      <c r="X86" s="294">
        <f t="shared" si="8"/>
        <v>148.11744675954608</v>
      </c>
      <c r="Y86" s="295">
        <f t="shared" si="9"/>
        <v>125.06223905222049</v>
      </c>
      <c r="Z86" s="296">
        <f t="shared" si="10"/>
        <v>48.006456520395986</v>
      </c>
      <c r="AA86" s="140">
        <f t="shared" si="11"/>
        <v>12520.104593043101</v>
      </c>
      <c r="AB86" s="140">
        <f t="shared" si="12"/>
        <v>1565792.3135739602</v>
      </c>
    </row>
    <row r="87" spans="4:28" ht="15.75" customHeight="1" x14ac:dyDescent="0.3">
      <c r="X87" s="294">
        <f t="shared" si="8"/>
        <v>157.52399046171044</v>
      </c>
      <c r="Y87" s="295">
        <f t="shared" si="9"/>
        <v>150.05235475877481</v>
      </c>
      <c r="Z87" s="296">
        <f t="shared" si="10"/>
        <v>57.413000222560342</v>
      </c>
      <c r="AA87" s="140">
        <f t="shared" si="11"/>
        <v>15021.889822617193</v>
      </c>
      <c r="AB87" s="140">
        <f t="shared" si="12"/>
        <v>2254069.940810584</v>
      </c>
    </row>
    <row r="88" spans="4:28" ht="15.75" customHeight="1" x14ac:dyDescent="0.3">
      <c r="X88" s="294">
        <f t="shared" si="8"/>
        <v>166.91226693393259</v>
      </c>
      <c r="Y88" s="295">
        <f t="shared" si="9"/>
        <v>175.0430001990112</v>
      </c>
      <c r="Z88" s="296">
        <f t="shared" si="10"/>
        <v>66.801276694782487</v>
      </c>
      <c r="AA88" s="140">
        <f t="shared" si="11"/>
        <v>17523.72808435476</v>
      </c>
      <c r="AB88" s="140">
        <f t="shared" si="12"/>
        <v>3067405.9385571284</v>
      </c>
    </row>
    <row r="89" spans="4:28" ht="15.75" customHeight="1" x14ac:dyDescent="0.3">
      <c r="X89" s="294">
        <f t="shared" si="8"/>
        <v>176.10816464134834</v>
      </c>
      <c r="Y89" s="295">
        <f t="shared" si="9"/>
        <v>200.02602614955697</v>
      </c>
      <c r="Z89" s="296">
        <f t="shared" si="10"/>
        <v>75.99717440219824</v>
      </c>
      <c r="AA89" s="140">
        <f t="shared" si="11"/>
        <v>20024.803551434281</v>
      </c>
      <c r="AB89" s="140">
        <f t="shared" si="12"/>
        <v>4005481.8788189343</v>
      </c>
    </row>
    <row r="90" spans="4:28" ht="15.75" customHeight="1" x14ac:dyDescent="0.3">
      <c r="X90" s="294">
        <f t="shared" si="8"/>
        <v>185.22006328314606</v>
      </c>
      <c r="Y90" s="295">
        <f t="shared" si="9"/>
        <v>225.04720080586242</v>
      </c>
      <c r="Z90" s="296">
        <f t="shared" si="10"/>
        <v>85.109073043995963</v>
      </c>
      <c r="AA90" s="140">
        <f t="shared" si="11"/>
        <v>22529.698123223745</v>
      </c>
      <c r="AB90" s="140">
        <f t="shared" si="12"/>
        <v>5070245.4976325957</v>
      </c>
    </row>
    <row r="91" spans="4:28" ht="15.75" customHeight="1" x14ac:dyDescent="0.3">
      <c r="X91" s="294">
        <f t="shared" si="8"/>
        <v>194.41996094606742</v>
      </c>
      <c r="Y91" s="295">
        <f t="shared" si="9"/>
        <v>250.04129115681161</v>
      </c>
      <c r="Z91" s="296">
        <f t="shared" ref="Z91" si="13">X91-X$81</f>
        <v>94.308970706917322</v>
      </c>
      <c r="AA91" s="140">
        <f t="shared" ref="AA91" si="14">X$81*Y91</f>
        <v>25031.881258384055</v>
      </c>
      <c r="AB91" s="140">
        <f t="shared" ref="AB91" si="15">X$81*Y91^2</f>
        <v>6259003.9099303428</v>
      </c>
    </row>
    <row r="92" spans="4:28" ht="15.75" customHeight="1" x14ac:dyDescent="0.3">
      <c r="X92" s="294"/>
      <c r="Y92" s="295"/>
      <c r="Z92" s="296"/>
      <c r="AA92" s="140"/>
      <c r="AB92" s="140"/>
    </row>
    <row r="93" spans="4:28" ht="15.75" customHeight="1" x14ac:dyDescent="0.3">
      <c r="X93" s="294"/>
      <c r="Y93" s="295"/>
      <c r="Z93" s="296"/>
      <c r="AA93" s="140"/>
      <c r="AB93" s="140"/>
    </row>
    <row r="94" spans="4:28" ht="15.75" customHeight="1" x14ac:dyDescent="0.3">
      <c r="X94" s="300" t="s">
        <v>149</v>
      </c>
      <c r="Y94" s="301" t="s">
        <v>148</v>
      </c>
      <c r="Z94" s="135"/>
      <c r="AA94" s="135"/>
      <c r="AB94" s="135"/>
    </row>
    <row r="95" spans="4:28" ht="15.75" customHeight="1" x14ac:dyDescent="0.3">
      <c r="X95" s="302">
        <f t="array" ref="X95:Z99">LINEST(Z81:Z91,AA81:AB91,0,1)</f>
        <v>-6.4142774442896551E-7</v>
      </c>
      <c r="Y95" s="303">
        <v>3.9236056979454551E-3</v>
      </c>
      <c r="Z95" s="135">
        <v>0</v>
      </c>
      <c r="AA95" s="135"/>
      <c r="AB95" s="135"/>
    </row>
    <row r="96" spans="4:28" ht="15.75" customHeight="1" x14ac:dyDescent="0.3">
      <c r="X96" s="298">
        <v>2.5118643158491107E-7</v>
      </c>
      <c r="Y96" s="135">
        <v>5.0968073680408885E-5</v>
      </c>
      <c r="Z96" s="135" t="e">
        <v>#N/A</v>
      </c>
      <c r="AA96" s="135"/>
      <c r="AB96" s="135"/>
    </row>
    <row r="97" spans="5:35" ht="15.75" customHeight="1" x14ac:dyDescent="0.3">
      <c r="E97" s="145"/>
      <c r="F97" s="146"/>
      <c r="G97" s="145"/>
      <c r="X97" s="298">
        <v>0.99990077563164292</v>
      </c>
      <c r="Y97" s="303">
        <v>0.61915312760021013</v>
      </c>
      <c r="Z97" s="135" t="e">
        <v>#N/A</v>
      </c>
      <c r="AA97" s="135"/>
      <c r="AB97" s="135"/>
    </row>
    <row r="98" spans="5:35" ht="15.75" customHeight="1" x14ac:dyDescent="0.3">
      <c r="E98" s="145"/>
      <c r="F98" s="145"/>
      <c r="G98" s="145"/>
      <c r="X98">
        <v>45347.262621493348</v>
      </c>
      <c r="Y98">
        <v>9</v>
      </c>
      <c r="Z98" t="e">
        <v>#N/A</v>
      </c>
    </row>
    <row r="99" spans="5:35" ht="15.75" customHeight="1" x14ac:dyDescent="0.3">
      <c r="X99">
        <v>34767.800252972163</v>
      </c>
      <c r="Y99">
        <v>3.450155358754099</v>
      </c>
      <c r="Z99" t="e">
        <v>#N/A</v>
      </c>
    </row>
    <row r="100" spans="5:35" ht="15.75" customHeight="1" x14ac:dyDescent="0.3"/>
    <row r="101" spans="5:35" ht="15.75" customHeight="1" x14ac:dyDescent="0.3"/>
    <row r="102" spans="5:35" ht="15.75" customHeight="1" x14ac:dyDescent="0.3"/>
    <row r="103" spans="5:35" ht="15.75" customHeight="1" x14ac:dyDescent="0.3"/>
    <row r="104" spans="5:35" ht="15.75" customHeight="1" x14ac:dyDescent="0.3">
      <c r="X104" s="135" t="s">
        <v>205</v>
      </c>
      <c r="Y104" s="135">
        <v>0</v>
      </c>
      <c r="Z104" s="135">
        <v>1</v>
      </c>
      <c r="AA104" s="135">
        <v>2</v>
      </c>
      <c r="AB104" s="135">
        <v>3</v>
      </c>
      <c r="AC104" s="135">
        <v>4</v>
      </c>
      <c r="AD104" s="135">
        <v>5</v>
      </c>
      <c r="AE104" s="135">
        <v>6</v>
      </c>
      <c r="AF104" s="135">
        <v>7</v>
      </c>
      <c r="AG104" s="135">
        <v>8</v>
      </c>
      <c r="AH104" s="135">
        <v>9</v>
      </c>
      <c r="AI104" s="135">
        <v>10</v>
      </c>
    </row>
    <row r="105" spans="5:35" ht="15.75" customHeight="1" x14ac:dyDescent="0.3">
      <c r="X105" s="135">
        <v>0</v>
      </c>
      <c r="Y105" s="297">
        <f>$X$81*(1+$Y$95*($X105+Y$104)+$X$95*($X105+Y$104)^2)</f>
        <v>100.1109902391501</v>
      </c>
      <c r="Z105" s="297">
        <f t="shared" ref="Y105:AI114" si="16">$X$81*(1+$Y$95*($X105+Z$104)+$X$95*($X105+Z$104)^2)</f>
        <v>100.50372207691272</v>
      </c>
      <c r="AA105" s="297">
        <f t="shared" si="16"/>
        <v>100.89632548674204</v>
      </c>
      <c r="AB105" s="297">
        <f t="shared" si="16"/>
        <v>101.28880046863803</v>
      </c>
      <c r="AC105" s="297">
        <f t="shared" si="16"/>
        <v>101.68114702260068</v>
      </c>
      <c r="AD105" s="297">
        <f t="shared" si="16"/>
        <v>102.07336514863002</v>
      </c>
      <c r="AE105" s="297">
        <f t="shared" si="16"/>
        <v>102.465454846726</v>
      </c>
      <c r="AF105" s="297">
        <f t="shared" si="16"/>
        <v>102.8574161168887</v>
      </c>
      <c r="AG105" s="297">
        <f t="shared" si="16"/>
        <v>103.24924895911808</v>
      </c>
      <c r="AH105" s="297">
        <f t="shared" si="16"/>
        <v>103.64095337341413</v>
      </c>
      <c r="AI105" s="297">
        <f t="shared" si="16"/>
        <v>104.03252935977683</v>
      </c>
    </row>
    <row r="106" spans="5:35" ht="15.75" hidden="1" customHeight="1" x14ac:dyDescent="0.3">
      <c r="X106" s="135">
        <v>10</v>
      </c>
      <c r="Y106" s="297">
        <f t="shared" si="16"/>
        <v>104.03252935977683</v>
      </c>
      <c r="Z106" s="297">
        <f t="shared" si="16"/>
        <v>104.42397691820625</v>
      </c>
      <c r="AA106" s="297">
        <f t="shared" si="16"/>
        <v>104.81529604870231</v>
      </c>
      <c r="AB106" s="297">
        <f t="shared" si="16"/>
        <v>105.20648675126507</v>
      </c>
      <c r="AC106" s="297">
        <f t="shared" si="16"/>
        <v>105.59754902589449</v>
      </c>
      <c r="AD106" s="297">
        <f t="shared" si="16"/>
        <v>105.98848287259061</v>
      </c>
      <c r="AE106" s="297">
        <f t="shared" si="16"/>
        <v>106.37928829135336</v>
      </c>
      <c r="AF106" s="297">
        <f t="shared" si="16"/>
        <v>106.76996528218282</v>
      </c>
      <c r="AG106" s="297">
        <f t="shared" si="16"/>
        <v>107.16051384507895</v>
      </c>
      <c r="AH106" s="297">
        <f t="shared" si="16"/>
        <v>107.55093398004178</v>
      </c>
      <c r="AI106" s="297">
        <f t="shared" si="16"/>
        <v>107.94122568707127</v>
      </c>
    </row>
    <row r="107" spans="5:35" ht="15.75" customHeight="1" x14ac:dyDescent="0.3">
      <c r="X107" s="135">
        <v>20</v>
      </c>
      <c r="Y107" s="297">
        <f t="shared" si="16"/>
        <v>107.94122568707127</v>
      </c>
      <c r="Z107" s="297">
        <f t="shared" si="16"/>
        <v>108.33138896616742</v>
      </c>
      <c r="AA107" s="297">
        <f t="shared" si="16"/>
        <v>108.72142381733026</v>
      </c>
      <c r="AB107" s="297">
        <f t="shared" si="16"/>
        <v>109.11133024055978</v>
      </c>
      <c r="AC107" s="297">
        <f t="shared" si="16"/>
        <v>109.50110823585598</v>
      </c>
      <c r="AD107" s="297">
        <f t="shared" si="16"/>
        <v>109.89075780321886</v>
      </c>
      <c r="AE107" s="297">
        <f t="shared" si="16"/>
        <v>110.28027894264839</v>
      </c>
      <c r="AF107" s="297">
        <f t="shared" si="16"/>
        <v>110.66967165414462</v>
      </c>
      <c r="AG107" s="297">
        <f t="shared" si="16"/>
        <v>111.0589359377075</v>
      </c>
      <c r="AH107" s="297">
        <f t="shared" si="16"/>
        <v>111.44807179333709</v>
      </c>
      <c r="AI107" s="297">
        <f t="shared" si="16"/>
        <v>111.83707922103333</v>
      </c>
    </row>
    <row r="108" spans="5:35" ht="15.75" hidden="1" customHeight="1" x14ac:dyDescent="0.3">
      <c r="X108" s="135">
        <v>30</v>
      </c>
      <c r="Y108" s="297">
        <f t="shared" si="16"/>
        <v>111.83707922103333</v>
      </c>
      <c r="Z108" s="297">
        <f t="shared" si="16"/>
        <v>112.22595822079629</v>
      </c>
      <c r="AA108" s="297">
        <f t="shared" si="16"/>
        <v>112.6147087926259</v>
      </c>
      <c r="AB108" s="297">
        <f t="shared" si="16"/>
        <v>113.00333093652218</v>
      </c>
      <c r="AC108" s="297">
        <f t="shared" si="16"/>
        <v>113.39182465248514</v>
      </c>
      <c r="AD108" s="297">
        <f t="shared" si="16"/>
        <v>113.78018994051479</v>
      </c>
      <c r="AE108" s="297">
        <f t="shared" si="16"/>
        <v>114.16842680061109</v>
      </c>
      <c r="AF108" s="297">
        <f t="shared" si="16"/>
        <v>114.55653523277407</v>
      </c>
      <c r="AG108" s="297">
        <f t="shared" si="16"/>
        <v>114.94451523700373</v>
      </c>
      <c r="AH108" s="297">
        <f t="shared" si="16"/>
        <v>115.33236681330007</v>
      </c>
      <c r="AI108" s="297">
        <f t="shared" si="16"/>
        <v>115.72008996166309</v>
      </c>
    </row>
    <row r="109" spans="5:35" ht="15.75" hidden="1" customHeight="1" x14ac:dyDescent="0.3">
      <c r="X109" s="135">
        <v>40</v>
      </c>
      <c r="Y109" s="297">
        <f t="shared" si="16"/>
        <v>115.72008996166309</v>
      </c>
      <c r="Z109" s="297">
        <f t="shared" si="16"/>
        <v>116.1076846820928</v>
      </c>
      <c r="AA109" s="297">
        <f t="shared" si="16"/>
        <v>116.49515097458918</v>
      </c>
      <c r="AB109" s="297">
        <f t="shared" si="16"/>
        <v>116.88248883915223</v>
      </c>
      <c r="AC109" s="297">
        <f t="shared" si="16"/>
        <v>117.26969827578196</v>
      </c>
      <c r="AD109" s="297">
        <f t="shared" si="16"/>
        <v>117.65677928447836</v>
      </c>
      <c r="AE109" s="297">
        <f t="shared" si="16"/>
        <v>118.04373186524145</v>
      </c>
      <c r="AF109" s="297">
        <f t="shared" si="16"/>
        <v>118.43055601807121</v>
      </c>
      <c r="AG109" s="297">
        <f t="shared" si="16"/>
        <v>118.81725174296764</v>
      </c>
      <c r="AH109" s="297">
        <f t="shared" si="16"/>
        <v>119.20381903993074</v>
      </c>
      <c r="AI109" s="297">
        <f t="shared" si="16"/>
        <v>119.59025790896054</v>
      </c>
    </row>
    <row r="110" spans="5:35" ht="15.75" customHeight="1" x14ac:dyDescent="0.3">
      <c r="W110" s="316">
        <f>Y110-Z110</f>
        <v>-0.38631044109645529</v>
      </c>
      <c r="X110" s="135">
        <v>50</v>
      </c>
      <c r="Y110" s="297">
        <f t="shared" si="16"/>
        <v>119.59025790896054</v>
      </c>
      <c r="Z110" s="297">
        <f t="shared" si="16"/>
        <v>119.97656835005699</v>
      </c>
      <c r="AA110" s="297">
        <f t="shared" si="16"/>
        <v>120.36275036322013</v>
      </c>
      <c r="AB110" s="297">
        <f t="shared" si="16"/>
        <v>120.74880394844996</v>
      </c>
      <c r="AC110" s="297">
        <f t="shared" si="16"/>
        <v>121.13472910574646</v>
      </c>
      <c r="AD110" s="297">
        <f t="shared" si="16"/>
        <v>121.52052583510962</v>
      </c>
      <c r="AE110" s="297">
        <f t="shared" si="16"/>
        <v>121.90619413653948</v>
      </c>
      <c r="AF110" s="297">
        <f t="shared" si="16"/>
        <v>122.29173401003601</v>
      </c>
      <c r="AG110" s="297">
        <f t="shared" si="16"/>
        <v>122.67714545559919</v>
      </c>
      <c r="AH110" s="297">
        <f t="shared" si="16"/>
        <v>123.06242847322906</v>
      </c>
      <c r="AI110" s="297">
        <f t="shared" si="16"/>
        <v>123.44758306292563</v>
      </c>
    </row>
    <row r="111" spans="5:35" ht="15.75" hidden="1" customHeight="1" x14ac:dyDescent="0.3">
      <c r="W111">
        <f>1/W110</f>
        <v>-2.5885916962578723</v>
      </c>
      <c r="X111" s="135">
        <v>60</v>
      </c>
      <c r="Y111" s="297">
        <f t="shared" si="16"/>
        <v>123.44758306292563</v>
      </c>
      <c r="Z111" s="297">
        <f t="shared" si="16"/>
        <v>123.83260922468885</v>
      </c>
      <c r="AA111" s="297">
        <f t="shared" si="16"/>
        <v>124.21750695851878</v>
      </c>
      <c r="AB111" s="297">
        <f t="shared" si="16"/>
        <v>124.60227626441535</v>
      </c>
      <c r="AC111" s="297">
        <f t="shared" si="16"/>
        <v>124.98691714237862</v>
      </c>
      <c r="AD111" s="297">
        <f t="shared" si="16"/>
        <v>125.37142959240855</v>
      </c>
      <c r="AE111" s="297">
        <f t="shared" si="16"/>
        <v>125.75581361450517</v>
      </c>
      <c r="AF111" s="297">
        <f t="shared" si="16"/>
        <v>126.14006920866848</v>
      </c>
      <c r="AG111" s="297">
        <f t="shared" si="16"/>
        <v>126.52419637489844</v>
      </c>
      <c r="AH111" s="297">
        <f t="shared" si="16"/>
        <v>126.90819511319509</v>
      </c>
      <c r="AI111" s="297">
        <f t="shared" si="16"/>
        <v>127.29206542355843</v>
      </c>
    </row>
    <row r="112" spans="5:35" ht="15.75" customHeight="1" x14ac:dyDescent="0.3">
      <c r="X112" s="135">
        <v>70</v>
      </c>
      <c r="Y112" s="297">
        <f t="shared" si="16"/>
        <v>127.29206542355843</v>
      </c>
      <c r="Z112" s="297">
        <f t="shared" si="16"/>
        <v>127.67580730598839</v>
      </c>
      <c r="AA112" s="297">
        <f t="shared" si="16"/>
        <v>128.05942076048507</v>
      </c>
      <c r="AB112" s="297">
        <f t="shared" si="16"/>
        <v>128.44290578704843</v>
      </c>
      <c r="AC112" s="297">
        <f t="shared" si="16"/>
        <v>128.82626238567843</v>
      </c>
      <c r="AD112" s="297">
        <f t="shared" si="16"/>
        <v>129.20949055637516</v>
      </c>
      <c r="AE112" s="297">
        <f t="shared" si="16"/>
        <v>129.59259029913855</v>
      </c>
      <c r="AF112" s="297">
        <f t="shared" si="16"/>
        <v>129.97556161396861</v>
      </c>
      <c r="AG112" s="297">
        <f t="shared" si="16"/>
        <v>130.35840450086536</v>
      </c>
      <c r="AH112" s="297">
        <f t="shared" si="16"/>
        <v>130.74111895982875</v>
      </c>
      <c r="AI112" s="297">
        <f t="shared" si="16"/>
        <v>131.12370499085884</v>
      </c>
    </row>
    <row r="113" spans="24:35" ht="15.75" hidden="1" customHeight="1" x14ac:dyDescent="0.3">
      <c r="X113" s="135">
        <v>80</v>
      </c>
      <c r="Y113" s="297">
        <f t="shared" si="16"/>
        <v>131.12370499085884</v>
      </c>
      <c r="Z113" s="297">
        <f t="shared" si="16"/>
        <v>131.50616259395559</v>
      </c>
      <c r="AA113" s="297">
        <f t="shared" si="16"/>
        <v>131.88849176911904</v>
      </c>
      <c r="AB113" s="297">
        <f t="shared" si="16"/>
        <v>132.27069251634919</v>
      </c>
      <c r="AC113" s="297">
        <f t="shared" si="16"/>
        <v>132.65276483564597</v>
      </c>
      <c r="AD113" s="297">
        <f t="shared" si="16"/>
        <v>133.03470872700942</v>
      </c>
      <c r="AE113" s="297">
        <f t="shared" si="16"/>
        <v>133.41652419043959</v>
      </c>
      <c r="AF113" s="297">
        <f t="shared" si="16"/>
        <v>133.79821122593643</v>
      </c>
      <c r="AG113" s="297">
        <f t="shared" si="16"/>
        <v>134.17976983349993</v>
      </c>
      <c r="AH113" s="297">
        <f t="shared" si="16"/>
        <v>134.5612000131301</v>
      </c>
      <c r="AI113" s="297">
        <f t="shared" si="16"/>
        <v>134.94250176482694</v>
      </c>
    </row>
    <row r="114" spans="24:35" ht="15.75" hidden="1" customHeight="1" x14ac:dyDescent="0.3">
      <c r="X114" s="135">
        <v>90</v>
      </c>
      <c r="Y114" s="297">
        <f t="shared" si="16"/>
        <v>134.94250176482694</v>
      </c>
      <c r="Z114" s="297">
        <f t="shared" si="16"/>
        <v>135.32367508859048</v>
      </c>
      <c r="AA114" s="297">
        <f t="shared" si="16"/>
        <v>135.70471998442071</v>
      </c>
      <c r="AB114" s="297">
        <f t="shared" si="16"/>
        <v>136.08563645231757</v>
      </c>
      <c r="AC114" s="297">
        <f t="shared" si="16"/>
        <v>136.46642449228113</v>
      </c>
      <c r="AD114" s="297">
        <f t="shared" si="16"/>
        <v>136.84708410431139</v>
      </c>
      <c r="AE114" s="297">
        <f t="shared" si="16"/>
        <v>137.22761528840832</v>
      </c>
      <c r="AF114" s="297">
        <f t="shared" si="16"/>
        <v>137.60801804457188</v>
      </c>
      <c r="AG114" s="297">
        <f t="shared" si="16"/>
        <v>137.98829237280216</v>
      </c>
      <c r="AH114" s="297">
        <f t="shared" si="16"/>
        <v>138.36843827309912</v>
      </c>
      <c r="AI114" s="297">
        <f t="shared" si="16"/>
        <v>138.74845574546271</v>
      </c>
    </row>
    <row r="115" spans="24:35" ht="15.75" customHeight="1" x14ac:dyDescent="0.3">
      <c r="X115" s="135">
        <v>100</v>
      </c>
      <c r="Y115" s="297">
        <f t="shared" ref="Y115:AI125" si="17">$X$81*(1+$Y$95*($X115+Y$104)+$X$95*($X115+Y$104)^2)</f>
        <v>138.74845574546271</v>
      </c>
      <c r="Z115" s="297">
        <f t="shared" si="17"/>
        <v>139.12834478989302</v>
      </c>
      <c r="AA115" s="297">
        <f t="shared" si="17"/>
        <v>139.50810540639</v>
      </c>
      <c r="AB115" s="297">
        <f t="shared" si="17"/>
        <v>139.88773759495365</v>
      </c>
      <c r="AC115" s="297">
        <f t="shared" si="17"/>
        <v>140.26724135558399</v>
      </c>
      <c r="AD115" s="297">
        <f t="shared" si="17"/>
        <v>140.646616688281</v>
      </c>
      <c r="AE115" s="297">
        <f t="shared" si="17"/>
        <v>141.02586359304468</v>
      </c>
      <c r="AF115" s="297">
        <f t="shared" si="17"/>
        <v>141.40498206987505</v>
      </c>
      <c r="AG115" s="297">
        <f t="shared" si="17"/>
        <v>141.78397211877208</v>
      </c>
      <c r="AH115" s="297">
        <f t="shared" si="17"/>
        <v>142.16283373973579</v>
      </c>
      <c r="AI115" s="297">
        <f t="shared" si="17"/>
        <v>142.54156693276619</v>
      </c>
    </row>
    <row r="116" spans="24:35" ht="15.75" hidden="1" customHeight="1" x14ac:dyDescent="0.3">
      <c r="X116" s="135">
        <v>110</v>
      </c>
      <c r="Y116" s="297">
        <f t="shared" si="17"/>
        <v>142.54156693276619</v>
      </c>
      <c r="Z116" s="297">
        <f t="shared" si="17"/>
        <v>142.92017169786325</v>
      </c>
      <c r="AA116" s="297">
        <f t="shared" si="17"/>
        <v>143.29864803502701</v>
      </c>
      <c r="AB116" s="297">
        <f t="shared" si="17"/>
        <v>143.67699594425744</v>
      </c>
      <c r="AC116" s="297">
        <f t="shared" si="17"/>
        <v>144.05521542555451</v>
      </c>
      <c r="AD116" s="297">
        <f t="shared" si="17"/>
        <v>144.43330647891827</v>
      </c>
      <c r="AE116" s="297">
        <f t="shared" si="17"/>
        <v>144.81126910434872</v>
      </c>
      <c r="AF116" s="297">
        <f t="shared" si="17"/>
        <v>145.18910330184588</v>
      </c>
      <c r="AG116" s="297">
        <f t="shared" si="17"/>
        <v>145.56680907140966</v>
      </c>
      <c r="AH116" s="297">
        <f t="shared" si="17"/>
        <v>145.94438641304015</v>
      </c>
      <c r="AI116" s="297">
        <f t="shared" si="17"/>
        <v>146.3218353267373</v>
      </c>
    </row>
    <row r="117" spans="24:35" ht="15.75" customHeight="1" x14ac:dyDescent="0.3">
      <c r="X117" s="135">
        <v>120</v>
      </c>
      <c r="Y117" s="297">
        <f t="shared" si="17"/>
        <v>146.3218353267373</v>
      </c>
      <c r="Z117" s="297">
        <f t="shared" si="17"/>
        <v>146.69915581250115</v>
      </c>
      <c r="AA117" s="297">
        <f t="shared" si="17"/>
        <v>147.07634787033163</v>
      </c>
      <c r="AB117" s="297">
        <f t="shared" si="17"/>
        <v>147.45341150022884</v>
      </c>
      <c r="AC117" s="297">
        <f t="shared" si="17"/>
        <v>147.83034670219268</v>
      </c>
      <c r="AD117" s="297">
        <f t="shared" si="17"/>
        <v>148.20715347622323</v>
      </c>
      <c r="AE117" s="297">
        <f t="shared" si="17"/>
        <v>148.58383182232043</v>
      </c>
      <c r="AF117" s="297">
        <f t="shared" si="17"/>
        <v>148.96038174048434</v>
      </c>
      <c r="AG117" s="297">
        <f t="shared" si="17"/>
        <v>149.33680323071491</v>
      </c>
      <c r="AH117" s="297">
        <f t="shared" si="17"/>
        <v>149.71309629301217</v>
      </c>
      <c r="AI117" s="297">
        <f t="shared" si="17"/>
        <v>150.0892609273761</v>
      </c>
    </row>
    <row r="118" spans="24:35" ht="15.75" hidden="1" customHeight="1" x14ac:dyDescent="0.3">
      <c r="X118" s="135">
        <v>130</v>
      </c>
      <c r="Y118" s="297">
        <f t="shared" si="17"/>
        <v>150.0892609273761</v>
      </c>
      <c r="Z118" s="297">
        <f t="shared" si="17"/>
        <v>150.4652971338067</v>
      </c>
      <c r="AA118" s="297">
        <f t="shared" si="17"/>
        <v>150.84120491230397</v>
      </c>
      <c r="AB118" s="297">
        <f t="shared" si="17"/>
        <v>151.21698426286792</v>
      </c>
      <c r="AC118" s="297">
        <f t="shared" si="17"/>
        <v>151.59263518549858</v>
      </c>
      <c r="AD118" s="297">
        <f t="shared" si="17"/>
        <v>151.96815768019587</v>
      </c>
      <c r="AE118" s="297">
        <f t="shared" si="17"/>
        <v>152.34355174695986</v>
      </c>
      <c r="AF118" s="297">
        <f t="shared" si="17"/>
        <v>152.71881738579049</v>
      </c>
      <c r="AG118" s="297">
        <f t="shared" si="17"/>
        <v>153.09395459668787</v>
      </c>
      <c r="AH118" s="297">
        <f t="shared" si="17"/>
        <v>153.46896337965185</v>
      </c>
      <c r="AI118" s="297">
        <f t="shared" si="17"/>
        <v>153.84384373468254</v>
      </c>
    </row>
    <row r="119" spans="24:35" ht="15.75" hidden="1" customHeight="1" x14ac:dyDescent="0.3">
      <c r="X119" s="135">
        <v>140</v>
      </c>
      <c r="Y119" s="297">
        <f t="shared" si="17"/>
        <v>153.84384373468254</v>
      </c>
      <c r="Z119" s="297">
        <f t="shared" si="17"/>
        <v>154.21859566177994</v>
      </c>
      <c r="AA119" s="297">
        <f t="shared" si="17"/>
        <v>154.59321916094396</v>
      </c>
      <c r="AB119" s="297">
        <f t="shared" si="17"/>
        <v>154.96771423217467</v>
      </c>
      <c r="AC119" s="297">
        <f t="shared" si="17"/>
        <v>155.34208087547208</v>
      </c>
      <c r="AD119" s="297">
        <f t="shared" si="17"/>
        <v>155.71631909083615</v>
      </c>
      <c r="AE119" s="297">
        <f t="shared" si="17"/>
        <v>156.09042887826692</v>
      </c>
      <c r="AF119" s="297">
        <f t="shared" si="17"/>
        <v>156.46441023776433</v>
      </c>
      <c r="AG119" s="297">
        <f t="shared" si="17"/>
        <v>156.83826316932846</v>
      </c>
      <c r="AH119" s="297">
        <f t="shared" si="17"/>
        <v>157.21198767295922</v>
      </c>
      <c r="AI119" s="297">
        <f t="shared" si="17"/>
        <v>157.58558374865669</v>
      </c>
    </row>
    <row r="120" spans="24:35" ht="15.75" customHeight="1" x14ac:dyDescent="0.3">
      <c r="X120" s="135">
        <v>150</v>
      </c>
      <c r="Y120" s="297">
        <f t="shared" si="17"/>
        <v>157.58558374865669</v>
      </c>
      <c r="Z120" s="297">
        <f t="shared" si="17"/>
        <v>157.95905139642082</v>
      </c>
      <c r="AA120" s="297">
        <f t="shared" si="17"/>
        <v>158.33239061625164</v>
      </c>
      <c r="AB120" s="297">
        <f t="shared" si="17"/>
        <v>158.70560140814914</v>
      </c>
      <c r="AC120" s="297">
        <f t="shared" si="17"/>
        <v>159.07868377211329</v>
      </c>
      <c r="AD120" s="297">
        <f t="shared" si="17"/>
        <v>159.45163770814415</v>
      </c>
      <c r="AE120" s="297">
        <f t="shared" si="17"/>
        <v>159.82446321624164</v>
      </c>
      <c r="AF120" s="297">
        <f t="shared" si="17"/>
        <v>160.19716029640588</v>
      </c>
      <c r="AG120" s="297">
        <f t="shared" si="17"/>
        <v>160.56972894863671</v>
      </c>
      <c r="AH120" s="297">
        <f t="shared" si="17"/>
        <v>160.94216917293426</v>
      </c>
      <c r="AI120" s="297">
        <f t="shared" si="17"/>
        <v>161.3144809692985</v>
      </c>
    </row>
    <row r="121" spans="24:35" ht="15.75" hidden="1" customHeight="1" x14ac:dyDescent="0.3">
      <c r="X121" s="135">
        <v>160</v>
      </c>
      <c r="Y121" s="297">
        <f t="shared" si="17"/>
        <v>161.3144809692985</v>
      </c>
      <c r="Z121" s="297">
        <f t="shared" si="17"/>
        <v>161.68666433772941</v>
      </c>
      <c r="AA121" s="297">
        <f t="shared" si="17"/>
        <v>162.05871927822699</v>
      </c>
      <c r="AB121" s="297">
        <f t="shared" si="17"/>
        <v>162.4306457907912</v>
      </c>
      <c r="AC121" s="297">
        <f t="shared" si="17"/>
        <v>162.80244387542214</v>
      </c>
      <c r="AD121" s="297">
        <f t="shared" si="17"/>
        <v>163.17411353211978</v>
      </c>
      <c r="AE121" s="297">
        <f t="shared" si="17"/>
        <v>163.54565476088405</v>
      </c>
      <c r="AF121" s="297">
        <f t="shared" si="17"/>
        <v>163.91706756171499</v>
      </c>
      <c r="AG121" s="297">
        <f t="shared" si="17"/>
        <v>164.28835193461265</v>
      </c>
      <c r="AH121" s="297">
        <f t="shared" si="17"/>
        <v>164.65950787957698</v>
      </c>
      <c r="AI121" s="297">
        <f t="shared" si="17"/>
        <v>165.03053539660795</v>
      </c>
    </row>
    <row r="122" spans="24:35" ht="15.75" customHeight="1" x14ac:dyDescent="0.3">
      <c r="X122" s="135">
        <v>170</v>
      </c>
      <c r="Y122" s="297">
        <f t="shared" ref="Y122:AD125" si="18">$X$81*(1+$Y$95*($X122+Y$104)+$X$95*($X122+Y$104)^2)</f>
        <v>165.03053539660795</v>
      </c>
      <c r="Z122" s="297">
        <f t="shared" si="18"/>
        <v>165.40143448570564</v>
      </c>
      <c r="AA122" s="297">
        <f t="shared" si="18"/>
        <v>165.77220514686996</v>
      </c>
      <c r="AB122" s="297">
        <f t="shared" si="18"/>
        <v>166.14284738010102</v>
      </c>
      <c r="AC122" s="297">
        <f t="shared" si="18"/>
        <v>166.51336118539871</v>
      </c>
      <c r="AD122" s="297">
        <f t="shared" si="18"/>
        <v>166.88374656276306</v>
      </c>
      <c r="AE122" s="297">
        <f t="shared" si="17"/>
        <v>167.25400351219415</v>
      </c>
      <c r="AF122" s="297">
        <f t="shared" si="17"/>
        <v>167.62413203369186</v>
      </c>
      <c r="AG122" s="297">
        <f t="shared" si="17"/>
        <v>167.99413212725628</v>
      </c>
      <c r="AH122" s="297">
        <f t="shared" si="17"/>
        <v>168.36400379288733</v>
      </c>
      <c r="AI122" s="297">
        <f t="shared" si="17"/>
        <v>168.73374703058508</v>
      </c>
    </row>
    <row r="123" spans="24:35" ht="15.75" customHeight="1" x14ac:dyDescent="0.3">
      <c r="X123" s="135">
        <v>200</v>
      </c>
      <c r="Y123" s="297">
        <f t="shared" si="18"/>
        <v>176.10164191854241</v>
      </c>
      <c r="Z123" s="297">
        <f t="shared" si="18"/>
        <v>176.46868816964039</v>
      </c>
      <c r="AA123" s="297">
        <f t="shared" si="18"/>
        <v>176.83560599280503</v>
      </c>
      <c r="AB123" s="297">
        <f t="shared" si="18"/>
        <v>177.20239538803634</v>
      </c>
      <c r="AC123" s="297">
        <f t="shared" si="18"/>
        <v>177.56905635533434</v>
      </c>
      <c r="AD123" s="297">
        <f t="shared" si="18"/>
        <v>177.93558889469904</v>
      </c>
      <c r="AE123" s="297">
        <f t="shared" si="17"/>
        <v>178.30199300613035</v>
      </c>
      <c r="AF123" s="297">
        <f t="shared" si="17"/>
        <v>178.66826868962838</v>
      </c>
      <c r="AG123" s="297">
        <f t="shared" si="17"/>
        <v>179.0344159451931</v>
      </c>
      <c r="AH123" s="297">
        <f t="shared" si="17"/>
        <v>179.4004347728245</v>
      </c>
      <c r="AI123" s="297">
        <f t="shared" si="17"/>
        <v>179.76632517252253</v>
      </c>
    </row>
    <row r="124" spans="24:35" ht="15.75" customHeight="1" x14ac:dyDescent="0.3">
      <c r="X124" s="135">
        <v>220</v>
      </c>
      <c r="Y124" s="297">
        <f t="shared" si="18"/>
        <v>183.41816563317039</v>
      </c>
      <c r="Z124" s="297">
        <f t="shared" si="18"/>
        <v>183.7826433256019</v>
      </c>
      <c r="AA124" s="297">
        <f t="shared" si="18"/>
        <v>184.14699259010007</v>
      </c>
      <c r="AB124" s="297">
        <f t="shared" si="18"/>
        <v>184.51121342666491</v>
      </c>
      <c r="AC124" s="297">
        <f t="shared" si="18"/>
        <v>184.87530583529647</v>
      </c>
      <c r="AD124" s="297">
        <f t="shared" si="18"/>
        <v>185.23926981599467</v>
      </c>
      <c r="AE124" s="297">
        <f t="shared" si="17"/>
        <v>185.60310536875957</v>
      </c>
      <c r="AF124" s="297">
        <f t="shared" si="17"/>
        <v>185.96681249359108</v>
      </c>
      <c r="AG124" s="297">
        <f t="shared" si="17"/>
        <v>186.33039119048937</v>
      </c>
      <c r="AH124" s="297">
        <f t="shared" si="17"/>
        <v>186.69384145945426</v>
      </c>
      <c r="AI124" s="297">
        <f t="shared" si="17"/>
        <v>187.05716330048585</v>
      </c>
    </row>
    <row r="125" spans="24:35" ht="15.75" customHeight="1" x14ac:dyDescent="0.3">
      <c r="X125" s="135">
        <v>250</v>
      </c>
      <c r="Y125" s="297">
        <f t="shared" si="18"/>
        <v>194.29663025511985</v>
      </c>
      <c r="Z125" s="297">
        <f t="shared" si="18"/>
        <v>194.65725510955167</v>
      </c>
      <c r="AA125" s="297">
        <f t="shared" si="18"/>
        <v>195.01775153605016</v>
      </c>
      <c r="AB125" s="297">
        <f t="shared" si="18"/>
        <v>195.37811953461531</v>
      </c>
      <c r="AC125" s="297">
        <f t="shared" si="18"/>
        <v>195.73835910524716</v>
      </c>
      <c r="AD125" s="297">
        <f t="shared" si="18"/>
        <v>196.09847024794567</v>
      </c>
      <c r="AE125" s="297">
        <f t="shared" si="17"/>
        <v>196.45845296271088</v>
      </c>
      <c r="AF125" s="297">
        <f t="shared" si="17"/>
        <v>196.81830724954273</v>
      </c>
      <c r="AG125" s="297">
        <f t="shared" si="17"/>
        <v>197.17803310844127</v>
      </c>
      <c r="AH125" s="297">
        <f t="shared" si="17"/>
        <v>197.53763053940651</v>
      </c>
      <c r="AI125" s="297">
        <f t="shared" si="17"/>
        <v>197.89709954243838</v>
      </c>
    </row>
    <row r="126" spans="24:35" ht="15.75" customHeight="1" x14ac:dyDescent="0.3"/>
    <row r="127" spans="24:35" ht="15.75" customHeight="1" x14ac:dyDescent="0.3"/>
    <row r="128" spans="24:35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0">
    <mergeCell ref="P31:P33"/>
    <mergeCell ref="A32:B32"/>
    <mergeCell ref="C32:G32"/>
    <mergeCell ref="H32:J32"/>
    <mergeCell ref="H33:J33"/>
    <mergeCell ref="A33:B33"/>
    <mergeCell ref="A31:B31"/>
    <mergeCell ref="C31:G31"/>
    <mergeCell ref="H31:J31"/>
    <mergeCell ref="A1:Q1"/>
    <mergeCell ref="A2:Q2"/>
    <mergeCell ref="A3:Q3"/>
    <mergeCell ref="A4:Q4"/>
    <mergeCell ref="A5:Q5"/>
    <mergeCell ref="A6:Q6"/>
    <mergeCell ref="C9:E9"/>
    <mergeCell ref="A16:F16"/>
    <mergeCell ref="J16:N16"/>
    <mergeCell ref="Q16:Q17"/>
    <mergeCell ref="P16:P17"/>
  </mergeCells>
  <pageMargins left="0.7" right="0.7" top="0.75" bottom="0.75" header="0" footer="0"/>
  <pageSetup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D9F0"/>
  </sheetPr>
  <dimension ref="A1:Z982"/>
  <sheetViews>
    <sheetView topLeftCell="A15" workbookViewId="0">
      <selection activeCell="H32" sqref="H32"/>
    </sheetView>
  </sheetViews>
  <sheetFormatPr defaultColWidth="14.44140625" defaultRowHeight="15" customHeight="1" x14ac:dyDescent="0.3"/>
  <cols>
    <col min="1" max="1" width="41.44140625" customWidth="1"/>
    <col min="2" max="2" width="6.33203125" customWidth="1"/>
    <col min="3" max="3" width="9.6640625" customWidth="1"/>
    <col min="4" max="4" width="12" customWidth="1"/>
    <col min="5" max="5" width="10.88671875" customWidth="1"/>
    <col min="6" max="6" width="7.44140625" customWidth="1"/>
    <col min="7" max="7" width="9.44140625" customWidth="1"/>
    <col min="8" max="8" width="7.44140625" customWidth="1"/>
    <col min="9" max="9" width="9.44140625" customWidth="1"/>
    <col min="10" max="10" width="11" customWidth="1"/>
    <col min="11" max="11" width="12.5546875" customWidth="1"/>
    <col min="12" max="13" width="9.109375" customWidth="1"/>
    <col min="14" max="14" width="9.33203125" customWidth="1"/>
    <col min="15" max="15" width="12.33203125" customWidth="1"/>
    <col min="16" max="16" width="11.6640625" customWidth="1"/>
    <col min="17" max="18" width="9.33203125" customWidth="1"/>
    <col min="19" max="22" width="12.33203125" customWidth="1"/>
    <col min="23" max="25" width="8.6640625" customWidth="1"/>
  </cols>
  <sheetData>
    <row r="1" spans="1:26" ht="12.75" customHeight="1" x14ac:dyDescent="0.3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7"/>
    </row>
    <row r="2" spans="1:26" ht="12.7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421" t="s">
        <v>67</v>
      </c>
      <c r="L2" s="422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7"/>
    </row>
    <row r="3" spans="1:26" ht="12.75" customHeight="1" x14ac:dyDescent="0.3">
      <c r="A3" s="423" t="s">
        <v>68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5"/>
      <c r="M3" s="56"/>
      <c r="N3" s="56"/>
      <c r="O3" s="56" t="s">
        <v>280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7"/>
    </row>
    <row r="4" spans="1:26" ht="12.75" customHeight="1" x14ac:dyDescent="0.3">
      <c r="A4" s="55" t="s">
        <v>69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  <c r="N4" s="56"/>
      <c r="O4" s="56" t="s">
        <v>281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7"/>
    </row>
    <row r="5" spans="1:26" ht="12.75" customHeight="1" x14ac:dyDescent="0.3">
      <c r="A5" s="58" t="s">
        <v>70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6"/>
      <c r="N5" s="56"/>
      <c r="O5" s="56" t="s">
        <v>282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7"/>
    </row>
    <row r="6" spans="1:26" ht="12.75" customHeight="1" x14ac:dyDescent="0.3">
      <c r="A6" s="55" t="s">
        <v>71</v>
      </c>
      <c r="B6" s="55"/>
      <c r="C6" s="55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7"/>
    </row>
    <row r="7" spans="1:26" ht="12.75" customHeight="1" x14ac:dyDescent="0.3">
      <c r="A7" s="55" t="s">
        <v>73</v>
      </c>
      <c r="B7" s="55"/>
      <c r="C7" s="55" t="s">
        <v>74</v>
      </c>
      <c r="D7" s="55"/>
      <c r="E7" s="55"/>
      <c r="F7" s="55"/>
      <c r="G7" s="55"/>
      <c r="H7" s="55"/>
      <c r="I7" s="55"/>
      <c r="J7" s="55"/>
      <c r="K7" s="55"/>
      <c r="L7" s="55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7"/>
    </row>
    <row r="8" spans="1:26" ht="12.75" customHeight="1" x14ac:dyDescent="0.3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7"/>
    </row>
    <row r="9" spans="1:26" ht="12.75" customHeight="1" x14ac:dyDescent="0.3">
      <c r="A9" s="59" t="s">
        <v>75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7"/>
    </row>
    <row r="10" spans="1:26" ht="12.75" customHeight="1" x14ac:dyDescent="0.3">
      <c r="A10" s="62" t="s">
        <v>76</v>
      </c>
      <c r="B10" s="55"/>
      <c r="C10" s="63"/>
      <c r="D10" s="63" t="s">
        <v>7</v>
      </c>
      <c r="E10" s="55"/>
      <c r="F10" s="55"/>
      <c r="G10" s="55"/>
      <c r="H10" s="55"/>
      <c r="I10" s="55"/>
      <c r="J10" s="55"/>
      <c r="K10" s="55"/>
      <c r="L10" s="64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7"/>
    </row>
    <row r="11" spans="1:26" ht="12.75" customHeight="1" x14ac:dyDescent="0.3">
      <c r="A11" s="62" t="s">
        <v>77</v>
      </c>
      <c r="B11" s="55"/>
      <c r="C11" s="63"/>
      <c r="D11" s="63" t="s">
        <v>2</v>
      </c>
      <c r="E11" s="55"/>
      <c r="F11" s="55"/>
      <c r="G11" s="55"/>
      <c r="H11" s="55"/>
      <c r="I11" s="55"/>
      <c r="J11" s="55"/>
      <c r="K11" s="55"/>
      <c r="L11" s="64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7"/>
    </row>
    <row r="12" spans="1:26" ht="12.75" customHeight="1" x14ac:dyDescent="0.3">
      <c r="A12" s="62" t="s">
        <v>78</v>
      </c>
      <c r="B12" s="55"/>
      <c r="C12" s="63"/>
      <c r="D12" s="63" t="s">
        <v>79</v>
      </c>
      <c r="E12" s="55"/>
      <c r="F12" s="55"/>
      <c r="G12" s="55"/>
      <c r="H12" s="55"/>
      <c r="I12" s="55"/>
      <c r="J12" s="55"/>
      <c r="K12" s="55"/>
      <c r="L12" s="64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7"/>
    </row>
    <row r="13" spans="1:26" ht="12.75" customHeight="1" x14ac:dyDescent="0.3">
      <c r="A13" s="62" t="s">
        <v>80</v>
      </c>
      <c r="B13" s="55"/>
      <c r="C13" s="63"/>
      <c r="D13" s="65" t="s">
        <v>81</v>
      </c>
      <c r="E13" s="66"/>
      <c r="F13" s="66"/>
      <c r="G13" s="55"/>
      <c r="H13" s="55"/>
      <c r="I13" s="55"/>
      <c r="J13" s="55"/>
      <c r="K13" s="55"/>
      <c r="L13" s="64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7"/>
    </row>
    <row r="14" spans="1:26" ht="12.75" customHeight="1" x14ac:dyDescent="0.3">
      <c r="A14" s="62"/>
      <c r="B14" s="55"/>
      <c r="C14" s="63"/>
      <c r="D14" s="65" t="s">
        <v>82</v>
      </c>
      <c r="E14" s="66"/>
      <c r="F14" s="66"/>
      <c r="G14" s="55"/>
      <c r="H14" s="55"/>
      <c r="I14" s="55"/>
      <c r="J14" s="55"/>
      <c r="K14" s="55"/>
      <c r="L14" s="64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7"/>
    </row>
    <row r="15" spans="1:26" ht="12.75" customHeight="1" x14ac:dyDescent="0.3">
      <c r="A15" s="62"/>
      <c r="B15" s="55"/>
      <c r="C15" s="63"/>
      <c r="D15" s="65" t="s">
        <v>83</v>
      </c>
      <c r="E15" s="66"/>
      <c r="F15" s="66"/>
      <c r="G15" s="55"/>
      <c r="H15" s="55"/>
      <c r="I15" s="55"/>
      <c r="J15" s="55"/>
      <c r="K15" s="55"/>
      <c r="L15" s="64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7"/>
    </row>
    <row r="16" spans="1:26" ht="12.75" customHeight="1" x14ac:dyDescent="0.3">
      <c r="A16" s="62" t="s">
        <v>263</v>
      </c>
      <c r="B16" s="55"/>
      <c r="C16" s="63"/>
      <c r="D16" s="65" t="s">
        <v>84</v>
      </c>
      <c r="E16" s="66"/>
      <c r="F16" s="66"/>
      <c r="G16" s="55"/>
      <c r="H16" s="55"/>
      <c r="I16" s="55"/>
      <c r="J16" s="55"/>
      <c r="K16" s="55"/>
      <c r="L16" s="64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7"/>
    </row>
    <row r="17" spans="1:26" ht="12.75" customHeight="1" x14ac:dyDescent="0.3">
      <c r="A17" s="62" t="s">
        <v>264</v>
      </c>
      <c r="B17" s="55"/>
      <c r="C17" s="63"/>
      <c r="D17" s="65" t="s">
        <v>85</v>
      </c>
      <c r="E17" s="66"/>
      <c r="F17" s="66"/>
      <c r="G17" s="55"/>
      <c r="H17" s="55"/>
      <c r="I17" s="55"/>
      <c r="J17" s="55"/>
      <c r="K17" s="55"/>
      <c r="L17" s="64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7"/>
    </row>
    <row r="18" spans="1:26" ht="12.75" customHeight="1" x14ac:dyDescent="0.3">
      <c r="A18" s="62" t="s">
        <v>265</v>
      </c>
      <c r="B18" s="55"/>
      <c r="C18" s="63"/>
      <c r="D18" s="65" t="s">
        <v>86</v>
      </c>
      <c r="E18" s="66"/>
      <c r="F18" s="66"/>
      <c r="G18" s="55"/>
      <c r="H18" s="55"/>
      <c r="I18" s="55"/>
      <c r="J18" s="55"/>
      <c r="K18" s="55"/>
      <c r="L18" s="64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7"/>
    </row>
    <row r="19" spans="1:26" ht="12.75" customHeight="1" x14ac:dyDescent="0.3">
      <c r="A19" s="67"/>
      <c r="B19" s="68"/>
      <c r="C19" s="68"/>
      <c r="D19" s="69"/>
      <c r="E19" s="68"/>
      <c r="F19" s="68"/>
      <c r="G19" s="68"/>
      <c r="H19" s="68"/>
      <c r="I19" s="68"/>
      <c r="J19" s="68"/>
      <c r="K19" s="68"/>
      <c r="L19" s="70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7"/>
    </row>
    <row r="20" spans="1:26" ht="12.75" customHeight="1" x14ac:dyDescent="0.3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7"/>
    </row>
    <row r="21" spans="1:26" ht="12.75" customHeight="1" x14ac:dyDescent="0.3">
      <c r="A21" s="71" t="s">
        <v>252</v>
      </c>
      <c r="B21" s="56"/>
      <c r="C21" s="72">
        <f>'Olahdata-PT100 C'!I18</f>
        <v>4.3935328752411351E-3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7"/>
    </row>
    <row r="22" spans="1:26" ht="12.75" customHeight="1" x14ac:dyDescent="0.3">
      <c r="A22" s="73" t="s">
        <v>87</v>
      </c>
      <c r="B22" s="73" t="s">
        <v>88</v>
      </c>
      <c r="C22" s="73" t="s">
        <v>89</v>
      </c>
      <c r="D22" s="74" t="s">
        <v>90</v>
      </c>
      <c r="E22" s="73" t="s">
        <v>91</v>
      </c>
      <c r="F22" s="73" t="s">
        <v>92</v>
      </c>
      <c r="G22" s="73" t="s">
        <v>93</v>
      </c>
      <c r="H22" s="73" t="s">
        <v>94</v>
      </c>
      <c r="I22" s="73" t="s">
        <v>95</v>
      </c>
      <c r="J22" s="73" t="s">
        <v>96</v>
      </c>
      <c r="K22" s="73" t="s">
        <v>97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7"/>
    </row>
    <row r="23" spans="1:26" ht="12.75" customHeight="1" x14ac:dyDescent="0.3">
      <c r="A23" s="73" t="s">
        <v>98</v>
      </c>
      <c r="B23" s="73" t="s">
        <v>99</v>
      </c>
      <c r="C23" s="73" t="s">
        <v>100</v>
      </c>
      <c r="D23" s="74" t="s">
        <v>101</v>
      </c>
      <c r="E23" s="73" t="s">
        <v>102</v>
      </c>
      <c r="F23" s="73" t="s">
        <v>103</v>
      </c>
      <c r="G23" s="73" t="s">
        <v>104</v>
      </c>
      <c r="H23" s="73" t="s">
        <v>105</v>
      </c>
      <c r="I23" s="73" t="s">
        <v>106</v>
      </c>
      <c r="J23" s="73" t="s">
        <v>107</v>
      </c>
      <c r="K23" s="73" t="s">
        <v>108</v>
      </c>
      <c r="L23" s="56"/>
      <c r="M23" s="56"/>
      <c r="N23" s="56" t="s">
        <v>109</v>
      </c>
      <c r="O23" s="56" t="s">
        <v>110</v>
      </c>
      <c r="P23" s="56" t="s">
        <v>111</v>
      </c>
      <c r="Q23" s="56"/>
      <c r="R23" s="56"/>
      <c r="S23" s="56"/>
      <c r="T23" s="56"/>
      <c r="U23" s="56"/>
      <c r="V23" s="56"/>
      <c r="W23" s="56"/>
      <c r="X23" s="56"/>
      <c r="Y23" s="56"/>
      <c r="Z23" s="57"/>
    </row>
    <row r="24" spans="1:26" ht="12.75" customHeight="1" x14ac:dyDescent="0.3">
      <c r="A24" s="75" t="s">
        <v>112</v>
      </c>
      <c r="B24" s="86" t="s">
        <v>63</v>
      </c>
      <c r="C24" s="75" t="s">
        <v>114</v>
      </c>
      <c r="D24" s="76">
        <f>STDEV('Olahdata-PT100 C'!J18:N18)/SQRT(5)</f>
        <v>0</v>
      </c>
      <c r="E24" s="75">
        <v>1</v>
      </c>
      <c r="F24" s="75">
        <v>4</v>
      </c>
      <c r="G24" s="75">
        <f t="shared" ref="G24:G35" si="0">D24/E24</f>
        <v>0</v>
      </c>
      <c r="H24" s="75">
        <f>1/('Olahdata-PT100 C'!Z105-'Olahdata-PT100 C'!Y105)</f>
        <v>2.5462666986637843</v>
      </c>
      <c r="I24" s="75">
        <f t="shared" ref="I24:I34" si="1">G24*H24</f>
        <v>0</v>
      </c>
      <c r="J24" s="75">
        <f t="shared" ref="J24:J25" si="2">I24^2</f>
        <v>0</v>
      </c>
      <c r="K24" s="75">
        <f t="shared" ref="K24:K35" si="3">J24^2/F24</f>
        <v>0</v>
      </c>
      <c r="L24" s="56"/>
      <c r="M24" s="56"/>
      <c r="N24" s="56">
        <f>'drift beamex tc305-Pt100'!B5</f>
        <v>-199.96</v>
      </c>
      <c r="O24" s="56">
        <f>'drift beamex tc305-Pt100'!C5</f>
        <v>-7.4999999999988631E-2</v>
      </c>
      <c r="P24" s="56">
        <f>'drift beamex tc305-Pt100'!AN5</f>
        <v>0.16201722299372118</v>
      </c>
      <c r="Q24" s="56"/>
      <c r="R24" s="56"/>
      <c r="S24" s="56"/>
      <c r="T24" s="56"/>
      <c r="U24" s="56"/>
      <c r="V24" s="56"/>
      <c r="W24" s="56"/>
      <c r="X24" s="56"/>
      <c r="Y24" s="56"/>
      <c r="Z24" s="57"/>
    </row>
    <row r="25" spans="1:26" ht="12.75" customHeight="1" x14ac:dyDescent="0.3">
      <c r="A25" s="75" t="s">
        <v>115</v>
      </c>
      <c r="B25" s="86" t="s">
        <v>63</v>
      </c>
      <c r="C25" s="75" t="s">
        <v>116</v>
      </c>
      <c r="D25" s="77">
        <f>0.005/2</f>
        <v>2.5000000000000001E-3</v>
      </c>
      <c r="E25" s="75">
        <f>SQRT(3)</f>
        <v>1.7320508075688772</v>
      </c>
      <c r="F25" s="75">
        <v>50</v>
      </c>
      <c r="G25" s="75">
        <f t="shared" si="0"/>
        <v>1.4433756729740645E-3</v>
      </c>
      <c r="H25" s="75">
        <f>H24</f>
        <v>2.5462666986637843</v>
      </c>
      <c r="I25" s="75">
        <f t="shared" si="1"/>
        <v>3.6752194097552891E-3</v>
      </c>
      <c r="J25" s="75">
        <f t="shared" si="2"/>
        <v>1.3507237709842015E-5</v>
      </c>
      <c r="K25" s="75">
        <f t="shared" si="3"/>
        <v>3.6489094110035633E-12</v>
      </c>
      <c r="L25" s="56"/>
      <c r="M25" s="56"/>
      <c r="N25" s="56">
        <f>'drift beamex tc305-Pt100'!B6</f>
        <v>-150</v>
      </c>
      <c r="O25" s="56">
        <f>'drift beamex tc305-Pt100'!C6</f>
        <v>-8.4970017989214441E-2</v>
      </c>
      <c r="P25" s="56">
        <f>'drift beamex tc305-Pt100'!AN6</f>
        <v>0.15803652998999432</v>
      </c>
      <c r="Q25" s="56"/>
      <c r="R25" s="56"/>
      <c r="S25" s="56"/>
      <c r="T25" s="56"/>
      <c r="U25" s="56"/>
      <c r="V25" s="56"/>
      <c r="W25" s="56"/>
      <c r="X25" s="56"/>
      <c r="Y25" s="56"/>
      <c r="Z25" s="57"/>
    </row>
    <row r="26" spans="1:26" ht="12.75" customHeight="1" x14ac:dyDescent="0.3">
      <c r="A26" s="78" t="s">
        <v>259</v>
      </c>
      <c r="B26" s="86" t="s">
        <v>113</v>
      </c>
      <c r="C26" s="75" t="s">
        <v>116</v>
      </c>
      <c r="D26" s="77">
        <f>4/10^3</f>
        <v>4.0000000000000001E-3</v>
      </c>
      <c r="E26" s="75">
        <f>SQRT(3)</f>
        <v>1.7320508075688772</v>
      </c>
      <c r="F26" s="75">
        <v>50</v>
      </c>
      <c r="G26" s="75">
        <f t="shared" ref="G26" si="4">D26/E26</f>
        <v>2.3094010767585032E-3</v>
      </c>
      <c r="H26" s="75">
        <v>1</v>
      </c>
      <c r="I26" s="75">
        <f t="shared" si="1"/>
        <v>2.3094010767585032E-3</v>
      </c>
      <c r="J26" s="75">
        <f t="shared" ref="J26" si="5">I26^2</f>
        <v>5.3333333333333337E-6</v>
      </c>
      <c r="K26" s="75">
        <f t="shared" ref="K26" si="6">J26^2/F26</f>
        <v>5.6888888888888893E-13</v>
      </c>
      <c r="L26" s="56"/>
      <c r="M26" s="56"/>
      <c r="N26" s="56">
        <f>'drift beamex tc305-Pt100'!B7</f>
        <v>-100</v>
      </c>
      <c r="O26" s="56">
        <f>'drift beamex tc305-Pt100'!C7</f>
        <v>-0.11497600479903507</v>
      </c>
      <c r="P26" s="56">
        <f>'drift beamex tc305-Pt100'!AN7</f>
        <v>0.15286012488632295</v>
      </c>
      <c r="Q26" s="56"/>
      <c r="R26" s="56"/>
      <c r="S26" s="56"/>
      <c r="T26" s="56"/>
      <c r="U26" s="56"/>
      <c r="V26" s="56"/>
      <c r="W26" s="56"/>
      <c r="X26" s="56"/>
      <c r="Y26" s="56"/>
      <c r="Z26" s="57"/>
    </row>
    <row r="27" spans="1:26" ht="12.75" customHeight="1" x14ac:dyDescent="0.3">
      <c r="A27" s="78" t="s">
        <v>254</v>
      </c>
      <c r="B27" s="86" t="s">
        <v>63</v>
      </c>
      <c r="C27" s="79" t="s">
        <v>117</v>
      </c>
      <c r="D27" s="80">
        <f>'Olahdata-PT100 C'!Y$97</f>
        <v>0.61915312760021013</v>
      </c>
      <c r="E27" s="80">
        <v>1</v>
      </c>
      <c r="F27" s="80">
        <f>'Olahdata-PT100 C'!Y$98</f>
        <v>9</v>
      </c>
      <c r="G27" s="81">
        <f t="shared" si="0"/>
        <v>0.61915312760021013</v>
      </c>
      <c r="H27" s="81">
        <f>H24</f>
        <v>2.5462666986637843</v>
      </c>
      <c r="I27" s="75">
        <f t="shared" si="1"/>
        <v>1.5765289901819439</v>
      </c>
      <c r="J27" s="75">
        <f t="shared" ref="J27:J28" si="7">I27^2</f>
        <v>2.4854436568840996</v>
      </c>
      <c r="K27" s="81">
        <f t="shared" si="3"/>
        <v>0.68638113017171176</v>
      </c>
      <c r="L27" s="56"/>
      <c r="M27" s="56"/>
      <c r="N27" s="56">
        <f>'drift beamex tc305-Pt100'!B8</f>
        <v>-50</v>
      </c>
      <c r="O27" s="56">
        <f>'drift beamex tc305-Pt100'!C8</f>
        <v>-0.12996221209213307</v>
      </c>
      <c r="P27" s="56">
        <f>'drift beamex tc305-Pt100'!AN8</f>
        <v>8.6877716213265677E-2</v>
      </c>
      <c r="Q27" s="56"/>
      <c r="R27" s="56"/>
      <c r="S27" s="56"/>
      <c r="T27" s="56"/>
      <c r="U27" s="56"/>
      <c r="V27" s="56"/>
      <c r="W27" s="56"/>
      <c r="X27" s="56"/>
      <c r="Y27" s="56"/>
      <c r="Z27" s="57"/>
    </row>
    <row r="28" spans="1:26" ht="12.75" customHeight="1" x14ac:dyDescent="0.3">
      <c r="A28" s="75" t="s">
        <v>253</v>
      </c>
      <c r="B28" s="86" t="s">
        <v>63</v>
      </c>
      <c r="C28" s="75" t="s">
        <v>114</v>
      </c>
      <c r="D28" s="76">
        <f>STDEV('Olahdata-PT100 C'!A18:E18)/SQRT(5)</f>
        <v>0</v>
      </c>
      <c r="E28" s="75">
        <v>1</v>
      </c>
      <c r="F28" s="75">
        <v>4</v>
      </c>
      <c r="G28" s="75">
        <f t="shared" ref="G28" si="8">D28/E28</f>
        <v>0</v>
      </c>
      <c r="H28" s="75">
        <f>H32</f>
        <v>2.5116509207084361</v>
      </c>
      <c r="I28" s="75">
        <f t="shared" si="1"/>
        <v>0</v>
      </c>
      <c r="J28" s="75">
        <f t="shared" si="7"/>
        <v>0</v>
      </c>
      <c r="K28" s="75">
        <f t="shared" ref="K28" si="9">J28^2/F28</f>
        <v>0</v>
      </c>
      <c r="L28" s="56"/>
      <c r="M28" s="56"/>
      <c r="N28" s="56">
        <f>'drift beamex tc305-Pt100'!B9</f>
        <v>0</v>
      </c>
      <c r="O28" s="56">
        <f>'drift beamex tc305-Pt100'!C9</f>
        <v>-0.15092664488148061</v>
      </c>
      <c r="P28" s="56">
        <f>'drift beamex tc305-Pt100'!AN9</f>
        <v>2.1417862386101404E-2</v>
      </c>
      <c r="Q28" s="56"/>
      <c r="R28" s="56"/>
      <c r="S28" s="56"/>
      <c r="T28" s="56"/>
      <c r="U28" s="56"/>
      <c r="V28" s="56"/>
      <c r="W28" s="56"/>
      <c r="X28" s="56"/>
      <c r="Y28" s="56"/>
      <c r="Z28" s="57"/>
    </row>
    <row r="29" spans="1:26" ht="12.75" customHeight="1" x14ac:dyDescent="0.3">
      <c r="A29" s="75" t="s">
        <v>256</v>
      </c>
      <c r="B29" s="86" t="s">
        <v>63</v>
      </c>
      <c r="C29" s="75" t="s">
        <v>117</v>
      </c>
      <c r="D29" s="338">
        <f>'Olahdata-PT100 C'!U19</f>
        <v>3.3600000000000005E-2</v>
      </c>
      <c r="E29" s="75">
        <v>2</v>
      </c>
      <c r="F29" s="75">
        <v>60</v>
      </c>
      <c r="G29" s="75">
        <f t="shared" si="0"/>
        <v>1.6800000000000002E-2</v>
      </c>
      <c r="H29" s="81">
        <f>H32</f>
        <v>2.5116509207084361</v>
      </c>
      <c r="I29" s="75">
        <f t="shared" si="1"/>
        <v>4.2195735467901729E-2</v>
      </c>
      <c r="J29" s="75">
        <f t="shared" ref="J29:J35" si="10">I29^2</f>
        <v>1.7804800916771399E-3</v>
      </c>
      <c r="K29" s="75">
        <f t="shared" si="3"/>
        <v>5.283515594764394E-8</v>
      </c>
      <c r="L29" s="56"/>
      <c r="M29" s="56"/>
      <c r="N29" s="56">
        <f>'drift beamex tc305-Pt100'!B10</f>
        <v>50</v>
      </c>
      <c r="O29" s="56">
        <f>'drift beamex tc305-Pt100'!C10</f>
        <v>-0.18559525594881193</v>
      </c>
      <c r="P29" s="56">
        <f>'drift beamex tc305-Pt100'!AN10</f>
        <v>2.3731242511599224E-2</v>
      </c>
      <c r="Q29" s="56"/>
      <c r="R29" s="56"/>
      <c r="S29" s="56"/>
      <c r="T29" s="56"/>
      <c r="U29" s="56"/>
      <c r="V29" s="56"/>
      <c r="W29" s="56"/>
      <c r="X29" s="56"/>
      <c r="Y29" s="56"/>
      <c r="Z29" s="57"/>
    </row>
    <row r="30" spans="1:26" ht="12.75" customHeight="1" x14ac:dyDescent="0.3">
      <c r="A30" s="75" t="s">
        <v>257</v>
      </c>
      <c r="B30" s="86" t="s">
        <v>63</v>
      </c>
      <c r="C30" s="75" t="s">
        <v>116</v>
      </c>
      <c r="D30" s="137">
        <f>ABS('Olahdata-PT100 C'!G18*0.1)</f>
        <v>3.8937991678316807E-3</v>
      </c>
      <c r="E30" s="75">
        <f>SQRT(3)</f>
        <v>1.7320508075688772</v>
      </c>
      <c r="F30" s="75">
        <v>50</v>
      </c>
      <c r="G30" s="75">
        <f t="shared" si="0"/>
        <v>2.248085997717962E-3</v>
      </c>
      <c r="H30" s="75">
        <f>H32</f>
        <v>2.5116509207084361</v>
      </c>
      <c r="I30" s="75">
        <f t="shared" si="1"/>
        <v>5.6464072660000622E-3</v>
      </c>
      <c r="J30" s="75">
        <f t="shared" si="10"/>
        <v>3.1881915013538295E-5</v>
      </c>
      <c r="K30" s="75">
        <f t="shared" si="3"/>
        <v>2.0329130098609572E-11</v>
      </c>
      <c r="L30" s="56"/>
      <c r="M30" s="56"/>
      <c r="N30" s="56">
        <f>'drift beamex tc305-Pt100'!B11</f>
        <v>100</v>
      </c>
      <c r="O30" s="56">
        <f>'drift beamex tc305-Pt100'!C11</f>
        <v>-0.19624812500000627</v>
      </c>
      <c r="P30" s="56">
        <f>'drift beamex tc305-Pt100'!AN11</f>
        <v>2.4286863359478855E-2</v>
      </c>
      <c r="Q30" s="56"/>
      <c r="R30" s="56"/>
      <c r="S30" s="56"/>
      <c r="T30" s="56"/>
      <c r="U30" s="56"/>
      <c r="V30" s="56"/>
      <c r="W30" s="56"/>
      <c r="X30" s="56"/>
      <c r="Y30" s="56"/>
      <c r="Z30" s="57"/>
    </row>
    <row r="31" spans="1:26" ht="12.75" customHeight="1" x14ac:dyDescent="0.3">
      <c r="A31" s="75" t="s">
        <v>258</v>
      </c>
      <c r="B31" s="86" t="s">
        <v>113</v>
      </c>
      <c r="C31" s="75" t="s">
        <v>117</v>
      </c>
      <c r="D31" s="77">
        <v>4.7E-2</v>
      </c>
      <c r="E31" s="75">
        <v>2</v>
      </c>
      <c r="F31" s="75">
        <v>60</v>
      </c>
      <c r="G31" s="75">
        <f t="shared" si="0"/>
        <v>2.35E-2</v>
      </c>
      <c r="H31" s="75">
        <v>1</v>
      </c>
      <c r="I31" s="75">
        <f t="shared" si="1"/>
        <v>2.35E-2</v>
      </c>
      <c r="J31" s="75">
        <f t="shared" si="10"/>
        <v>5.5225000000000001E-4</v>
      </c>
      <c r="K31" s="75">
        <f t="shared" si="3"/>
        <v>5.0830010416666668E-9</v>
      </c>
      <c r="L31" s="56"/>
      <c r="M31" s="56"/>
      <c r="N31" s="56">
        <f>'drift beamex tc305-Pt100'!B12</f>
        <v>150</v>
      </c>
      <c r="O31" s="56">
        <f>'drift beamex tc305-Pt100'!C12</f>
        <v>-0.19672327672328241</v>
      </c>
      <c r="P31" s="56">
        <f>'drift beamex tc305-Pt100'!AN12</f>
        <v>2.2746973167268012E-2</v>
      </c>
      <c r="Q31" s="56"/>
      <c r="R31" s="56"/>
      <c r="S31" s="56"/>
      <c r="T31" s="56"/>
      <c r="U31" s="56"/>
      <c r="V31" s="56"/>
      <c r="W31" s="56"/>
      <c r="X31" s="56"/>
      <c r="Y31" s="56"/>
      <c r="Z31" s="57"/>
    </row>
    <row r="32" spans="1:26" ht="12.75" customHeight="1" x14ac:dyDescent="0.3">
      <c r="A32" s="75" t="s">
        <v>255</v>
      </c>
      <c r="B32" s="86" t="s">
        <v>63</v>
      </c>
      <c r="C32" s="75" t="s">
        <v>116</v>
      </c>
      <c r="D32" s="82">
        <f>VLOOKUP(C21,Table1[],7,TRUE)</f>
        <v>2.627269644462233E-2</v>
      </c>
      <c r="E32" s="75">
        <f t="shared" ref="E32:E35" si="11">SQRT(3)</f>
        <v>1.7320508075688772</v>
      </c>
      <c r="F32" s="75">
        <v>50</v>
      </c>
      <c r="G32" s="75">
        <f t="shared" si="0"/>
        <v>1.5168548364640027E-2</v>
      </c>
      <c r="H32" s="289">
        <f>VLOOKUP(C21,Table1[#All],8,TRUE)</f>
        <v>2.5116509207084361</v>
      </c>
      <c r="I32" s="75">
        <f t="shared" si="1"/>
        <v>3.8098098465858564E-2</v>
      </c>
      <c r="J32" s="75">
        <f t="shared" si="10"/>
        <v>1.4514651067142547E-3</v>
      </c>
      <c r="K32" s="75">
        <f t="shared" si="3"/>
        <v>4.2135019120180458E-8</v>
      </c>
      <c r="L32" s="56"/>
      <c r="M32" s="56"/>
      <c r="N32" s="56">
        <f>'drift beamex tc305-Pt100'!B13</f>
        <v>200</v>
      </c>
      <c r="O32" s="56">
        <f>'drift beamex tc305-Pt100'!C13</f>
        <v>-0.24769769769769995</v>
      </c>
      <c r="P32" s="56">
        <f>'drift beamex tc305-Pt100'!AN13</f>
        <v>3.9348928574740795E-2</v>
      </c>
      <c r="Q32" s="56"/>
      <c r="R32" s="56"/>
      <c r="S32" s="56"/>
      <c r="T32" s="56"/>
      <c r="U32" s="56"/>
      <c r="V32" s="56"/>
      <c r="W32" s="56"/>
      <c r="X32" s="56"/>
      <c r="Y32" s="56"/>
      <c r="Z32" s="57"/>
    </row>
    <row r="33" spans="1:26" ht="12.75" customHeight="1" x14ac:dyDescent="0.3">
      <c r="A33" s="75" t="s">
        <v>260</v>
      </c>
      <c r="B33" s="86" t="s">
        <v>113</v>
      </c>
      <c r="C33" s="75" t="s">
        <v>116</v>
      </c>
      <c r="D33" s="75">
        <f>20/10^3</f>
        <v>0.02</v>
      </c>
      <c r="E33" s="75">
        <f t="shared" si="11"/>
        <v>1.7320508075688772</v>
      </c>
      <c r="F33" s="75">
        <v>50</v>
      </c>
      <c r="G33" s="75">
        <f t="shared" ref="G33" si="12">D33/E33</f>
        <v>1.1547005383792516E-2</v>
      </c>
      <c r="H33" s="75">
        <v>1</v>
      </c>
      <c r="I33" s="75">
        <f t="shared" si="1"/>
        <v>1.1547005383792516E-2</v>
      </c>
      <c r="J33" s="75">
        <f t="shared" ref="J33" si="13">I33^2</f>
        <v>1.3333333333333334E-4</v>
      </c>
      <c r="K33" s="75">
        <f t="shared" ref="K33" si="14">J33^2/F33</f>
        <v>3.555555555555556E-10</v>
      </c>
      <c r="L33" s="56"/>
      <c r="M33" s="56"/>
      <c r="N33" s="56">
        <f>'drift beamex tc305-Pt100'!B14</f>
        <v>250</v>
      </c>
      <c r="O33" s="56">
        <f>'drift beamex tc305-Pt100'!C14</f>
        <v>-0.19812312500000467</v>
      </c>
      <c r="P33" s="56">
        <f>'drift beamex tc305-Pt100'!AN14</f>
        <v>3.5281099826953606E-2</v>
      </c>
      <c r="Q33" s="56"/>
      <c r="R33" s="56"/>
      <c r="S33" s="56"/>
      <c r="T33" s="56"/>
      <c r="U33" s="56"/>
      <c r="V33" s="56"/>
      <c r="W33" s="56"/>
      <c r="X33" s="56"/>
      <c r="Y33" s="56"/>
      <c r="Z33" s="57"/>
    </row>
    <row r="34" spans="1:26" ht="12.75" customHeight="1" x14ac:dyDescent="0.3">
      <c r="A34" s="75" t="s">
        <v>261</v>
      </c>
      <c r="B34" s="86" t="s">
        <v>113</v>
      </c>
      <c r="C34" s="75" t="s">
        <v>116</v>
      </c>
      <c r="D34" s="339">
        <f>'Zero&amp;Air'!B3</f>
        <v>0.13561090819430338</v>
      </c>
      <c r="E34" s="75">
        <f t="shared" si="11"/>
        <v>1.7320508075688772</v>
      </c>
      <c r="F34" s="75">
        <v>50</v>
      </c>
      <c r="G34" s="75">
        <f t="shared" si="0"/>
        <v>7.8294994351030683E-2</v>
      </c>
      <c r="H34" s="75">
        <v>1</v>
      </c>
      <c r="I34" s="75">
        <f t="shared" si="1"/>
        <v>7.8294994351030683E-2</v>
      </c>
      <c r="J34" s="75">
        <f t="shared" si="10"/>
        <v>6.1301061404279268E-3</v>
      </c>
      <c r="K34" s="75">
        <f t="shared" si="3"/>
        <v>7.5156402585824351E-7</v>
      </c>
      <c r="L34" s="56"/>
      <c r="M34" s="56"/>
      <c r="N34" s="56">
        <f>'drift beamex tc305-Pt100'!B15</f>
        <v>300</v>
      </c>
      <c r="O34" s="56">
        <f>'drift beamex tc305-Pt100'!C15</f>
        <v>-0.19859827672323802</v>
      </c>
      <c r="P34" s="56">
        <f>'drift beamex tc305-Pt100'!AN15</f>
        <v>5.6195807621948417E-2</v>
      </c>
      <c r="T34" s="56"/>
      <c r="U34" s="56"/>
      <c r="V34" s="56"/>
      <c r="W34" s="56"/>
      <c r="X34" s="56"/>
      <c r="Y34" s="56"/>
      <c r="Z34" s="57"/>
    </row>
    <row r="35" spans="1:26" ht="12.75" customHeight="1" x14ac:dyDescent="0.3">
      <c r="A35" s="75" t="s">
        <v>262</v>
      </c>
      <c r="B35" s="253" t="s">
        <v>113</v>
      </c>
      <c r="C35" s="75" t="s">
        <v>116</v>
      </c>
      <c r="D35" s="339">
        <f>'Zero&amp;Air'!C3</f>
        <v>0.11249856339282101</v>
      </c>
      <c r="E35" s="75">
        <f t="shared" si="11"/>
        <v>1.7320508075688772</v>
      </c>
      <c r="F35" s="75">
        <v>50</v>
      </c>
      <c r="G35" s="75">
        <f t="shared" si="0"/>
        <v>6.4951075858291393E-2</v>
      </c>
      <c r="H35" s="75">
        <v>1</v>
      </c>
      <c r="I35" s="75">
        <f t="shared" ref="I35" si="15">G35*H35</f>
        <v>6.4951075858291393E-2</v>
      </c>
      <c r="J35" s="75">
        <f t="shared" si="10"/>
        <v>4.2186422551495229E-3</v>
      </c>
      <c r="K35" s="75">
        <f t="shared" si="3"/>
        <v>3.5593884953866102E-7</v>
      </c>
      <c r="L35" s="56"/>
      <c r="M35" s="56"/>
      <c r="N35" s="56">
        <f>'drift beamex tc305-Pt100'!B16</f>
        <v>350</v>
      </c>
      <c r="O35" s="56">
        <f>'drift beamex tc305-Pt100'!C16</f>
        <v>-0.24937249999998631</v>
      </c>
      <c r="P35" s="56">
        <f>'drift beamex tc305-Pt100'!AN16</f>
        <v>3.2900646950160754E-2</v>
      </c>
      <c r="T35" s="56"/>
      <c r="U35" s="56"/>
      <c r="V35" s="56"/>
      <c r="W35" s="56"/>
      <c r="X35" s="56"/>
      <c r="Y35" s="56"/>
      <c r="Z35" s="57"/>
    </row>
    <row r="36" spans="1:26" ht="12.75" customHeight="1" x14ac:dyDescent="0.3">
      <c r="A36" s="83" t="s">
        <v>118</v>
      </c>
      <c r="B36" s="84"/>
      <c r="C36" s="84"/>
      <c r="D36" s="85"/>
      <c r="E36" s="84"/>
      <c r="F36" s="84"/>
      <c r="G36" s="84"/>
      <c r="H36" s="84"/>
      <c r="I36" s="86"/>
      <c r="J36" s="75">
        <f>SUM(J24:J35)</f>
        <v>2.4997606562974584</v>
      </c>
      <c r="K36" s="56"/>
      <c r="L36" s="56"/>
      <c r="M36" s="56"/>
      <c r="N36" s="56">
        <f>'drift beamex tc305-Pt100'!B17</f>
        <v>400</v>
      </c>
      <c r="O36" s="56">
        <f>'drift beamex tc305-Pt100'!C17</f>
        <v>-0.24980519480519489</v>
      </c>
      <c r="P36" s="56">
        <f>'drift beamex tc305-Pt100'!AN17</f>
        <v>2.7438281861271993E-2</v>
      </c>
      <c r="T36" s="56"/>
      <c r="U36" s="56"/>
      <c r="V36" s="56"/>
      <c r="W36" s="56"/>
      <c r="X36" s="56"/>
      <c r="Y36" s="56"/>
      <c r="Z36" s="57"/>
    </row>
    <row r="37" spans="1:26" ht="12.75" customHeight="1" x14ac:dyDescent="0.3">
      <c r="A37" s="83" t="s">
        <v>119</v>
      </c>
      <c r="B37" s="84"/>
      <c r="C37" s="84"/>
      <c r="D37" s="85"/>
      <c r="E37" s="84"/>
      <c r="F37" s="84"/>
      <c r="G37" s="84"/>
      <c r="H37" s="84"/>
      <c r="I37" s="86"/>
      <c r="J37" s="75">
        <f>SQRT(J36)</f>
        <v>1.5810631411482143</v>
      </c>
      <c r="K37" s="56"/>
      <c r="L37" s="56"/>
      <c r="M37" s="56"/>
      <c r="N37" s="56">
        <f>'drift beamex tc305-Pt100'!B18</f>
        <v>450</v>
      </c>
      <c r="O37" s="56">
        <f>'drift beamex tc305-Pt100'!C18</f>
        <v>-0.29849400599399001</v>
      </c>
      <c r="P37" s="56">
        <f>'drift beamex tc305-Pt100'!AN18</f>
        <v>3.4259110512958726E-2</v>
      </c>
      <c r="T37" s="56"/>
      <c r="U37" s="56"/>
      <c r="V37" s="56"/>
      <c r="W37" s="56"/>
      <c r="X37" s="56"/>
      <c r="Y37" s="56"/>
      <c r="Z37" s="57"/>
    </row>
    <row r="38" spans="1:26" ht="12.75" customHeight="1" x14ac:dyDescent="0.3">
      <c r="A38" s="83" t="s">
        <v>120</v>
      </c>
      <c r="B38" s="84"/>
      <c r="C38" s="84"/>
      <c r="D38" s="85"/>
      <c r="E38" s="84"/>
      <c r="F38" s="84"/>
      <c r="G38" s="84"/>
      <c r="H38" s="84"/>
      <c r="I38" s="86"/>
      <c r="J38" s="75">
        <f>J37^4/SUM(K24:K35)</f>
        <v>9.1039687239019429</v>
      </c>
      <c r="K38" s="56"/>
      <c r="L38" s="56"/>
      <c r="M38" s="56"/>
      <c r="N38" s="56">
        <f>'drift beamex tc305-Pt100'!B19</f>
        <v>500</v>
      </c>
      <c r="O38" s="56">
        <f>'drift beamex tc305-Pt100'!C19</f>
        <v>-0.35030030030030029</v>
      </c>
      <c r="P38" s="56">
        <f>'drift beamex tc305-Pt100'!AN19</f>
        <v>4.5606377553217274E-2</v>
      </c>
      <c r="T38" s="56"/>
      <c r="U38" s="56"/>
      <c r="V38" s="56"/>
      <c r="W38" s="56"/>
      <c r="X38" s="56"/>
      <c r="Y38" s="56"/>
      <c r="Z38" s="57"/>
    </row>
    <row r="39" spans="1:26" ht="12.75" customHeight="1" x14ac:dyDescent="0.3">
      <c r="A39" s="83" t="s">
        <v>121</v>
      </c>
      <c r="B39" s="84"/>
      <c r="C39" s="84"/>
      <c r="D39" s="85"/>
      <c r="E39" s="84"/>
      <c r="F39" s="84"/>
      <c r="G39" s="84"/>
      <c r="H39" s="84"/>
      <c r="I39" s="86"/>
      <c r="J39" s="75">
        <f>1.95996+2.37356/J38+2.818745/J38^2+2.546662/J38^3+1.761829/J38^4+0.245458/J38^5+1.000764/J38^6</f>
        <v>2.2583232925907226</v>
      </c>
      <c r="K39" s="56"/>
      <c r="L39" s="56"/>
      <c r="M39" s="56"/>
      <c r="N39" s="56">
        <f>'drift beamex tc305-Pt100'!B20</f>
        <v>550</v>
      </c>
      <c r="O39" s="56">
        <f>'drift beamex tc305-Pt100'!C20</f>
        <v>-0.29975024975024972</v>
      </c>
      <c r="P39" s="56">
        <f>'drift beamex tc305-Pt100'!AN20</f>
        <v>2.1388354945948866E-2</v>
      </c>
      <c r="T39" s="56"/>
      <c r="U39" s="56"/>
      <c r="V39" s="56"/>
      <c r="W39" s="56"/>
      <c r="X39" s="56"/>
      <c r="Y39" s="56"/>
      <c r="Z39" s="57"/>
    </row>
    <row r="40" spans="1:26" ht="12.75" customHeight="1" x14ac:dyDescent="0.3">
      <c r="A40" s="83" t="s">
        <v>216</v>
      </c>
      <c r="B40" s="84"/>
      <c r="C40" s="84"/>
      <c r="D40" s="85"/>
      <c r="E40" s="84"/>
      <c r="F40" s="84"/>
      <c r="G40" s="84"/>
      <c r="H40" s="84"/>
      <c r="I40" s="86"/>
      <c r="J40" s="87">
        <f>J37*J39</f>
        <v>3.5705517187116658</v>
      </c>
      <c r="K40" s="56">
        <v>0.22</v>
      </c>
      <c r="L40" s="56"/>
      <c r="M40" s="56"/>
      <c r="N40" s="56">
        <f>'drift beamex tc305-Pt100'!B21</f>
        <v>600</v>
      </c>
      <c r="O40" s="56">
        <f>'drift beamex tc305-Pt100'!C21</f>
        <v>-0.35</v>
      </c>
      <c r="P40" s="56">
        <f>'drift beamex tc305-Pt100'!AN21</f>
        <v>4.1675534353521164E-2</v>
      </c>
      <c r="T40" s="56"/>
      <c r="U40" s="56"/>
      <c r="V40" s="56"/>
      <c r="W40" s="56"/>
      <c r="X40" s="56"/>
      <c r="Y40" s="56"/>
      <c r="Z40" s="57"/>
    </row>
    <row r="41" spans="1:26" ht="12.75" customHeight="1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Q41" s="56"/>
      <c r="R41" s="56"/>
      <c r="S41" s="56"/>
      <c r="T41" s="56"/>
      <c r="U41" s="56"/>
      <c r="V41" s="56"/>
      <c r="W41" s="56"/>
      <c r="X41" s="56"/>
      <c r="Y41" s="56"/>
      <c r="Z41" s="57"/>
    </row>
    <row r="42" spans="1:26" ht="12.75" customHeight="1" x14ac:dyDescent="0.3">
      <c r="A42" s="71" t="str">
        <f>A$21</f>
        <v>Rentang ukur PT100 (0~250) ⁰C</v>
      </c>
      <c r="B42" s="56"/>
      <c r="C42" s="72">
        <f>'Olahdata-PT100 C'!I19</f>
        <v>20.230448515476951</v>
      </c>
      <c r="D42" s="56"/>
      <c r="E42" s="56"/>
      <c r="F42" s="56"/>
      <c r="G42" s="56"/>
      <c r="H42" s="56"/>
      <c r="I42" s="56"/>
      <c r="J42" s="56"/>
      <c r="K42" s="56"/>
      <c r="L42" s="56"/>
      <c r="M42" s="56"/>
      <c r="Q42" s="56"/>
      <c r="R42" s="56"/>
      <c r="S42" s="56"/>
      <c r="T42" s="56"/>
      <c r="U42" s="56"/>
      <c r="V42" s="56"/>
      <c r="W42" s="56"/>
      <c r="X42" s="56"/>
      <c r="Y42" s="56"/>
      <c r="Z42" s="57"/>
    </row>
    <row r="43" spans="1:26" ht="12.75" customHeight="1" x14ac:dyDescent="0.3">
      <c r="A43" s="73" t="s">
        <v>87</v>
      </c>
      <c r="B43" s="88" t="s">
        <v>88</v>
      </c>
      <c r="C43" s="73" t="s">
        <v>89</v>
      </c>
      <c r="D43" s="74" t="s">
        <v>90</v>
      </c>
      <c r="E43" s="73" t="s">
        <v>91</v>
      </c>
      <c r="F43" s="73" t="s">
        <v>92</v>
      </c>
      <c r="G43" s="73" t="s">
        <v>93</v>
      </c>
      <c r="H43" s="73" t="s">
        <v>94</v>
      </c>
      <c r="I43" s="73" t="s">
        <v>95</v>
      </c>
      <c r="J43" s="73" t="s">
        <v>96</v>
      </c>
      <c r="K43" s="73" t="s">
        <v>97</v>
      </c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7"/>
    </row>
    <row r="44" spans="1:26" ht="12.75" customHeight="1" x14ac:dyDescent="0.3">
      <c r="A44" s="73" t="s">
        <v>98</v>
      </c>
      <c r="B44" s="88" t="s">
        <v>99</v>
      </c>
      <c r="C44" s="73" t="s">
        <v>100</v>
      </c>
      <c r="D44" s="74" t="s">
        <v>101</v>
      </c>
      <c r="E44" s="73" t="s">
        <v>102</v>
      </c>
      <c r="F44" s="73" t="s">
        <v>103</v>
      </c>
      <c r="G44" s="73" t="s">
        <v>104</v>
      </c>
      <c r="H44" s="73" t="s">
        <v>105</v>
      </c>
      <c r="I44" s="73" t="s">
        <v>106</v>
      </c>
      <c r="J44" s="73" t="s">
        <v>107</v>
      </c>
      <c r="K44" s="73" t="s">
        <v>108</v>
      </c>
      <c r="L44" s="56"/>
      <c r="M44" s="56"/>
      <c r="N44" s="57"/>
      <c r="O44" s="57"/>
      <c r="P44" s="57"/>
      <c r="Q44" s="56"/>
      <c r="R44" s="56"/>
      <c r="S44" s="56"/>
      <c r="T44" s="56"/>
      <c r="U44" s="56"/>
      <c r="V44" s="56"/>
      <c r="W44" s="56"/>
      <c r="X44" s="56"/>
      <c r="Y44" s="56"/>
      <c r="Z44" s="57"/>
    </row>
    <row r="45" spans="1:26" ht="12.75" customHeight="1" x14ac:dyDescent="0.3">
      <c r="A45" s="75" t="s">
        <v>112</v>
      </c>
      <c r="B45" s="86" t="s">
        <v>63</v>
      </c>
      <c r="C45" s="75" t="s">
        <v>114</v>
      </c>
      <c r="D45" s="81">
        <f>STDEV('Olahdata-PT100 C'!J19:N19)/SQRT(5)</f>
        <v>1.2247448713904752E-3</v>
      </c>
      <c r="E45" s="75">
        <v>1</v>
      </c>
      <c r="F45" s="75">
        <v>4</v>
      </c>
      <c r="G45" s="75">
        <f t="shared" ref="G45:G56" si="16">D45/E45</f>
        <v>1.2247448713904752E-3</v>
      </c>
      <c r="H45" s="75">
        <f>1/('Olahdata-PT100 C'!AE107-'Olahdata-PT100 C'!AD107)</f>
        <v>2.5672547617429289</v>
      </c>
      <c r="I45" s="75">
        <f t="shared" ref="I45:I46" si="17">G45*H45</f>
        <v>3.1442321029974286E-3</v>
      </c>
      <c r="J45" s="75">
        <f t="shared" ref="J45:J47" si="18">I45^2</f>
        <v>9.8861955175196327E-6</v>
      </c>
      <c r="K45" s="75">
        <f t="shared" ref="K45:K56" si="19">J45^2/F45</f>
        <v>2.4434215452656321E-11</v>
      </c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7"/>
    </row>
    <row r="46" spans="1:26" ht="12.75" customHeight="1" x14ac:dyDescent="0.3">
      <c r="A46" s="75" t="s">
        <v>115</v>
      </c>
      <c r="B46" s="86" t="s">
        <v>63</v>
      </c>
      <c r="C46" s="75" t="s">
        <v>116</v>
      </c>
      <c r="D46" s="80">
        <f>D25</f>
        <v>2.5000000000000001E-3</v>
      </c>
      <c r="E46" s="75">
        <f>SQRT(3)</f>
        <v>1.7320508075688772</v>
      </c>
      <c r="F46" s="75">
        <v>50</v>
      </c>
      <c r="G46" s="75">
        <f t="shared" si="16"/>
        <v>1.4433756729740645E-3</v>
      </c>
      <c r="H46" s="75">
        <f>H45</f>
        <v>2.5672547617429289</v>
      </c>
      <c r="I46" s="75">
        <f t="shared" si="17"/>
        <v>3.7055130694265714E-3</v>
      </c>
      <c r="J46" s="89">
        <f t="shared" si="18"/>
        <v>1.373082710769113E-5</v>
      </c>
      <c r="K46" s="75">
        <f t="shared" si="19"/>
        <v>3.770712261226111E-12</v>
      </c>
      <c r="L46" s="56"/>
      <c r="M46" s="56"/>
      <c r="N46" s="57"/>
      <c r="O46" s="57"/>
      <c r="P46" s="57"/>
      <c r="Q46" s="56"/>
      <c r="R46" s="56"/>
      <c r="S46" s="56"/>
      <c r="T46" s="56"/>
      <c r="U46" s="56"/>
      <c r="V46" s="56"/>
      <c r="W46" s="56"/>
      <c r="X46" s="56"/>
      <c r="Y46" s="56"/>
      <c r="Z46" s="57"/>
    </row>
    <row r="47" spans="1:26" ht="12.75" customHeight="1" x14ac:dyDescent="0.3">
      <c r="A47" s="78" t="s">
        <v>259</v>
      </c>
      <c r="B47" s="86" t="s">
        <v>113</v>
      </c>
      <c r="C47" s="75" t="s">
        <v>116</v>
      </c>
      <c r="D47" s="77">
        <f>4/10^3</f>
        <v>4.0000000000000001E-3</v>
      </c>
      <c r="E47" s="75">
        <f>SQRT(3)</f>
        <v>1.7320508075688772</v>
      </c>
      <c r="F47" s="75">
        <v>50</v>
      </c>
      <c r="G47" s="75">
        <f t="shared" si="16"/>
        <v>2.3094010767585032E-3</v>
      </c>
      <c r="H47" s="75">
        <v>1</v>
      </c>
      <c r="I47" s="75">
        <f>G47*H47</f>
        <v>2.3094010767585032E-3</v>
      </c>
      <c r="J47" s="75">
        <f t="shared" si="18"/>
        <v>5.3333333333333337E-6</v>
      </c>
      <c r="K47" s="75">
        <f t="shared" si="19"/>
        <v>5.6888888888888893E-13</v>
      </c>
      <c r="L47" s="56"/>
      <c r="M47" s="56"/>
      <c r="N47" s="57"/>
      <c r="O47" s="57"/>
      <c r="P47" s="57"/>
      <c r="Q47" s="56"/>
      <c r="R47" s="56"/>
      <c r="S47" s="56"/>
      <c r="T47" s="56"/>
      <c r="U47" s="56"/>
      <c r="V47" s="56"/>
      <c r="W47" s="56"/>
      <c r="X47" s="56"/>
      <c r="Y47" s="56"/>
      <c r="Z47" s="57"/>
    </row>
    <row r="48" spans="1:26" ht="12.75" customHeight="1" x14ac:dyDescent="0.3">
      <c r="A48" s="78" t="s">
        <v>254</v>
      </c>
      <c r="B48" s="86" t="s">
        <v>63</v>
      </c>
      <c r="C48" s="79" t="s">
        <v>117</v>
      </c>
      <c r="D48" s="80">
        <f>D$27</f>
        <v>0.61915312760021013</v>
      </c>
      <c r="E48" s="80">
        <v>1</v>
      </c>
      <c r="F48" s="80">
        <f>F$27</f>
        <v>9</v>
      </c>
      <c r="G48" s="81">
        <f t="shared" si="16"/>
        <v>0.61915312760021013</v>
      </c>
      <c r="H48" s="81">
        <f>H45</f>
        <v>2.5672547617429289</v>
      </c>
      <c r="I48" s="75">
        <f>G48*H48</f>
        <v>1.5895238150796667</v>
      </c>
      <c r="J48" s="75">
        <f t="shared" ref="J48" si="20">I48^2</f>
        <v>2.5265859587054185</v>
      </c>
      <c r="K48" s="81">
        <f t="shared" si="19"/>
        <v>0.70929295630304212</v>
      </c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7"/>
    </row>
    <row r="49" spans="1:26" ht="12.75" customHeight="1" x14ac:dyDescent="0.3">
      <c r="A49" s="75" t="s">
        <v>253</v>
      </c>
      <c r="B49" s="86" t="s">
        <v>63</v>
      </c>
      <c r="C49" s="75" t="s">
        <v>114</v>
      </c>
      <c r="D49" s="76">
        <f>STDEV('Olahdata-PT100 C'!A19:E19)/SQRT(5)</f>
        <v>1.2247448713904752E-3</v>
      </c>
      <c r="E49" s="75">
        <v>1</v>
      </c>
      <c r="F49" s="75">
        <v>4</v>
      </c>
      <c r="G49" s="75">
        <f>D49/E49</f>
        <v>1.2247448713904752E-3</v>
      </c>
      <c r="H49" s="75">
        <f>H53</f>
        <v>2.5264985484002591</v>
      </c>
      <c r="I49" s="75">
        <f>G49*H49</f>
        <v>3.0943161397286975E-3</v>
      </c>
      <c r="J49" s="75">
        <f>I49^2</f>
        <v>9.5747923725855091E-6</v>
      </c>
      <c r="K49" s="75">
        <f>J49^2/F49</f>
        <v>2.291916224453041E-11</v>
      </c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7"/>
    </row>
    <row r="50" spans="1:26" ht="12.75" customHeight="1" x14ac:dyDescent="0.3">
      <c r="A50" s="75" t="s">
        <v>256</v>
      </c>
      <c r="B50" s="86" t="s">
        <v>63</v>
      </c>
      <c r="C50" s="75" t="s">
        <v>117</v>
      </c>
      <c r="D50" s="339">
        <f>'Olahdata-PT100 C'!U19</f>
        <v>3.3600000000000005E-2</v>
      </c>
      <c r="E50" s="75">
        <v>2</v>
      </c>
      <c r="F50" s="75">
        <v>60</v>
      </c>
      <c r="G50" s="75">
        <f t="shared" si="16"/>
        <v>1.6800000000000002E-2</v>
      </c>
      <c r="H50" s="81">
        <f>H53</f>
        <v>2.5264985484002591</v>
      </c>
      <c r="I50" s="75">
        <f t="shared" ref="I50:I56" si="21">G50*H50</f>
        <v>4.2445175613124358E-2</v>
      </c>
      <c r="J50" s="75">
        <f t="shared" ref="J50:J56" si="22">I50^2</f>
        <v>1.8015929328289667E-3</v>
      </c>
      <c r="K50" s="75">
        <f t="shared" si="19"/>
        <v>5.4095618260321297E-8</v>
      </c>
      <c r="L50" s="56"/>
      <c r="M50" s="56"/>
      <c r="N50" s="57"/>
      <c r="O50" s="57"/>
      <c r="P50" s="57"/>
      <c r="Q50" s="56"/>
      <c r="R50" s="56"/>
      <c r="S50" s="56"/>
      <c r="T50" s="56"/>
      <c r="U50" s="56"/>
      <c r="V50" s="56"/>
      <c r="W50" s="56"/>
      <c r="X50" s="56"/>
      <c r="Y50" s="56"/>
      <c r="Z50" s="57"/>
    </row>
    <row r="51" spans="1:26" ht="12.75" customHeight="1" x14ac:dyDescent="0.3">
      <c r="A51" s="75" t="s">
        <v>257</v>
      </c>
      <c r="B51" s="86" t="s">
        <v>63</v>
      </c>
      <c r="C51" s="75" t="s">
        <v>116</v>
      </c>
      <c r="D51" s="136">
        <f>0.1*ABS('Olahdata-PT100 C'!G19)</f>
        <v>4.4024375396570651E-3</v>
      </c>
      <c r="E51" s="75">
        <f>SQRT(3)</f>
        <v>1.7320508075688772</v>
      </c>
      <c r="F51" s="75">
        <v>50</v>
      </c>
      <c r="G51" s="75">
        <f t="shared" si="16"/>
        <v>2.5417484986115205E-3</v>
      </c>
      <c r="H51" s="75">
        <f>H53</f>
        <v>2.5264985484002591</v>
      </c>
      <c r="I51" s="75">
        <f t="shared" si="21"/>
        <v>6.4217238921405444E-3</v>
      </c>
      <c r="J51" s="75">
        <f t="shared" si="22"/>
        <v>4.1238537746888706E-5</v>
      </c>
      <c r="K51" s="75">
        <f t="shared" si="19"/>
        <v>3.4012339910031288E-11</v>
      </c>
      <c r="L51" s="56"/>
      <c r="M51" s="56"/>
      <c r="N51" s="57"/>
      <c r="O51" s="57"/>
      <c r="P51" s="57"/>
      <c r="Q51" s="56"/>
      <c r="R51" s="56"/>
      <c r="S51" s="56"/>
      <c r="T51" s="56"/>
      <c r="U51" s="56"/>
      <c r="V51" s="56"/>
      <c r="W51" s="56"/>
      <c r="X51" s="56"/>
      <c r="Y51" s="56"/>
      <c r="Z51" s="57"/>
    </row>
    <row r="52" spans="1:26" ht="12.75" customHeight="1" x14ac:dyDescent="0.3">
      <c r="A52" s="75" t="s">
        <v>258</v>
      </c>
      <c r="B52" s="86" t="s">
        <v>113</v>
      </c>
      <c r="C52" s="75" t="s">
        <v>117</v>
      </c>
      <c r="D52" s="80">
        <v>0.19</v>
      </c>
      <c r="E52" s="75">
        <v>2</v>
      </c>
      <c r="F52" s="75">
        <v>60</v>
      </c>
      <c r="G52" s="75">
        <f t="shared" si="16"/>
        <v>9.5000000000000001E-2</v>
      </c>
      <c r="H52" s="75">
        <v>1</v>
      </c>
      <c r="I52" s="75">
        <f t="shared" si="21"/>
        <v>9.5000000000000001E-2</v>
      </c>
      <c r="J52" s="75">
        <f t="shared" si="22"/>
        <v>9.025E-3</v>
      </c>
      <c r="K52" s="75">
        <f t="shared" si="19"/>
        <v>1.3575104166666666E-6</v>
      </c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7"/>
    </row>
    <row r="53" spans="1:26" ht="12.75" customHeight="1" x14ac:dyDescent="0.3">
      <c r="A53" s="75" t="s">
        <v>255</v>
      </c>
      <c r="B53" s="86" t="s">
        <v>63</v>
      </c>
      <c r="C53" s="75" t="s">
        <v>116</v>
      </c>
      <c r="D53" s="82">
        <f>VLOOKUP(C42,Table1[],7,TRUE)</f>
        <v>3.6536740106952174E-2</v>
      </c>
      <c r="E53" s="75">
        <f t="shared" ref="E53:E56" si="23">SQRT(3)</f>
        <v>1.7320508075688772</v>
      </c>
      <c r="F53" s="75">
        <v>50</v>
      </c>
      <c r="G53" s="75">
        <f t="shared" si="16"/>
        <v>2.1094496736060234E-2</v>
      </c>
      <c r="H53" s="289">
        <f>VLOOKUP(C42,Table1[#All],8,TRUE)</f>
        <v>2.5264985484002591</v>
      </c>
      <c r="I53" s="75">
        <f t="shared" si="21"/>
        <v>5.3295215382890185E-2</v>
      </c>
      <c r="J53" s="75">
        <f t="shared" si="22"/>
        <v>2.8403799827086545E-3</v>
      </c>
      <c r="K53" s="75">
        <f t="shared" si="19"/>
        <v>1.6135516892344035E-7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7"/>
    </row>
    <row r="54" spans="1:26" ht="12.75" customHeight="1" x14ac:dyDescent="0.3">
      <c r="A54" s="75" t="s">
        <v>260</v>
      </c>
      <c r="B54" s="86" t="s">
        <v>113</v>
      </c>
      <c r="C54" s="75" t="s">
        <v>116</v>
      </c>
      <c r="D54" s="75">
        <f>20/10^3</f>
        <v>0.02</v>
      </c>
      <c r="E54" s="75">
        <f t="shared" si="23"/>
        <v>1.7320508075688772</v>
      </c>
      <c r="F54" s="75">
        <v>50</v>
      </c>
      <c r="G54" s="75">
        <f t="shared" si="16"/>
        <v>1.1547005383792516E-2</v>
      </c>
      <c r="H54" s="75">
        <v>1</v>
      </c>
      <c r="I54" s="75">
        <f>G54*H54</f>
        <v>1.1547005383792516E-2</v>
      </c>
      <c r="J54" s="75">
        <f t="shared" si="22"/>
        <v>1.3333333333333334E-4</v>
      </c>
      <c r="K54" s="75">
        <f t="shared" si="19"/>
        <v>3.555555555555556E-10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7"/>
    </row>
    <row r="55" spans="1:26" ht="12.75" customHeight="1" x14ac:dyDescent="0.3">
      <c r="A55" s="75" t="s">
        <v>261</v>
      </c>
      <c r="B55" s="86" t="s">
        <v>113</v>
      </c>
      <c r="C55" s="75" t="s">
        <v>116</v>
      </c>
      <c r="D55" s="339">
        <f>'Zero&amp;Air'!B7</f>
        <v>0.18793095733300547</v>
      </c>
      <c r="E55" s="75">
        <f t="shared" si="23"/>
        <v>1.7320508075688772</v>
      </c>
      <c r="F55" s="75">
        <v>50</v>
      </c>
      <c r="G55" s="75">
        <f t="shared" si="16"/>
        <v>0.10850198880527478</v>
      </c>
      <c r="H55" s="75">
        <v>1</v>
      </c>
      <c r="I55" s="75">
        <f t="shared" si="21"/>
        <v>0.10850198880527478</v>
      </c>
      <c r="J55" s="75">
        <f t="shared" si="22"/>
        <v>1.1772681574699975E-2</v>
      </c>
      <c r="K55" s="75">
        <f t="shared" si="19"/>
        <v>2.7719206291856055E-6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7"/>
    </row>
    <row r="56" spans="1:26" ht="12.75" customHeight="1" x14ac:dyDescent="0.3">
      <c r="A56" s="75" t="s">
        <v>262</v>
      </c>
      <c r="B56" s="253" t="s">
        <v>113</v>
      </c>
      <c r="C56" s="75" t="s">
        <v>116</v>
      </c>
      <c r="D56" s="339">
        <f>'Zero&amp;Air'!C7</f>
        <v>5.0943572555205208E-2</v>
      </c>
      <c r="E56" s="75">
        <f t="shared" si="23"/>
        <v>1.7320508075688772</v>
      </c>
      <c r="F56" s="75">
        <v>50</v>
      </c>
      <c r="G56" s="75">
        <f t="shared" si="16"/>
        <v>2.9412285328228961E-2</v>
      </c>
      <c r="H56" s="75">
        <v>1</v>
      </c>
      <c r="I56" s="75">
        <f t="shared" si="21"/>
        <v>2.9412285328228961E-2</v>
      </c>
      <c r="J56" s="75">
        <f t="shared" si="22"/>
        <v>8.6508252822915257E-4</v>
      </c>
      <c r="K56" s="75">
        <f t="shared" si="19"/>
        <v>1.4967355612946851E-8</v>
      </c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7"/>
    </row>
    <row r="57" spans="1:26" ht="12.75" customHeight="1" x14ac:dyDescent="0.3">
      <c r="A57" s="90" t="s">
        <v>118</v>
      </c>
      <c r="B57" s="91"/>
      <c r="C57" s="91"/>
      <c r="D57" s="92"/>
      <c r="E57" s="91"/>
      <c r="F57" s="91"/>
      <c r="G57" s="91"/>
      <c r="H57" s="91"/>
      <c r="I57" s="93"/>
      <c r="J57" s="75">
        <f>SUM(J45:J56)</f>
        <v>2.5531037927432969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7"/>
    </row>
    <row r="58" spans="1:26" ht="12.75" customHeight="1" x14ac:dyDescent="0.3">
      <c r="A58" s="83" t="s">
        <v>119</v>
      </c>
      <c r="B58" s="84"/>
      <c r="C58" s="84"/>
      <c r="D58" s="85"/>
      <c r="E58" s="84"/>
      <c r="F58" s="84"/>
      <c r="G58" s="84"/>
      <c r="H58" s="84"/>
      <c r="I58" s="86"/>
      <c r="J58" s="75">
        <f>SQRT(J57)</f>
        <v>1.5978434819290959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7"/>
    </row>
    <row r="59" spans="1:26" ht="12.75" customHeight="1" x14ac:dyDescent="0.3">
      <c r="A59" s="83" t="s">
        <v>120</v>
      </c>
      <c r="B59" s="84"/>
      <c r="C59" s="84"/>
      <c r="D59" s="85"/>
      <c r="E59" s="84"/>
      <c r="F59" s="84"/>
      <c r="G59" s="84"/>
      <c r="H59" s="84"/>
      <c r="I59" s="86"/>
      <c r="J59" s="75">
        <f>J58^4/SUM(K45:K56)</f>
        <v>9.1898542741223466</v>
      </c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7"/>
    </row>
    <row r="60" spans="1:26" ht="12.75" customHeight="1" x14ac:dyDescent="0.3">
      <c r="A60" s="83" t="s">
        <v>121</v>
      </c>
      <c r="B60" s="84"/>
      <c r="C60" s="84"/>
      <c r="D60" s="85"/>
      <c r="E60" s="84"/>
      <c r="F60" s="84"/>
      <c r="G60" s="84"/>
      <c r="H60" s="84"/>
      <c r="I60" s="86"/>
      <c r="J60" s="75">
        <f>1.95996+2.37356/J59+2.818745/J59^2+2.546662/J59^3+1.761829/J59^4+0.245458/J59^5+1.000764/J59^6</f>
        <v>2.2551505305840029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7"/>
    </row>
    <row r="61" spans="1:26" ht="12.75" customHeight="1" x14ac:dyDescent="0.3">
      <c r="A61" s="83" t="s">
        <v>216</v>
      </c>
      <c r="B61" s="84"/>
      <c r="C61" s="84"/>
      <c r="D61" s="85"/>
      <c r="E61" s="84"/>
      <c r="F61" s="84"/>
      <c r="G61" s="84"/>
      <c r="H61" s="84"/>
      <c r="I61" s="86"/>
      <c r="J61" s="87">
        <f>J58*J60</f>
        <v>3.6033775760625915</v>
      </c>
      <c r="K61" s="56">
        <v>0.22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7"/>
    </row>
    <row r="62" spans="1:26" ht="12.75" customHeight="1" x14ac:dyDescent="0.3">
      <c r="A62" s="94"/>
      <c r="B62" s="94"/>
      <c r="C62" s="94"/>
      <c r="D62" s="94"/>
      <c r="E62" s="94"/>
      <c r="F62" s="94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7"/>
    </row>
    <row r="63" spans="1:26" ht="12.75" customHeight="1" x14ac:dyDescent="0.3">
      <c r="A63" s="71" t="str">
        <f>A$21</f>
        <v>Rentang ukur PT100 (0~250) ⁰C</v>
      </c>
      <c r="B63" s="56"/>
      <c r="C63" s="72">
        <f>'Olahdata-PT100 C'!I20</f>
        <v>50.111172354563166</v>
      </c>
      <c r="D63" s="56"/>
      <c r="E63" s="56"/>
      <c r="F63" s="91"/>
      <c r="G63" s="56"/>
      <c r="H63" s="56"/>
      <c r="I63" s="56"/>
      <c r="J63" s="56"/>
      <c r="K63" s="56"/>
      <c r="L63" s="56"/>
      <c r="M63" s="56"/>
      <c r="N63" s="57"/>
      <c r="O63" s="57"/>
      <c r="P63" s="57"/>
      <c r="Q63" s="56"/>
      <c r="R63" s="56"/>
      <c r="S63" s="56"/>
      <c r="T63" s="56"/>
      <c r="U63" s="56"/>
      <c r="V63" s="56"/>
      <c r="W63" s="56"/>
      <c r="X63" s="56"/>
      <c r="Y63" s="56"/>
      <c r="Z63" s="57"/>
    </row>
    <row r="64" spans="1:26" ht="12.75" customHeight="1" x14ac:dyDescent="0.3">
      <c r="A64" s="73" t="s">
        <v>87</v>
      </c>
      <c r="B64" s="73" t="s">
        <v>88</v>
      </c>
      <c r="C64" s="73" t="s">
        <v>89</v>
      </c>
      <c r="D64" s="74" t="s">
        <v>90</v>
      </c>
      <c r="E64" s="73" t="s">
        <v>91</v>
      </c>
      <c r="F64" s="88" t="s">
        <v>92</v>
      </c>
      <c r="G64" s="73" t="s">
        <v>93</v>
      </c>
      <c r="H64" s="73" t="s">
        <v>94</v>
      </c>
      <c r="I64" s="73" t="s">
        <v>95</v>
      </c>
      <c r="J64" s="73" t="s">
        <v>96</v>
      </c>
      <c r="K64" s="73" t="s">
        <v>97</v>
      </c>
      <c r="L64" s="96"/>
      <c r="M64" s="96"/>
      <c r="N64" s="95"/>
      <c r="O64" s="95"/>
      <c r="P64" s="95"/>
      <c r="Q64" s="96"/>
      <c r="R64" s="96"/>
      <c r="S64" s="96"/>
      <c r="T64" s="96"/>
      <c r="U64" s="96"/>
      <c r="V64" s="96"/>
      <c r="W64" s="96"/>
      <c r="X64" s="96"/>
      <c r="Y64" s="96"/>
      <c r="Z64" s="95"/>
    </row>
    <row r="65" spans="1:26" ht="12.75" customHeight="1" x14ac:dyDescent="0.3">
      <c r="A65" s="73" t="s">
        <v>98</v>
      </c>
      <c r="B65" s="73" t="s">
        <v>99</v>
      </c>
      <c r="C65" s="73" t="s">
        <v>100</v>
      </c>
      <c r="D65" s="74" t="s">
        <v>101</v>
      </c>
      <c r="E65" s="73" t="s">
        <v>102</v>
      </c>
      <c r="F65" s="88" t="s">
        <v>103</v>
      </c>
      <c r="G65" s="73" t="s">
        <v>104</v>
      </c>
      <c r="H65" s="73" t="s">
        <v>105</v>
      </c>
      <c r="I65" s="73" t="s">
        <v>106</v>
      </c>
      <c r="J65" s="73" t="s">
        <v>107</v>
      </c>
      <c r="K65" s="73" t="s">
        <v>108</v>
      </c>
      <c r="L65" s="96"/>
      <c r="M65" s="96"/>
      <c r="N65" s="95"/>
      <c r="O65" s="95"/>
      <c r="P65" s="95"/>
      <c r="Q65" s="96"/>
      <c r="R65" s="96"/>
      <c r="S65" s="96"/>
      <c r="T65" s="96"/>
      <c r="U65" s="96"/>
      <c r="V65" s="96"/>
      <c r="W65" s="96"/>
      <c r="X65" s="96"/>
      <c r="Y65" s="96"/>
      <c r="Z65" s="95"/>
    </row>
    <row r="66" spans="1:26" ht="12.75" customHeight="1" x14ac:dyDescent="0.3">
      <c r="A66" s="75" t="s">
        <v>112</v>
      </c>
      <c r="B66" s="86" t="s">
        <v>63</v>
      </c>
      <c r="C66" s="75" t="s">
        <v>114</v>
      </c>
      <c r="D66" s="76">
        <f>STDEV('Olahdata-PT100 C'!J20:N20)/SQRT(5)</f>
        <v>1.8708286933852691E-3</v>
      </c>
      <c r="E66" s="75">
        <v>1</v>
      </c>
      <c r="F66" s="75">
        <v>4</v>
      </c>
      <c r="G66" s="75">
        <f t="shared" ref="G66:G77" si="24">D66/E66</f>
        <v>1.8708286933852691E-3</v>
      </c>
      <c r="H66" s="75">
        <f>ABS('Olahdata-PT100 C'!W111)</f>
        <v>2.5885916962578723</v>
      </c>
      <c r="I66" s="75">
        <f t="shared" ref="I66:I67" si="25">G66*H66</f>
        <v>4.842811620818073E-3</v>
      </c>
      <c r="J66" s="75">
        <f t="shared" ref="J66:J68" si="26">I66^2</f>
        <v>2.345282439473057E-5</v>
      </c>
      <c r="K66" s="75">
        <f t="shared" ref="K66:K77" si="27">J66^2/F66</f>
        <v>1.3750874302251733E-10</v>
      </c>
      <c r="L66" s="56"/>
      <c r="M66" s="56"/>
      <c r="N66" s="57"/>
      <c r="O66" s="57"/>
      <c r="P66" s="57"/>
      <c r="Q66" s="56"/>
      <c r="R66" s="56"/>
      <c r="S66" s="56"/>
      <c r="T66" s="56"/>
      <c r="U66" s="56"/>
      <c r="V66" s="56"/>
      <c r="W66" s="56"/>
      <c r="X66" s="56"/>
      <c r="Y66" s="56"/>
      <c r="Z66" s="57"/>
    </row>
    <row r="67" spans="1:26" ht="12.75" customHeight="1" x14ac:dyDescent="0.3">
      <c r="A67" s="75" t="s">
        <v>115</v>
      </c>
      <c r="B67" s="86" t="s">
        <v>63</v>
      </c>
      <c r="C67" s="75" t="s">
        <v>116</v>
      </c>
      <c r="D67" s="81">
        <f>D25</f>
        <v>2.5000000000000001E-3</v>
      </c>
      <c r="E67" s="75">
        <f>SQRT(3)</f>
        <v>1.7320508075688772</v>
      </c>
      <c r="F67" s="75">
        <v>50</v>
      </c>
      <c r="G67" s="75">
        <f t="shared" si="24"/>
        <v>1.4433756729740645E-3</v>
      </c>
      <c r="H67" s="75">
        <f>H66</f>
        <v>2.5885916962578723</v>
      </c>
      <c r="I67" s="75">
        <f t="shared" si="25"/>
        <v>3.7363102816412815E-3</v>
      </c>
      <c r="J67" s="75">
        <f t="shared" si="26"/>
        <v>1.3960014520698353E-5</v>
      </c>
      <c r="K67" s="75">
        <f t="shared" si="27"/>
        <v>3.8976401083621768E-12</v>
      </c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7"/>
    </row>
    <row r="68" spans="1:26" ht="12.75" customHeight="1" x14ac:dyDescent="0.3">
      <c r="A68" s="78" t="s">
        <v>259</v>
      </c>
      <c r="B68" s="86" t="s">
        <v>113</v>
      </c>
      <c r="C68" s="75" t="s">
        <v>116</v>
      </c>
      <c r="D68" s="77">
        <f>4/10^3</f>
        <v>4.0000000000000001E-3</v>
      </c>
      <c r="E68" s="75">
        <f>SQRT(3)</f>
        <v>1.7320508075688772</v>
      </c>
      <c r="F68" s="75">
        <v>50</v>
      </c>
      <c r="G68" s="75">
        <f t="shared" si="24"/>
        <v>2.3094010767585032E-3</v>
      </c>
      <c r="H68" s="75">
        <v>1</v>
      </c>
      <c r="I68" s="75">
        <f>G68*H68</f>
        <v>2.3094010767585032E-3</v>
      </c>
      <c r="J68" s="75">
        <f t="shared" si="26"/>
        <v>5.3333333333333337E-6</v>
      </c>
      <c r="K68" s="75">
        <f t="shared" si="27"/>
        <v>5.6888888888888893E-13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7"/>
    </row>
    <row r="69" spans="1:26" ht="12.75" customHeight="1" x14ac:dyDescent="0.3">
      <c r="A69" s="78" t="s">
        <v>254</v>
      </c>
      <c r="B69" s="86" t="s">
        <v>63</v>
      </c>
      <c r="C69" s="79" t="s">
        <v>117</v>
      </c>
      <c r="D69" s="80">
        <f>D$27</f>
        <v>0.61915312760021013</v>
      </c>
      <c r="E69" s="80">
        <v>1</v>
      </c>
      <c r="F69" s="80">
        <f>F$27</f>
        <v>9</v>
      </c>
      <c r="G69" s="81">
        <f t="shared" si="24"/>
        <v>0.61915312760021013</v>
      </c>
      <c r="H69" s="81">
        <f>H66</f>
        <v>2.5885916962578723</v>
      </c>
      <c r="I69" s="75">
        <f>G69*H69</f>
        <v>1.6027346448179949</v>
      </c>
      <c r="J69" s="75">
        <f t="shared" ref="J69" si="28">I69^2</f>
        <v>2.5687583416998643</v>
      </c>
      <c r="K69" s="81">
        <f t="shared" si="27"/>
        <v>0.73316882422807073</v>
      </c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7"/>
    </row>
    <row r="70" spans="1:26" ht="12.75" customHeight="1" x14ac:dyDescent="0.3">
      <c r="A70" s="75" t="s">
        <v>253</v>
      </c>
      <c r="B70" s="86" t="s">
        <v>63</v>
      </c>
      <c r="C70" s="75" t="s">
        <v>114</v>
      </c>
      <c r="D70" s="76">
        <f>STDEV('Olahdata-PT100 C'!A20:E20)/SQRT(5)</f>
        <v>1.224744871393956E-3</v>
      </c>
      <c r="E70" s="75">
        <v>1</v>
      </c>
      <c r="F70" s="75">
        <v>4</v>
      </c>
      <c r="G70" s="75">
        <f>D70/E70</f>
        <v>1.224744871393956E-3</v>
      </c>
      <c r="H70" s="75">
        <f>H74</f>
        <v>2.5491020787927452</v>
      </c>
      <c r="I70" s="75">
        <f>G70*H70</f>
        <v>3.1219996976610863E-3</v>
      </c>
      <c r="J70" s="75">
        <f>I70^2</f>
        <v>9.7468821121959146E-6</v>
      </c>
      <c r="K70" s="75">
        <f>J70^2/F70</f>
        <v>2.3750427727261175E-11</v>
      </c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7"/>
    </row>
    <row r="71" spans="1:26" ht="12.75" customHeight="1" x14ac:dyDescent="0.3">
      <c r="A71" s="75" t="s">
        <v>256</v>
      </c>
      <c r="B71" s="86" t="s">
        <v>63</v>
      </c>
      <c r="C71" s="75" t="s">
        <v>117</v>
      </c>
      <c r="D71" s="338">
        <f>'Olahdata-PT100 C'!U19</f>
        <v>3.3600000000000005E-2</v>
      </c>
      <c r="E71" s="75">
        <v>2</v>
      </c>
      <c r="F71" s="75">
        <v>60</v>
      </c>
      <c r="G71" s="75">
        <f t="shared" si="24"/>
        <v>1.6800000000000002E-2</v>
      </c>
      <c r="H71" s="81">
        <f>H74</f>
        <v>2.5491020787927452</v>
      </c>
      <c r="I71" s="75">
        <f t="shared" ref="I71:I77" si="29">G71*H71</f>
        <v>4.2824914923718128E-2</v>
      </c>
      <c r="J71" s="75">
        <f t="shared" ref="J71:J77" si="30">I71^2</f>
        <v>1.8339733382236956E-3</v>
      </c>
      <c r="K71" s="75">
        <f t="shared" si="27"/>
        <v>5.6057636755256101E-8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7"/>
    </row>
    <row r="72" spans="1:26" ht="12.75" customHeight="1" x14ac:dyDescent="0.3">
      <c r="A72" s="75" t="s">
        <v>257</v>
      </c>
      <c r="B72" s="86" t="s">
        <v>63</v>
      </c>
      <c r="C72" s="75" t="s">
        <v>116</v>
      </c>
      <c r="D72" s="138">
        <f>0.1*ABS('Olahdata-PT100 C'!G20)</f>
        <v>4.9094867369685819E-3</v>
      </c>
      <c r="E72" s="75">
        <f>SQRT(3)</f>
        <v>1.7320508075688772</v>
      </c>
      <c r="F72" s="75">
        <v>50</v>
      </c>
      <c r="G72" s="75">
        <f t="shared" si="24"/>
        <v>2.8344934891717083E-3</v>
      </c>
      <c r="H72" s="75">
        <f>H74</f>
        <v>2.5491020787927452</v>
      </c>
      <c r="I72" s="75">
        <f t="shared" si="29"/>
        <v>7.2254132455721034E-3</v>
      </c>
      <c r="J72" s="75">
        <f t="shared" si="30"/>
        <v>5.2206596569288796E-5</v>
      </c>
      <c r="K72" s="75">
        <f t="shared" si="27"/>
        <v>5.4510574506969533E-11</v>
      </c>
      <c r="L72" s="56"/>
      <c r="M72" s="56"/>
      <c r="N72" s="97"/>
      <c r="O72" s="98"/>
      <c r="P72" s="98"/>
      <c r="Q72" s="56"/>
      <c r="R72" s="56"/>
      <c r="S72" s="56"/>
      <c r="T72" s="56"/>
      <c r="U72" s="56"/>
      <c r="V72" s="56"/>
      <c r="W72" s="56"/>
      <c r="X72" s="56"/>
      <c r="Y72" s="56"/>
      <c r="Z72" s="57"/>
    </row>
    <row r="73" spans="1:26" ht="12.75" customHeight="1" x14ac:dyDescent="0.3">
      <c r="A73" s="75" t="s">
        <v>258</v>
      </c>
      <c r="B73" s="86" t="s">
        <v>113</v>
      </c>
      <c r="C73" s="75" t="s">
        <v>117</v>
      </c>
      <c r="D73" s="77">
        <v>0.19</v>
      </c>
      <c r="E73" s="75">
        <v>2</v>
      </c>
      <c r="F73" s="75">
        <v>60</v>
      </c>
      <c r="G73" s="75">
        <f t="shared" si="24"/>
        <v>9.5000000000000001E-2</v>
      </c>
      <c r="H73" s="75">
        <v>1</v>
      </c>
      <c r="I73" s="75">
        <f t="shared" si="29"/>
        <v>9.5000000000000001E-2</v>
      </c>
      <c r="J73" s="75">
        <f t="shared" si="30"/>
        <v>9.025E-3</v>
      </c>
      <c r="K73" s="75">
        <f t="shared" si="27"/>
        <v>1.3575104166666666E-6</v>
      </c>
      <c r="L73" s="56"/>
      <c r="M73" s="56"/>
      <c r="N73" s="97"/>
      <c r="O73" s="98"/>
      <c r="P73" s="98"/>
      <c r="Q73" s="56"/>
      <c r="R73" s="56"/>
      <c r="S73" s="56"/>
      <c r="T73" s="56"/>
      <c r="U73" s="56"/>
      <c r="V73" s="56"/>
      <c r="W73" s="56"/>
      <c r="X73" s="56"/>
      <c r="Y73" s="56"/>
      <c r="Z73" s="57"/>
    </row>
    <row r="74" spans="1:26" ht="12.75" customHeight="1" x14ac:dyDescent="0.3">
      <c r="A74" s="75" t="s">
        <v>255</v>
      </c>
      <c r="B74" s="86" t="s">
        <v>63</v>
      </c>
      <c r="C74" s="75" t="s">
        <v>116</v>
      </c>
      <c r="D74" s="82">
        <f>VLOOKUP(C63,Table1[],7,TRUE)</f>
        <v>5.0813377494470242E-2</v>
      </c>
      <c r="E74" s="75">
        <f t="shared" ref="E74:E77" si="31">SQRT(3)</f>
        <v>1.7320508075688772</v>
      </c>
      <c r="F74" s="75">
        <v>50</v>
      </c>
      <c r="G74" s="75">
        <f t="shared" si="24"/>
        <v>2.9337117174866468E-2</v>
      </c>
      <c r="H74" s="289">
        <f>VLOOKUP(C63,Table1[#All],8,TRUE)</f>
        <v>2.5491020787927452</v>
      </c>
      <c r="I74" s="75">
        <f t="shared" si="29"/>
        <v>7.4783306376238465E-2</v>
      </c>
      <c r="J74" s="75">
        <f t="shared" si="30"/>
        <v>5.5925429125623484E-3</v>
      </c>
      <c r="K74" s="75">
        <f t="shared" si="27"/>
        <v>6.2553072457702716E-7</v>
      </c>
      <c r="L74" s="56"/>
      <c r="M74" s="56"/>
      <c r="N74" s="97"/>
      <c r="O74" s="98"/>
      <c r="P74" s="98"/>
      <c r="Q74" s="56"/>
      <c r="R74" s="56"/>
      <c r="S74" s="56"/>
      <c r="T74" s="56"/>
      <c r="U74" s="56"/>
      <c r="V74" s="56"/>
      <c r="W74" s="56"/>
      <c r="X74" s="56"/>
      <c r="Y74" s="56"/>
      <c r="Z74" s="57"/>
    </row>
    <row r="75" spans="1:26" ht="12.75" customHeight="1" x14ac:dyDescent="0.3">
      <c r="A75" s="75" t="s">
        <v>260</v>
      </c>
      <c r="B75" s="86" t="s">
        <v>113</v>
      </c>
      <c r="C75" s="75" t="s">
        <v>116</v>
      </c>
      <c r="D75" s="75">
        <f>20/10^3</f>
        <v>0.02</v>
      </c>
      <c r="E75" s="75">
        <f t="shared" si="31"/>
        <v>1.7320508075688772</v>
      </c>
      <c r="F75" s="75">
        <v>50</v>
      </c>
      <c r="G75" s="75">
        <f t="shared" si="24"/>
        <v>1.1547005383792516E-2</v>
      </c>
      <c r="H75" s="75">
        <v>1</v>
      </c>
      <c r="I75" s="75">
        <f>G75*H75</f>
        <v>1.1547005383792516E-2</v>
      </c>
      <c r="J75" s="75">
        <f t="shared" si="30"/>
        <v>1.3333333333333334E-4</v>
      </c>
      <c r="K75" s="75">
        <f t="shared" si="27"/>
        <v>3.555555555555556E-10</v>
      </c>
      <c r="L75" s="56"/>
      <c r="M75" s="56"/>
      <c r="N75" s="97"/>
      <c r="O75" s="98"/>
      <c r="P75" s="98"/>
      <c r="Q75" s="56"/>
      <c r="R75" s="56"/>
      <c r="S75" s="56"/>
      <c r="T75" s="56"/>
      <c r="U75" s="56"/>
      <c r="V75" s="56"/>
      <c r="W75" s="56"/>
      <c r="X75" s="56"/>
      <c r="Y75" s="56"/>
      <c r="Z75" s="57"/>
    </row>
    <row r="76" spans="1:26" ht="12.75" customHeight="1" x14ac:dyDescent="0.3">
      <c r="A76" s="75" t="s">
        <v>261</v>
      </c>
      <c r="B76" s="86" t="s">
        <v>113</v>
      </c>
      <c r="C76" s="75" t="s">
        <v>116</v>
      </c>
      <c r="D76" s="338">
        <f>'Zero&amp;Air'!B11</f>
        <v>0.16551349131991344</v>
      </c>
      <c r="E76" s="75">
        <f t="shared" si="31"/>
        <v>1.7320508075688772</v>
      </c>
      <c r="F76" s="75">
        <v>50</v>
      </c>
      <c r="G76" s="75">
        <f t="shared" si="24"/>
        <v>9.5559258768066813E-2</v>
      </c>
      <c r="H76" s="75">
        <v>1</v>
      </c>
      <c r="I76" s="75">
        <f t="shared" si="29"/>
        <v>9.5559258768066813E-2</v>
      </c>
      <c r="J76" s="75">
        <f t="shared" si="30"/>
        <v>9.1315719363023531E-3</v>
      </c>
      <c r="K76" s="75">
        <f t="shared" si="27"/>
        <v>1.6677121205572942E-6</v>
      </c>
      <c r="L76" s="56"/>
      <c r="M76" s="56"/>
      <c r="N76" s="97"/>
      <c r="O76" s="98"/>
      <c r="P76" s="98"/>
      <c r="Q76" s="56"/>
      <c r="R76" s="56"/>
      <c r="S76" s="56"/>
      <c r="T76" s="56"/>
      <c r="U76" s="56"/>
      <c r="V76" s="56"/>
      <c r="W76" s="56"/>
      <c r="X76" s="56"/>
      <c r="Y76" s="56"/>
      <c r="Z76" s="57"/>
    </row>
    <row r="77" spans="1:26" ht="12.75" customHeight="1" x14ac:dyDescent="0.3">
      <c r="A77" s="75" t="s">
        <v>262</v>
      </c>
      <c r="B77" s="253" t="s">
        <v>113</v>
      </c>
      <c r="C77" s="75" t="s">
        <v>116</v>
      </c>
      <c r="D77" s="338">
        <f>'Zero&amp;Air'!C11</f>
        <v>9.0561483435237733E-2</v>
      </c>
      <c r="E77" s="75">
        <f t="shared" si="31"/>
        <v>1.7320508075688772</v>
      </c>
      <c r="F77" s="75">
        <v>50</v>
      </c>
      <c r="G77" s="75">
        <f t="shared" si="24"/>
        <v>5.2285696839546342E-2</v>
      </c>
      <c r="H77" s="75">
        <v>1</v>
      </c>
      <c r="I77" s="75">
        <f t="shared" si="29"/>
        <v>5.2285696839546342E-2</v>
      </c>
      <c r="J77" s="75">
        <f t="shared" si="30"/>
        <v>2.7337940939969464E-3</v>
      </c>
      <c r="K77" s="75">
        <f t="shared" si="27"/>
        <v>1.4947260296745169E-7</v>
      </c>
      <c r="L77" s="56"/>
      <c r="M77" s="56"/>
      <c r="N77" s="97"/>
      <c r="O77" s="98"/>
      <c r="P77" s="98"/>
      <c r="Q77" s="56"/>
      <c r="R77" s="56"/>
      <c r="S77" s="56"/>
      <c r="T77" s="56"/>
      <c r="U77" s="56"/>
      <c r="V77" s="56"/>
      <c r="W77" s="56"/>
      <c r="X77" s="56"/>
      <c r="Y77" s="56"/>
      <c r="Z77" s="57"/>
    </row>
    <row r="78" spans="1:26" ht="12.75" customHeight="1" x14ac:dyDescent="0.3">
      <c r="A78" s="90" t="s">
        <v>118</v>
      </c>
      <c r="B78" s="91"/>
      <c r="C78" s="91"/>
      <c r="D78" s="92"/>
      <c r="E78" s="91"/>
      <c r="F78" s="91"/>
      <c r="G78" s="91"/>
      <c r="H78" s="91"/>
      <c r="I78" s="93"/>
      <c r="J78" s="75">
        <f>SUM(J66:J77)</f>
        <v>2.5973132569652133</v>
      </c>
      <c r="K78" s="56"/>
      <c r="L78" s="56"/>
      <c r="M78" s="56"/>
      <c r="N78" s="97"/>
      <c r="O78" s="98"/>
      <c r="P78" s="98"/>
      <c r="Q78" s="56"/>
      <c r="R78" s="56"/>
      <c r="S78" s="56"/>
      <c r="T78" s="56"/>
      <c r="U78" s="56"/>
      <c r="V78" s="56"/>
      <c r="W78" s="56"/>
      <c r="X78" s="56"/>
      <c r="Y78" s="56"/>
      <c r="Z78" s="57"/>
    </row>
    <row r="79" spans="1:26" ht="12.75" customHeight="1" x14ac:dyDescent="0.3">
      <c r="A79" s="83" t="s">
        <v>119</v>
      </c>
      <c r="B79" s="84"/>
      <c r="C79" s="84"/>
      <c r="D79" s="85"/>
      <c r="E79" s="84"/>
      <c r="F79" s="84"/>
      <c r="G79" s="84"/>
      <c r="H79" s="84"/>
      <c r="I79" s="86"/>
      <c r="J79" s="75">
        <f>SQRT(J78)</f>
        <v>1.6116182106706332</v>
      </c>
      <c r="K79" s="56"/>
      <c r="L79" s="56"/>
      <c r="M79" s="56"/>
      <c r="N79" s="97"/>
      <c r="O79" s="98"/>
      <c r="P79" s="98"/>
      <c r="Q79" s="56"/>
      <c r="R79" s="56"/>
      <c r="S79" s="56"/>
      <c r="T79" s="56"/>
      <c r="U79" s="56"/>
      <c r="V79" s="56"/>
      <c r="W79" s="56"/>
      <c r="X79" s="56"/>
      <c r="Y79" s="56"/>
      <c r="Z79" s="57"/>
    </row>
    <row r="80" spans="1:26" ht="12.75" customHeight="1" x14ac:dyDescent="0.3">
      <c r="A80" s="83" t="s">
        <v>120</v>
      </c>
      <c r="B80" s="84"/>
      <c r="C80" s="84"/>
      <c r="D80" s="85"/>
      <c r="E80" s="84"/>
      <c r="F80" s="84"/>
      <c r="G80" s="84"/>
      <c r="H80" s="84"/>
      <c r="I80" s="86"/>
      <c r="J80" s="75">
        <f>J79^4/SUM(K66:K77)</f>
        <v>9.2011559197790049</v>
      </c>
      <c r="K80" s="56"/>
      <c r="L80" s="56"/>
      <c r="M80" s="56"/>
      <c r="N80" s="97"/>
      <c r="O80" s="98"/>
      <c r="P80" s="98"/>
      <c r="Q80" s="56"/>
      <c r="R80" s="56"/>
      <c r="S80" s="56"/>
      <c r="T80" s="56"/>
      <c r="U80" s="56"/>
      <c r="V80" s="56"/>
      <c r="W80" s="56"/>
      <c r="X80" s="56"/>
      <c r="Y80" s="56"/>
      <c r="Z80" s="57"/>
    </row>
    <row r="81" spans="1:26" ht="12.75" customHeight="1" x14ac:dyDescent="0.3">
      <c r="A81" s="83" t="s">
        <v>121</v>
      </c>
      <c r="B81" s="84"/>
      <c r="C81" s="84"/>
      <c r="D81" s="85"/>
      <c r="E81" s="84"/>
      <c r="F81" s="84"/>
      <c r="G81" s="84"/>
      <c r="H81" s="84"/>
      <c r="I81" s="86"/>
      <c r="J81" s="75">
        <f>1.95996+2.37356/J80+2.818745/J80^2+2.546662/J80^3+1.761829/J80^4+0.245458/J80^5+1.000764/J80^6</f>
        <v>2.2547380246653965</v>
      </c>
      <c r="K81" s="56"/>
      <c r="L81" s="56"/>
      <c r="M81" s="56"/>
      <c r="N81" s="97"/>
      <c r="O81" s="98"/>
      <c r="P81" s="98"/>
      <c r="Q81" s="56"/>
      <c r="R81" s="56"/>
      <c r="S81" s="56"/>
      <c r="T81" s="56"/>
      <c r="U81" s="56"/>
      <c r="V81" s="56"/>
      <c r="W81" s="56"/>
      <c r="X81" s="56"/>
      <c r="Y81" s="56"/>
      <c r="Z81" s="57"/>
    </row>
    <row r="82" spans="1:26" ht="12.75" customHeight="1" x14ac:dyDescent="0.3">
      <c r="A82" s="83" t="s">
        <v>216</v>
      </c>
      <c r="B82" s="84"/>
      <c r="C82" s="84"/>
      <c r="D82" s="85"/>
      <c r="E82" s="84"/>
      <c r="F82" s="84"/>
      <c r="G82" s="84"/>
      <c r="H82" s="84"/>
      <c r="I82" s="86"/>
      <c r="J82" s="87">
        <f>J79*J81</f>
        <v>3.6337768608422842</v>
      </c>
      <c r="K82" s="56">
        <v>0.41</v>
      </c>
      <c r="L82" s="56"/>
      <c r="M82" s="56"/>
      <c r="N82" s="97"/>
      <c r="O82" s="98"/>
      <c r="P82" s="98"/>
      <c r="Q82" s="56"/>
      <c r="R82" s="56"/>
      <c r="S82" s="56"/>
      <c r="T82" s="56"/>
      <c r="U82" s="56"/>
      <c r="V82" s="56"/>
      <c r="W82" s="56"/>
      <c r="X82" s="56"/>
      <c r="Y82" s="56"/>
      <c r="Z82" s="57"/>
    </row>
    <row r="83" spans="1:26" ht="12.75" customHeight="1" x14ac:dyDescent="0.3">
      <c r="A83" s="94"/>
      <c r="B83" s="94"/>
      <c r="C83" s="94"/>
      <c r="D83" s="94"/>
      <c r="E83" s="94"/>
      <c r="F83" s="94"/>
      <c r="G83" s="56"/>
      <c r="H83" s="56"/>
      <c r="I83" s="56"/>
      <c r="J83" s="56"/>
      <c r="K83" s="56"/>
      <c r="L83" s="56"/>
      <c r="M83" s="56"/>
      <c r="N83" s="97"/>
      <c r="O83" s="98"/>
      <c r="P83" s="98"/>
      <c r="Q83" s="56"/>
      <c r="R83" s="56"/>
      <c r="S83" s="56"/>
      <c r="T83" s="56"/>
      <c r="U83" s="56"/>
      <c r="V83" s="56"/>
      <c r="W83" s="56"/>
      <c r="X83" s="56"/>
      <c r="Y83" s="56"/>
      <c r="Z83" s="57"/>
    </row>
    <row r="84" spans="1:26" ht="12.75" customHeight="1" x14ac:dyDescent="0.3">
      <c r="A84" s="71" t="str">
        <f>A$21</f>
        <v>Rentang ukur PT100 (0~250) ⁰C</v>
      </c>
      <c r="B84" s="91"/>
      <c r="C84" s="99">
        <f>'Olahdata-PT100 C'!I21</f>
        <v>75.062139840554494</v>
      </c>
      <c r="D84" s="91"/>
      <c r="E84" s="91"/>
      <c r="F84" s="91"/>
      <c r="G84" s="56"/>
      <c r="H84" s="56"/>
      <c r="I84" s="56"/>
      <c r="J84" s="56"/>
      <c r="K84" s="56"/>
      <c r="L84" s="56"/>
      <c r="M84" s="56"/>
      <c r="N84" s="97"/>
      <c r="O84" s="98"/>
      <c r="P84" s="98"/>
      <c r="Q84" s="56"/>
      <c r="R84" s="56"/>
      <c r="S84" s="56"/>
      <c r="T84" s="56"/>
      <c r="U84" s="56"/>
      <c r="V84" s="56"/>
      <c r="W84" s="56"/>
      <c r="X84" s="56"/>
      <c r="Y84" s="56"/>
      <c r="Z84" s="57"/>
    </row>
    <row r="85" spans="1:26" ht="12.75" customHeight="1" x14ac:dyDescent="0.3">
      <c r="A85" s="73" t="s">
        <v>87</v>
      </c>
      <c r="B85" s="73" t="s">
        <v>88</v>
      </c>
      <c r="C85" s="100" t="s">
        <v>89</v>
      </c>
      <c r="D85" s="74" t="s">
        <v>90</v>
      </c>
      <c r="E85" s="100" t="s">
        <v>91</v>
      </c>
      <c r="F85" s="100" t="s">
        <v>92</v>
      </c>
      <c r="G85" s="100" t="s">
        <v>93</v>
      </c>
      <c r="H85" s="100" t="s">
        <v>94</v>
      </c>
      <c r="I85" s="100" t="s">
        <v>95</v>
      </c>
      <c r="J85" s="100" t="s">
        <v>96</v>
      </c>
      <c r="K85" s="100" t="s">
        <v>97</v>
      </c>
      <c r="L85" s="96"/>
      <c r="M85" s="96"/>
      <c r="N85" s="101"/>
      <c r="O85" s="102"/>
      <c r="P85" s="102"/>
      <c r="Q85" s="96"/>
      <c r="R85" s="96"/>
      <c r="S85" s="96"/>
      <c r="T85" s="96"/>
      <c r="U85" s="96"/>
      <c r="V85" s="96"/>
      <c r="W85" s="96"/>
      <c r="X85" s="96"/>
      <c r="Y85" s="96"/>
      <c r="Z85" s="95"/>
    </row>
    <row r="86" spans="1:26" ht="12.75" customHeight="1" x14ac:dyDescent="0.3">
      <c r="A86" s="103" t="s">
        <v>98</v>
      </c>
      <c r="B86" s="73" t="s">
        <v>99</v>
      </c>
      <c r="C86" s="100" t="s">
        <v>100</v>
      </c>
      <c r="D86" s="74" t="s">
        <v>101</v>
      </c>
      <c r="E86" s="100" t="s">
        <v>102</v>
      </c>
      <c r="F86" s="100" t="s">
        <v>103</v>
      </c>
      <c r="G86" s="100" t="s">
        <v>104</v>
      </c>
      <c r="H86" s="100" t="s">
        <v>105</v>
      </c>
      <c r="I86" s="100" t="s">
        <v>106</v>
      </c>
      <c r="J86" s="100" t="s">
        <v>107</v>
      </c>
      <c r="K86" s="100" t="s">
        <v>108</v>
      </c>
      <c r="L86" s="96"/>
      <c r="M86" s="96"/>
      <c r="N86" s="101"/>
      <c r="O86" s="102"/>
      <c r="P86" s="102"/>
      <c r="Q86" s="96"/>
      <c r="R86" s="96"/>
      <c r="S86" s="96"/>
      <c r="T86" s="96"/>
      <c r="U86" s="96"/>
      <c r="V86" s="96"/>
      <c r="W86" s="96"/>
      <c r="X86" s="96"/>
      <c r="Y86" s="96"/>
      <c r="Z86" s="95"/>
    </row>
    <row r="87" spans="1:26" ht="12.75" customHeight="1" x14ac:dyDescent="0.3">
      <c r="A87" s="75" t="s">
        <v>112</v>
      </c>
      <c r="B87" s="86" t="s">
        <v>63</v>
      </c>
      <c r="C87" s="75" t="s">
        <v>114</v>
      </c>
      <c r="D87" s="76">
        <f>STDEV('Olahdata-PT100 C'!J21:N21)/SQRT(5)</f>
        <v>1.9999999999981808E-3</v>
      </c>
      <c r="E87" s="75">
        <v>1</v>
      </c>
      <c r="F87" s="75">
        <v>4</v>
      </c>
      <c r="G87" s="75">
        <f t="shared" ref="G87:G98" si="32">D87/E87</f>
        <v>1.9999999999981808E-3</v>
      </c>
      <c r="H87" s="75">
        <f>1/('Olahdata-PT100 C'!AD112-'Olahdata-PT100 C'!AC112)</f>
        <v>2.6094115111160994</v>
      </c>
      <c r="I87" s="104">
        <f t="shared" ref="I87:I88" si="33">G87*H87</f>
        <v>5.2188230222274517E-3</v>
      </c>
      <c r="J87" s="104">
        <f t="shared" ref="J87:J89" si="34">I87^2</f>
        <v>2.7236113737331271E-5</v>
      </c>
      <c r="K87" s="104">
        <f t="shared" ref="K87:K98" si="35">J87^2/F87</f>
        <v>1.8545147287821131E-10</v>
      </c>
      <c r="L87" s="56"/>
      <c r="M87" s="56"/>
      <c r="N87" s="97"/>
      <c r="O87" s="98"/>
      <c r="P87" s="98"/>
      <c r="Q87" s="56"/>
      <c r="R87" s="56"/>
      <c r="S87" s="56"/>
      <c r="T87" s="56"/>
      <c r="U87" s="56"/>
      <c r="V87" s="56"/>
      <c r="W87" s="56"/>
      <c r="X87" s="56"/>
      <c r="Y87" s="56"/>
      <c r="Z87" s="57"/>
    </row>
    <row r="88" spans="1:26" ht="12.75" customHeight="1" x14ac:dyDescent="0.3">
      <c r="A88" s="75" t="s">
        <v>115</v>
      </c>
      <c r="B88" s="86" t="s">
        <v>63</v>
      </c>
      <c r="C88" s="75" t="s">
        <v>116</v>
      </c>
      <c r="D88" s="81">
        <f>D25</f>
        <v>2.5000000000000001E-3</v>
      </c>
      <c r="E88" s="75">
        <f>SQRT(3)</f>
        <v>1.7320508075688772</v>
      </c>
      <c r="F88" s="75">
        <v>50</v>
      </c>
      <c r="G88" s="75">
        <f t="shared" si="32"/>
        <v>1.4433756729740645E-3</v>
      </c>
      <c r="H88" s="75">
        <f>H87</f>
        <v>2.6094115111160994</v>
      </c>
      <c r="I88" s="104">
        <f t="shared" si="33"/>
        <v>3.7663610959234703E-3</v>
      </c>
      <c r="J88" s="104">
        <f t="shared" si="34"/>
        <v>1.4185475904885845E-5</v>
      </c>
      <c r="K88" s="104">
        <f t="shared" si="35"/>
        <v>4.0245545329619374E-12</v>
      </c>
      <c r="L88" s="56"/>
      <c r="M88" s="56"/>
      <c r="N88" s="97"/>
      <c r="O88" s="98"/>
      <c r="P88" s="98"/>
      <c r="Q88" s="56"/>
      <c r="R88" s="56"/>
      <c r="S88" s="56"/>
      <c r="T88" s="56"/>
      <c r="U88" s="56"/>
      <c r="V88" s="56"/>
      <c r="W88" s="56"/>
      <c r="X88" s="56"/>
      <c r="Y88" s="56"/>
      <c r="Z88" s="57"/>
    </row>
    <row r="89" spans="1:26" ht="12.75" customHeight="1" x14ac:dyDescent="0.3">
      <c r="A89" s="78" t="s">
        <v>259</v>
      </c>
      <c r="B89" s="86" t="s">
        <v>113</v>
      </c>
      <c r="C89" s="75" t="s">
        <v>116</v>
      </c>
      <c r="D89" s="77">
        <f>4/10^3</f>
        <v>4.0000000000000001E-3</v>
      </c>
      <c r="E89" s="75">
        <f>SQRT(3)</f>
        <v>1.7320508075688772</v>
      </c>
      <c r="F89" s="75">
        <v>50</v>
      </c>
      <c r="G89" s="75">
        <f t="shared" si="32"/>
        <v>2.3094010767585032E-3</v>
      </c>
      <c r="H89" s="75">
        <v>1</v>
      </c>
      <c r="I89" s="75">
        <f>G89*H89</f>
        <v>2.3094010767585032E-3</v>
      </c>
      <c r="J89" s="75">
        <f t="shared" si="34"/>
        <v>5.3333333333333337E-6</v>
      </c>
      <c r="K89" s="75">
        <f t="shared" si="35"/>
        <v>5.6888888888888893E-13</v>
      </c>
      <c r="L89" s="56"/>
      <c r="M89" s="56"/>
      <c r="N89" s="97"/>
      <c r="O89" s="98"/>
      <c r="P89" s="98"/>
      <c r="Q89" s="56"/>
      <c r="R89" s="56"/>
      <c r="S89" s="56"/>
      <c r="T89" s="56"/>
      <c r="U89" s="56"/>
      <c r="V89" s="56"/>
      <c r="W89" s="56"/>
      <c r="X89" s="56"/>
      <c r="Y89" s="56"/>
      <c r="Z89" s="57"/>
    </row>
    <row r="90" spans="1:26" ht="12.75" customHeight="1" x14ac:dyDescent="0.3">
      <c r="A90" s="78" t="s">
        <v>254</v>
      </c>
      <c r="B90" s="86" t="s">
        <v>63</v>
      </c>
      <c r="C90" s="79" t="s">
        <v>117</v>
      </c>
      <c r="D90" s="80">
        <f>D$27</f>
        <v>0.61915312760021013</v>
      </c>
      <c r="E90" s="80">
        <v>1</v>
      </c>
      <c r="F90" s="80">
        <f>F$27</f>
        <v>9</v>
      </c>
      <c r="G90" s="81">
        <f t="shared" si="32"/>
        <v>0.61915312760021013</v>
      </c>
      <c r="H90" s="81">
        <f>H87</f>
        <v>2.6094115111160994</v>
      </c>
      <c r="I90" s="75">
        <f>G90*H90</f>
        <v>1.6156252983035233</v>
      </c>
      <c r="J90" s="75">
        <f t="shared" ref="J90" si="36">I90^2</f>
        <v>2.6102451045183486</v>
      </c>
      <c r="K90" s="81">
        <f t="shared" si="35"/>
        <v>0.75704216729577822</v>
      </c>
      <c r="L90" s="56"/>
      <c r="M90" s="56"/>
      <c r="N90" s="56"/>
      <c r="O90" s="98"/>
      <c r="P90" s="98"/>
      <c r="Q90" s="56"/>
      <c r="R90" s="56"/>
      <c r="S90" s="56"/>
      <c r="T90" s="56"/>
      <c r="U90" s="56"/>
      <c r="V90" s="56"/>
      <c r="W90" s="56"/>
      <c r="X90" s="56"/>
      <c r="Y90" s="56"/>
      <c r="Z90" s="57"/>
    </row>
    <row r="91" spans="1:26" ht="12.75" customHeight="1" x14ac:dyDescent="0.3">
      <c r="A91" s="75" t="s">
        <v>253</v>
      </c>
      <c r="B91" s="86" t="s">
        <v>63</v>
      </c>
      <c r="C91" s="75" t="s">
        <v>114</v>
      </c>
      <c r="D91" s="76">
        <f>STDEV('Olahdata-PT100 C'!A21:E21)/SQRT(5)</f>
        <v>1.2247448713974369E-3</v>
      </c>
      <c r="E91" s="75">
        <v>1</v>
      </c>
      <c r="F91" s="75">
        <v>4</v>
      </c>
      <c r="G91" s="75">
        <f>D91/E91</f>
        <v>1.2247448713974369E-3</v>
      </c>
      <c r="H91" s="75">
        <f>H95</f>
        <v>2.5682499585227632</v>
      </c>
      <c r="I91" s="75">
        <f>G91*H91</f>
        <v>3.1454509651674344E-3</v>
      </c>
      <c r="J91" s="75">
        <f>I91^2</f>
        <v>9.8938617742727445E-6</v>
      </c>
      <c r="K91" s="75">
        <f>J91^2/F91</f>
        <v>2.4472125202103856E-11</v>
      </c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7"/>
    </row>
    <row r="92" spans="1:26" ht="12.75" customHeight="1" x14ac:dyDescent="0.3">
      <c r="A92" s="75" t="s">
        <v>256</v>
      </c>
      <c r="B92" s="86" t="s">
        <v>63</v>
      </c>
      <c r="C92" s="75" t="s">
        <v>117</v>
      </c>
      <c r="D92" s="338">
        <f>'Olahdata-PT100 C'!U20</f>
        <v>4.4800000000000006E-2</v>
      </c>
      <c r="E92" s="75">
        <v>2</v>
      </c>
      <c r="F92" s="75">
        <v>60</v>
      </c>
      <c r="G92" s="75">
        <f t="shared" si="32"/>
        <v>2.2400000000000003E-2</v>
      </c>
      <c r="H92" s="81">
        <f>H95</f>
        <v>2.5682499585227632</v>
      </c>
      <c r="I92" s="104">
        <f t="shared" ref="I92:I98" si="37">G92*H92</f>
        <v>5.7528799070909901E-2</v>
      </c>
      <c r="J92" s="104">
        <f t="shared" ref="J92:J98" si="38">I92^2</f>
        <v>3.309562722541124E-3</v>
      </c>
      <c r="K92" s="104">
        <f t="shared" si="35"/>
        <v>1.8255342357389694E-7</v>
      </c>
      <c r="L92" s="56"/>
      <c r="M92" s="56"/>
      <c r="N92" s="56"/>
      <c r="O92" s="98"/>
      <c r="P92" s="98"/>
      <c r="Q92" s="56"/>
      <c r="R92" s="56"/>
      <c r="S92" s="56"/>
      <c r="T92" s="56"/>
      <c r="U92" s="56"/>
      <c r="V92" s="56"/>
      <c r="W92" s="56"/>
      <c r="X92" s="56"/>
      <c r="Y92" s="56"/>
      <c r="Z92" s="57"/>
    </row>
    <row r="93" spans="1:26" ht="12.75" customHeight="1" x14ac:dyDescent="0.3">
      <c r="A93" s="75" t="s">
        <v>257</v>
      </c>
      <c r="B93" s="86" t="s">
        <v>63</v>
      </c>
      <c r="C93" s="75" t="s">
        <v>116</v>
      </c>
      <c r="D93" s="138">
        <f>0.1*ABS('Olahdata-PT100 C'!G21)</f>
        <v>5.1698338673760212E-3</v>
      </c>
      <c r="E93" s="75">
        <f>SQRT(3)</f>
        <v>1.7320508075688772</v>
      </c>
      <c r="F93" s="75">
        <v>50</v>
      </c>
      <c r="G93" s="75">
        <f t="shared" si="32"/>
        <v>2.9848049749951902E-3</v>
      </c>
      <c r="H93" s="75">
        <f>H95</f>
        <v>2.5682499585227632</v>
      </c>
      <c r="I93" s="104">
        <f t="shared" si="37"/>
        <v>7.6657252532299344E-3</v>
      </c>
      <c r="J93" s="104">
        <f t="shared" si="38"/>
        <v>5.8763343658007141E-5</v>
      </c>
      <c r="K93" s="104">
        <f t="shared" si="35"/>
        <v>6.9062611157380954E-11</v>
      </c>
      <c r="L93" s="56"/>
      <c r="M93" s="56"/>
      <c r="N93" s="97"/>
      <c r="O93" s="98"/>
      <c r="P93" s="98"/>
      <c r="Q93" s="56"/>
      <c r="R93" s="56"/>
      <c r="S93" s="56"/>
      <c r="T93" s="56"/>
      <c r="U93" s="56"/>
      <c r="V93" s="56"/>
      <c r="W93" s="56"/>
      <c r="X93" s="56"/>
      <c r="Y93" s="56"/>
      <c r="Z93" s="57"/>
    </row>
    <row r="94" spans="1:26" ht="12.75" customHeight="1" x14ac:dyDescent="0.3">
      <c r="A94" s="75" t="s">
        <v>258</v>
      </c>
      <c r="B94" s="86" t="s">
        <v>113</v>
      </c>
      <c r="C94" s="75" t="s">
        <v>117</v>
      </c>
      <c r="D94" s="77">
        <v>0.19</v>
      </c>
      <c r="E94" s="75">
        <v>2</v>
      </c>
      <c r="F94" s="75">
        <v>60</v>
      </c>
      <c r="G94" s="75">
        <f t="shared" si="32"/>
        <v>9.5000000000000001E-2</v>
      </c>
      <c r="H94" s="75">
        <v>1</v>
      </c>
      <c r="I94" s="104">
        <f t="shared" si="37"/>
        <v>9.5000000000000001E-2</v>
      </c>
      <c r="J94" s="104">
        <f t="shared" si="38"/>
        <v>9.025E-3</v>
      </c>
      <c r="K94" s="104">
        <f t="shared" si="35"/>
        <v>1.3575104166666666E-6</v>
      </c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7"/>
    </row>
    <row r="95" spans="1:26" ht="12.75" customHeight="1" x14ac:dyDescent="0.3">
      <c r="A95" s="75" t="s">
        <v>255</v>
      </c>
      <c r="B95" s="86" t="s">
        <v>63</v>
      </c>
      <c r="C95" s="75" t="s">
        <v>116</v>
      </c>
      <c r="D95" s="82">
        <f>VLOOKUP(C84,Table1[],7,TRUE)</f>
        <v>6.1455796911303255E-2</v>
      </c>
      <c r="E95" s="75">
        <f t="shared" ref="E95:E98" si="39">SQRT(3)</f>
        <v>1.7320508075688772</v>
      </c>
      <c r="F95" s="75">
        <v>50</v>
      </c>
      <c r="G95" s="75">
        <f t="shared" si="32"/>
        <v>3.5481520890003906E-2</v>
      </c>
      <c r="H95" s="289">
        <f>VLOOKUP(C84,Table1[#All],8,TRUE)</f>
        <v>2.5682499585227632</v>
      </c>
      <c r="I95" s="104">
        <f t="shared" si="37"/>
        <v>9.1125414554077092E-2</v>
      </c>
      <c r="J95" s="104">
        <f t="shared" si="38"/>
        <v>8.3038411776524042E-3</v>
      </c>
      <c r="K95" s="104">
        <f t="shared" si="35"/>
        <v>1.3790755660735135E-6</v>
      </c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7"/>
    </row>
    <row r="96" spans="1:26" ht="12.75" customHeight="1" x14ac:dyDescent="0.3">
      <c r="A96" s="75" t="s">
        <v>260</v>
      </c>
      <c r="B96" s="86" t="s">
        <v>113</v>
      </c>
      <c r="C96" s="75" t="s">
        <v>116</v>
      </c>
      <c r="D96" s="75">
        <f>20/10^3</f>
        <v>0.02</v>
      </c>
      <c r="E96" s="75">
        <f t="shared" si="39"/>
        <v>1.7320508075688772</v>
      </c>
      <c r="F96" s="75">
        <v>50</v>
      </c>
      <c r="G96" s="75">
        <f t="shared" si="32"/>
        <v>1.1547005383792516E-2</v>
      </c>
      <c r="H96" s="75">
        <v>1</v>
      </c>
      <c r="I96" s="75">
        <f>G96*H96</f>
        <v>1.1547005383792516E-2</v>
      </c>
      <c r="J96" s="75">
        <f t="shared" si="38"/>
        <v>1.3333333333333334E-4</v>
      </c>
      <c r="K96" s="75">
        <f t="shared" si="35"/>
        <v>3.555555555555556E-10</v>
      </c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7"/>
    </row>
    <row r="97" spans="1:26" ht="12.75" customHeight="1" x14ac:dyDescent="0.3">
      <c r="A97" s="75" t="s">
        <v>261</v>
      </c>
      <c r="B97" s="86" t="s">
        <v>113</v>
      </c>
      <c r="C97" s="75" t="s">
        <v>116</v>
      </c>
      <c r="D97" s="288">
        <f>'Oil Bath'!C7</f>
        <v>0.13</v>
      </c>
      <c r="E97" s="75">
        <f t="shared" si="39"/>
        <v>1.7320508075688772</v>
      </c>
      <c r="F97" s="75">
        <v>50</v>
      </c>
      <c r="G97" s="75">
        <f t="shared" si="32"/>
        <v>7.5055534994651354E-2</v>
      </c>
      <c r="H97" s="75">
        <v>1</v>
      </c>
      <c r="I97" s="75">
        <f t="shared" si="37"/>
        <v>7.5055534994651354E-2</v>
      </c>
      <c r="J97" s="75">
        <f t="shared" si="38"/>
        <v>5.6333333333333339E-3</v>
      </c>
      <c r="K97" s="75">
        <f t="shared" si="35"/>
        <v>6.3468888888888894E-7</v>
      </c>
      <c r="L97" s="56"/>
      <c r="M97" s="56"/>
      <c r="N97" s="57"/>
      <c r="O97" s="57"/>
      <c r="P97" s="57"/>
      <c r="Q97" s="57"/>
      <c r="R97" s="57"/>
      <c r="S97" s="57"/>
      <c r="T97" s="57"/>
      <c r="U97" s="57"/>
      <c r="V97" s="57"/>
      <c r="W97" s="56"/>
      <c r="X97" s="56"/>
      <c r="Y97" s="56"/>
      <c r="Z97" s="57"/>
    </row>
    <row r="98" spans="1:26" ht="12.75" customHeight="1" x14ac:dyDescent="0.3">
      <c r="A98" s="75" t="s">
        <v>262</v>
      </c>
      <c r="B98" s="253" t="s">
        <v>113</v>
      </c>
      <c r="C98" s="75" t="s">
        <v>116</v>
      </c>
      <c r="D98" s="288">
        <f>'Oil Bath'!D7</f>
        <v>0.15</v>
      </c>
      <c r="E98" s="75">
        <f t="shared" si="39"/>
        <v>1.7320508075688772</v>
      </c>
      <c r="F98" s="75">
        <v>50</v>
      </c>
      <c r="G98" s="75">
        <f t="shared" si="32"/>
        <v>8.6602540378443865E-2</v>
      </c>
      <c r="H98" s="75">
        <v>1</v>
      </c>
      <c r="I98" s="75">
        <f t="shared" si="37"/>
        <v>8.6602540378443865E-2</v>
      </c>
      <c r="J98" s="75">
        <f t="shared" si="38"/>
        <v>7.4999999999999997E-3</v>
      </c>
      <c r="K98" s="75">
        <f t="shared" si="35"/>
        <v>1.125E-6</v>
      </c>
      <c r="L98" s="56"/>
      <c r="M98" s="56"/>
      <c r="N98" s="57"/>
      <c r="O98" s="57"/>
      <c r="P98" s="57"/>
      <c r="Q98" s="57"/>
      <c r="R98" s="57"/>
      <c r="S98" s="57"/>
      <c r="T98" s="57"/>
      <c r="U98" s="57"/>
      <c r="V98" s="57"/>
      <c r="W98" s="56"/>
      <c r="X98" s="56"/>
      <c r="Y98" s="56"/>
      <c r="Z98" s="57"/>
    </row>
    <row r="99" spans="1:26" ht="12.75" customHeight="1" x14ac:dyDescent="0.3">
      <c r="A99" s="83" t="s">
        <v>118</v>
      </c>
      <c r="B99" s="84"/>
      <c r="C99" s="84"/>
      <c r="D99" s="85"/>
      <c r="E99" s="84"/>
      <c r="F99" s="84"/>
      <c r="G99" s="84"/>
      <c r="H99" s="84"/>
      <c r="I99" s="84"/>
      <c r="J99" s="75">
        <f>SUM(J87:J98)</f>
        <v>2.6442655872136167</v>
      </c>
      <c r="K99" s="56"/>
      <c r="L99" s="56"/>
      <c r="M99" s="56"/>
      <c r="N99" s="57"/>
      <c r="O99" s="57"/>
      <c r="P99" s="57"/>
      <c r="Q99" s="57"/>
      <c r="R99" s="57"/>
      <c r="S99" s="57"/>
      <c r="T99" s="57"/>
      <c r="U99" s="57"/>
      <c r="V99" s="57"/>
      <c r="W99" s="56"/>
      <c r="X99" s="56"/>
      <c r="Y99" s="56"/>
      <c r="Z99" s="57"/>
    </row>
    <row r="100" spans="1:26" ht="12.75" customHeight="1" x14ac:dyDescent="0.3">
      <c r="A100" s="83" t="s">
        <v>119</v>
      </c>
      <c r="B100" s="84"/>
      <c r="C100" s="84"/>
      <c r="D100" s="85"/>
      <c r="E100" s="84"/>
      <c r="F100" s="84"/>
      <c r="G100" s="84"/>
      <c r="H100" s="84"/>
      <c r="I100" s="84"/>
      <c r="J100" s="75">
        <f>SQRT(J99)</f>
        <v>1.6261197948532626</v>
      </c>
      <c r="K100" s="56"/>
      <c r="L100" s="56"/>
      <c r="M100" s="56"/>
      <c r="N100" s="57"/>
      <c r="O100" s="57"/>
      <c r="P100" s="57"/>
      <c r="Q100" s="57"/>
      <c r="R100" s="57"/>
      <c r="S100" s="57"/>
      <c r="T100" s="57"/>
      <c r="U100" s="57"/>
      <c r="V100" s="57"/>
      <c r="W100" s="56"/>
      <c r="X100" s="56"/>
      <c r="Y100" s="56"/>
      <c r="Z100" s="57"/>
    </row>
    <row r="101" spans="1:26" ht="12.75" customHeight="1" x14ac:dyDescent="0.3">
      <c r="A101" s="83" t="s">
        <v>120</v>
      </c>
      <c r="B101" s="84"/>
      <c r="C101" s="84"/>
      <c r="D101" s="85"/>
      <c r="E101" s="84"/>
      <c r="F101" s="84"/>
      <c r="G101" s="84"/>
      <c r="H101" s="84"/>
      <c r="I101" s="84"/>
      <c r="J101" s="75">
        <f>J100^4/SUM(K88:K98)</f>
        <v>9.236073734842515</v>
      </c>
      <c r="K101" s="56"/>
      <c r="L101" s="56"/>
      <c r="M101" s="56"/>
      <c r="N101" s="57"/>
      <c r="O101" s="57"/>
      <c r="P101" s="57"/>
      <c r="Q101" s="57"/>
      <c r="R101" s="57"/>
      <c r="S101" s="57"/>
      <c r="T101" s="57"/>
      <c r="U101" s="57"/>
      <c r="V101" s="57"/>
      <c r="W101" s="56"/>
      <c r="X101" s="56"/>
      <c r="Y101" s="56"/>
      <c r="Z101" s="57"/>
    </row>
    <row r="102" spans="1:26" ht="12.75" customHeight="1" x14ac:dyDescent="0.3">
      <c r="A102" s="83" t="s">
        <v>121</v>
      </c>
      <c r="B102" s="84"/>
      <c r="C102" s="84"/>
      <c r="D102" s="85"/>
      <c r="E102" s="84"/>
      <c r="F102" s="84"/>
      <c r="G102" s="84"/>
      <c r="H102" s="84"/>
      <c r="I102" s="84"/>
      <c r="J102" s="75">
        <f>1.95996+2.37356/J101+2.818745/J101^2+2.546662/J101^3+1.761829/J101^4+0.245458/J101^5+1.000764/J101^6</f>
        <v>2.2534707604124908</v>
      </c>
      <c r="K102" s="56"/>
      <c r="L102" s="56"/>
      <c r="M102" s="56"/>
      <c r="N102" s="57"/>
      <c r="O102" s="57"/>
      <c r="P102" s="57"/>
      <c r="Q102" s="57"/>
      <c r="R102" s="57"/>
      <c r="S102" s="57"/>
      <c r="T102" s="57"/>
      <c r="U102" s="57"/>
      <c r="V102" s="57"/>
      <c r="W102" s="56"/>
      <c r="X102" s="56"/>
      <c r="Y102" s="56"/>
      <c r="Z102" s="57"/>
    </row>
    <row r="103" spans="1:26" ht="12.75" customHeight="1" x14ac:dyDescent="0.3">
      <c r="A103" s="83" t="s">
        <v>216</v>
      </c>
      <c r="B103" s="84"/>
      <c r="C103" s="84"/>
      <c r="D103" s="85"/>
      <c r="E103" s="84"/>
      <c r="F103" s="84"/>
      <c r="G103" s="84"/>
      <c r="H103" s="84"/>
      <c r="I103" s="84"/>
      <c r="J103" s="87">
        <f>J100*J102</f>
        <v>3.6644134106297854</v>
      </c>
      <c r="K103" s="56">
        <v>0.41</v>
      </c>
      <c r="L103" s="56"/>
      <c r="M103" s="56"/>
      <c r="N103" s="57"/>
      <c r="O103" s="57"/>
      <c r="P103" s="57"/>
      <c r="Q103" s="57"/>
      <c r="R103" s="57"/>
      <c r="S103" s="57"/>
      <c r="T103" s="57"/>
      <c r="U103" s="57"/>
      <c r="V103" s="57"/>
      <c r="W103" s="56"/>
      <c r="X103" s="56"/>
      <c r="Y103" s="56"/>
      <c r="Z103" s="57"/>
    </row>
    <row r="104" spans="1:26" ht="12.75" customHeight="1" x14ac:dyDescent="0.3">
      <c r="A104" s="94"/>
      <c r="B104" s="94"/>
      <c r="C104" s="94"/>
      <c r="D104" s="94"/>
      <c r="E104" s="94"/>
      <c r="F104" s="94"/>
      <c r="G104" s="56"/>
      <c r="H104" s="56"/>
      <c r="I104" s="56"/>
      <c r="J104" s="56"/>
      <c r="K104" s="56"/>
      <c r="L104" s="56"/>
      <c r="M104" s="56"/>
      <c r="N104" s="57"/>
      <c r="O104" s="57"/>
      <c r="P104" s="57"/>
      <c r="Q104" s="57"/>
      <c r="R104" s="57"/>
      <c r="S104" s="57"/>
      <c r="T104" s="57"/>
      <c r="U104" s="57"/>
      <c r="V104" s="57"/>
      <c r="W104" s="56"/>
      <c r="X104" s="56"/>
      <c r="Y104" s="56"/>
      <c r="Z104" s="57"/>
    </row>
    <row r="105" spans="1:26" ht="12.75" customHeight="1" x14ac:dyDescent="0.3">
      <c r="A105" s="71" t="str">
        <f>A$21</f>
        <v>Rentang ukur PT100 (0~250) ⁰C</v>
      </c>
      <c r="B105" s="56"/>
      <c r="C105" s="72">
        <f>'Olahdata-PT100 C'!I22</f>
        <v>100.0568335558192</v>
      </c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7"/>
      <c r="O105" s="57"/>
      <c r="P105" s="57"/>
      <c r="Q105" s="57"/>
      <c r="R105" s="57"/>
      <c r="S105" s="57"/>
      <c r="T105" s="57"/>
      <c r="U105" s="57"/>
      <c r="V105" s="57"/>
      <c r="W105" s="56"/>
      <c r="X105" s="56"/>
      <c r="Y105" s="56"/>
      <c r="Z105" s="57"/>
    </row>
    <row r="106" spans="1:26" ht="12.75" customHeight="1" x14ac:dyDescent="0.3">
      <c r="A106" s="105" t="s">
        <v>87</v>
      </c>
      <c r="B106" s="73" t="s">
        <v>88</v>
      </c>
      <c r="C106" s="88" t="s">
        <v>89</v>
      </c>
      <c r="D106" s="74" t="s">
        <v>90</v>
      </c>
      <c r="E106" s="73" t="s">
        <v>91</v>
      </c>
      <c r="F106" s="73" t="s">
        <v>92</v>
      </c>
      <c r="G106" s="73" t="s">
        <v>93</v>
      </c>
      <c r="H106" s="73" t="s">
        <v>94</v>
      </c>
      <c r="I106" s="73" t="s">
        <v>95</v>
      </c>
      <c r="J106" s="73" t="s">
        <v>96</v>
      </c>
      <c r="K106" s="73" t="s">
        <v>97</v>
      </c>
      <c r="L106" s="96"/>
      <c r="M106" s="96"/>
      <c r="N106" s="95"/>
      <c r="O106" s="95"/>
      <c r="P106" s="95"/>
      <c r="Q106" s="95"/>
      <c r="R106" s="95"/>
      <c r="S106" s="95"/>
      <c r="T106" s="95"/>
      <c r="U106" s="95"/>
      <c r="V106" s="95"/>
      <c r="W106" s="96"/>
      <c r="X106" s="96"/>
      <c r="Y106" s="96"/>
      <c r="Z106" s="95"/>
    </row>
    <row r="107" spans="1:26" ht="12.75" customHeight="1" x14ac:dyDescent="0.3">
      <c r="A107" s="103" t="s">
        <v>98</v>
      </c>
      <c r="B107" s="96" t="s">
        <v>99</v>
      </c>
      <c r="C107" s="73" t="s">
        <v>100</v>
      </c>
      <c r="D107" s="74" t="s">
        <v>101</v>
      </c>
      <c r="E107" s="73" t="s">
        <v>102</v>
      </c>
      <c r="F107" s="73" t="s">
        <v>103</v>
      </c>
      <c r="G107" s="73" t="s">
        <v>104</v>
      </c>
      <c r="H107" s="73" t="s">
        <v>105</v>
      </c>
      <c r="I107" s="73" t="s">
        <v>106</v>
      </c>
      <c r="J107" s="73" t="s">
        <v>107</v>
      </c>
      <c r="K107" s="73" t="s">
        <v>108</v>
      </c>
      <c r="L107" s="96"/>
      <c r="M107" s="96"/>
      <c r="N107" s="106"/>
      <c r="O107" s="106"/>
      <c r="P107" s="106"/>
      <c r="Q107" s="106"/>
      <c r="R107" s="106"/>
      <c r="S107" s="106"/>
      <c r="T107" s="95"/>
      <c r="U107" s="95"/>
      <c r="V107" s="95"/>
      <c r="W107" s="96"/>
      <c r="X107" s="96"/>
      <c r="Y107" s="96"/>
      <c r="Z107" s="95"/>
    </row>
    <row r="108" spans="1:26" ht="12.75" customHeight="1" x14ac:dyDescent="0.3">
      <c r="A108" s="75" t="s">
        <v>112</v>
      </c>
      <c r="B108" s="86" t="s">
        <v>63</v>
      </c>
      <c r="C108" s="75" t="s">
        <v>114</v>
      </c>
      <c r="D108" s="76">
        <f>STDEV('Olahdata-PT100 C'!J22:N22)/SQRT(5)</f>
        <v>2.4494897427879119E-3</v>
      </c>
      <c r="E108" s="75">
        <v>1</v>
      </c>
      <c r="F108" s="75">
        <v>4</v>
      </c>
      <c r="G108" s="75">
        <f t="shared" ref="G108:G119" si="40">D108/E108</f>
        <v>2.4494897427879119E-3</v>
      </c>
      <c r="H108" s="75">
        <f>1/ABS('Olahdata-PT100 C'!Y115-'Olahdata-PT100 C'!Z115)</f>
        <v>2.6323475621667676</v>
      </c>
      <c r="I108" s="75">
        <f t="shared" ref="I108:I109" si="41">G108*H108</f>
        <v>6.4479083529802627E-3</v>
      </c>
      <c r="J108" s="75">
        <f t="shared" ref="J108:J110" si="42">I108^2</f>
        <v>4.1575522128432647E-5</v>
      </c>
      <c r="K108" s="75">
        <f t="shared" ref="K108:K119" si="43">J108^2/F108</f>
        <v>4.3213101006294817E-10</v>
      </c>
      <c r="L108" s="56"/>
      <c r="M108" s="56"/>
      <c r="N108" s="57"/>
      <c r="O108" s="57"/>
      <c r="P108" s="57"/>
      <c r="Q108" s="57"/>
      <c r="R108" s="57"/>
      <c r="S108" s="57"/>
      <c r="T108" s="57"/>
      <c r="U108" s="57"/>
      <c r="V108" s="57"/>
      <c r="W108" s="56"/>
      <c r="X108" s="56"/>
      <c r="Y108" s="56"/>
      <c r="Z108" s="57"/>
    </row>
    <row r="109" spans="1:26" ht="12.75" customHeight="1" x14ac:dyDescent="0.3">
      <c r="A109" s="75" t="s">
        <v>115</v>
      </c>
      <c r="B109" s="86" t="s">
        <v>63</v>
      </c>
      <c r="C109" s="75" t="s">
        <v>116</v>
      </c>
      <c r="D109" s="81">
        <f>D25</f>
        <v>2.5000000000000001E-3</v>
      </c>
      <c r="E109" s="75">
        <f>SQRT(3)</f>
        <v>1.7320508075688772</v>
      </c>
      <c r="F109" s="75">
        <v>50</v>
      </c>
      <c r="G109" s="75">
        <f t="shared" si="40"/>
        <v>1.4433756729740645E-3</v>
      </c>
      <c r="H109" s="75">
        <f>H108</f>
        <v>2.6323475621667676</v>
      </c>
      <c r="I109" s="75">
        <f t="shared" si="41"/>
        <v>3.7994664340440963E-3</v>
      </c>
      <c r="J109" s="75">
        <f t="shared" si="42"/>
        <v>1.4435945183427761E-5</v>
      </c>
      <c r="K109" s="75">
        <f t="shared" si="43"/>
        <v>4.1679302667786238E-12</v>
      </c>
      <c r="L109" s="56"/>
      <c r="M109" s="56"/>
      <c r="N109" s="57"/>
      <c r="O109" s="57"/>
      <c r="P109" s="57"/>
      <c r="Q109" s="57"/>
      <c r="R109" s="57"/>
      <c r="S109" s="57"/>
      <c r="T109" s="57"/>
      <c r="U109" s="57"/>
      <c r="V109" s="57"/>
      <c r="W109" s="56"/>
      <c r="X109" s="56"/>
      <c r="Y109" s="56"/>
      <c r="Z109" s="57"/>
    </row>
    <row r="110" spans="1:26" ht="12.75" customHeight="1" x14ac:dyDescent="0.3">
      <c r="A110" s="78" t="s">
        <v>259</v>
      </c>
      <c r="B110" s="86" t="s">
        <v>113</v>
      </c>
      <c r="C110" s="75" t="s">
        <v>116</v>
      </c>
      <c r="D110" s="77">
        <f>4/10^3</f>
        <v>4.0000000000000001E-3</v>
      </c>
      <c r="E110" s="75">
        <f>SQRT(3)</f>
        <v>1.7320508075688772</v>
      </c>
      <c r="F110" s="75">
        <v>50</v>
      </c>
      <c r="G110" s="75">
        <f t="shared" si="40"/>
        <v>2.3094010767585032E-3</v>
      </c>
      <c r="H110" s="75">
        <v>1</v>
      </c>
      <c r="I110" s="75">
        <f>G110*H110</f>
        <v>2.3094010767585032E-3</v>
      </c>
      <c r="J110" s="75">
        <f t="shared" si="42"/>
        <v>5.3333333333333337E-6</v>
      </c>
      <c r="K110" s="75">
        <f t="shared" si="43"/>
        <v>5.6888888888888893E-13</v>
      </c>
      <c r="L110" s="56"/>
      <c r="M110" s="56"/>
      <c r="N110" s="57"/>
      <c r="O110" s="57"/>
      <c r="P110" s="57"/>
      <c r="Q110" s="57"/>
      <c r="R110" s="57"/>
      <c r="S110" s="57"/>
      <c r="T110" s="57"/>
      <c r="U110" s="57"/>
      <c r="V110" s="57"/>
      <c r="W110" s="56"/>
      <c r="X110" s="56"/>
      <c r="Y110" s="56"/>
      <c r="Z110" s="57"/>
    </row>
    <row r="111" spans="1:26" ht="12.75" customHeight="1" x14ac:dyDescent="0.3">
      <c r="A111" s="78" t="s">
        <v>254</v>
      </c>
      <c r="B111" s="86" t="s">
        <v>63</v>
      </c>
      <c r="C111" s="75" t="s">
        <v>117</v>
      </c>
      <c r="D111" s="80">
        <f>D$27</f>
        <v>0.61915312760021013</v>
      </c>
      <c r="E111" s="80">
        <v>1</v>
      </c>
      <c r="F111" s="80">
        <f>F$27</f>
        <v>9</v>
      </c>
      <c r="G111" s="81">
        <f t="shared" si="40"/>
        <v>0.61915312760021013</v>
      </c>
      <c r="H111" s="81">
        <f>H108</f>
        <v>2.6323475621667676</v>
      </c>
      <c r="I111" s="75">
        <f t="shared" ref="I111:I112" si="44">G111*H111</f>
        <v>1.6298262260463428</v>
      </c>
      <c r="J111" s="75">
        <f t="shared" ref="J111:J112" si="45">I111^2</f>
        <v>2.6563335271084645</v>
      </c>
      <c r="K111" s="81">
        <f t="shared" si="43"/>
        <v>0.78401197858227734</v>
      </c>
      <c r="L111" s="56"/>
      <c r="M111" s="56"/>
      <c r="N111" s="57"/>
      <c r="O111" s="57"/>
      <c r="P111" s="57"/>
      <c r="Q111" s="57"/>
      <c r="R111" s="57"/>
      <c r="S111" s="57"/>
      <c r="T111" s="57"/>
      <c r="U111" s="57"/>
      <c r="V111" s="57"/>
      <c r="W111" s="56"/>
      <c r="X111" s="56"/>
      <c r="Y111" s="56"/>
      <c r="Z111" s="57"/>
    </row>
    <row r="112" spans="1:26" ht="12.75" customHeight="1" x14ac:dyDescent="0.3">
      <c r="A112" s="75" t="s">
        <v>253</v>
      </c>
      <c r="B112" s="86" t="s">
        <v>63</v>
      </c>
      <c r="C112" s="75" t="s">
        <v>114</v>
      </c>
      <c r="D112" s="76">
        <f>STDEV('Olahdata-PT100 C'!A22:E22)/SQRT(5)</f>
        <v>0</v>
      </c>
      <c r="E112" s="75">
        <v>1</v>
      </c>
      <c r="F112" s="75">
        <v>4</v>
      </c>
      <c r="G112" s="75">
        <f>D112/E112</f>
        <v>0</v>
      </c>
      <c r="H112" s="75">
        <f>H116</f>
        <v>2.5876876785181038</v>
      </c>
      <c r="I112" s="75">
        <f t="shared" si="44"/>
        <v>0</v>
      </c>
      <c r="J112" s="75">
        <f t="shared" si="45"/>
        <v>0</v>
      </c>
      <c r="K112" s="75">
        <f>J112^2/F112</f>
        <v>0</v>
      </c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7"/>
    </row>
    <row r="113" spans="1:26" ht="12.75" customHeight="1" x14ac:dyDescent="0.3">
      <c r="A113" s="75" t="s">
        <v>256</v>
      </c>
      <c r="B113" s="86" t="s">
        <v>63</v>
      </c>
      <c r="C113" s="79" t="s">
        <v>117</v>
      </c>
      <c r="D113" s="338">
        <f>'Olahdata-PT100 C'!U20</f>
        <v>4.4800000000000006E-2</v>
      </c>
      <c r="E113" s="75">
        <v>2</v>
      </c>
      <c r="F113" s="75">
        <v>60</v>
      </c>
      <c r="G113" s="75">
        <f t="shared" si="40"/>
        <v>2.2400000000000003E-2</v>
      </c>
      <c r="H113" s="81">
        <f>H116</f>
        <v>2.5876876785181038</v>
      </c>
      <c r="I113" s="75">
        <f t="shared" ref="I113:I119" si="46">G113*H113</f>
        <v>5.796420399880553E-2</v>
      </c>
      <c r="J113" s="75">
        <f t="shared" ref="J113:J119" si="47">I113^2</f>
        <v>3.359848945215143E-3</v>
      </c>
      <c r="K113" s="75">
        <f t="shared" si="43"/>
        <v>1.8814308224438849E-7</v>
      </c>
      <c r="L113" s="56"/>
      <c r="M113" s="56"/>
      <c r="N113" s="57"/>
      <c r="O113" s="57"/>
      <c r="P113" s="57"/>
      <c r="Q113" s="57"/>
      <c r="R113" s="57"/>
      <c r="S113" s="57"/>
      <c r="T113" s="57"/>
      <c r="U113" s="57"/>
      <c r="V113" s="57"/>
      <c r="W113" s="56"/>
      <c r="X113" s="56"/>
      <c r="Y113" s="56"/>
      <c r="Z113" s="57"/>
    </row>
    <row r="114" spans="1:26" ht="12.75" customHeight="1" x14ac:dyDescent="0.3">
      <c r="A114" s="75" t="s">
        <v>257</v>
      </c>
      <c r="B114" s="86" t="s">
        <v>63</v>
      </c>
      <c r="C114" s="75" t="s">
        <v>116</v>
      </c>
      <c r="D114" s="138">
        <f>0.1*ABS('Olahdata-PT100 C'!G22)</f>
        <v>5.4230082367052214E-3</v>
      </c>
      <c r="E114" s="75">
        <f>SQRT(3)</f>
        <v>1.7320508075688772</v>
      </c>
      <c r="F114" s="75">
        <v>50</v>
      </c>
      <c r="G114" s="75">
        <f t="shared" si="40"/>
        <v>3.1309752652793174E-3</v>
      </c>
      <c r="H114" s="75">
        <f>H116</f>
        <v>2.5876876785181038</v>
      </c>
      <c r="I114" s="75">
        <f t="shared" si="46"/>
        <v>8.1019861157082419E-3</v>
      </c>
      <c r="J114" s="75">
        <f t="shared" si="47"/>
        <v>6.564217901912913E-5</v>
      </c>
      <c r="K114" s="75">
        <f t="shared" si="43"/>
        <v>8.6177913327587934E-11</v>
      </c>
      <c r="L114" s="56"/>
      <c r="M114" s="56"/>
      <c r="N114" s="57"/>
      <c r="O114" s="57"/>
      <c r="P114" s="57"/>
      <c r="Q114" s="57"/>
      <c r="R114" s="57"/>
      <c r="S114" s="57"/>
      <c r="T114" s="57"/>
      <c r="U114" s="57"/>
      <c r="V114" s="57"/>
      <c r="W114" s="56"/>
      <c r="X114" s="56"/>
      <c r="Y114" s="56"/>
      <c r="Z114" s="57"/>
    </row>
    <row r="115" spans="1:26" ht="12.75" customHeight="1" x14ac:dyDescent="0.3">
      <c r="A115" s="75" t="s">
        <v>258</v>
      </c>
      <c r="B115" s="86" t="s">
        <v>113</v>
      </c>
      <c r="C115" s="75" t="s">
        <v>117</v>
      </c>
      <c r="D115" s="77">
        <v>0.19</v>
      </c>
      <c r="E115" s="75">
        <v>2</v>
      </c>
      <c r="F115" s="75">
        <v>60</v>
      </c>
      <c r="G115" s="75">
        <f t="shared" si="40"/>
        <v>9.5000000000000001E-2</v>
      </c>
      <c r="H115" s="75">
        <v>1</v>
      </c>
      <c r="I115" s="75">
        <f t="shared" si="46"/>
        <v>9.5000000000000001E-2</v>
      </c>
      <c r="J115" s="75">
        <f t="shared" si="47"/>
        <v>9.025E-3</v>
      </c>
      <c r="K115" s="75">
        <f t="shared" si="43"/>
        <v>1.3575104166666666E-6</v>
      </c>
      <c r="L115" s="56"/>
      <c r="M115" s="56"/>
      <c r="N115" s="106"/>
      <c r="O115" s="106"/>
      <c r="P115" s="106"/>
      <c r="Q115" s="106"/>
      <c r="R115" s="106"/>
      <c r="S115" s="106"/>
      <c r="T115" s="106"/>
      <c r="U115" s="106"/>
      <c r="V115" s="106"/>
      <c r="W115" s="56"/>
      <c r="X115" s="56"/>
      <c r="Y115" s="56"/>
      <c r="Z115" s="57"/>
    </row>
    <row r="116" spans="1:26" ht="12.75" customHeight="1" x14ac:dyDescent="0.3">
      <c r="A116" s="75" t="s">
        <v>255</v>
      </c>
      <c r="B116" s="86" t="s">
        <v>63</v>
      </c>
      <c r="C116" s="75" t="s">
        <v>116</v>
      </c>
      <c r="D116" s="82">
        <f>VLOOKUP(C105,Table1[],7,TRUE)</f>
        <v>7.116841660864727E-2</v>
      </c>
      <c r="E116" s="75">
        <f t="shared" ref="E116:E119" si="48">SQRT(3)</f>
        <v>1.7320508075688772</v>
      </c>
      <c r="F116" s="75">
        <v>50</v>
      </c>
      <c r="G116" s="75">
        <f t="shared" si="40"/>
        <v>4.1089104486801933E-2</v>
      </c>
      <c r="H116" s="289">
        <f>VLOOKUP(C105,Table1[#All],8,TRUE)</f>
        <v>2.5876876785181038</v>
      </c>
      <c r="I116" s="75">
        <f t="shared" si="46"/>
        <v>0.1063257694018403</v>
      </c>
      <c r="J116" s="75">
        <f t="shared" si="47"/>
        <v>1.1305169238893319E-2</v>
      </c>
      <c r="K116" s="75">
        <f t="shared" si="43"/>
        <v>2.5561370304003944E-6</v>
      </c>
      <c r="L116" s="56"/>
      <c r="M116" s="56"/>
      <c r="N116" s="57"/>
      <c r="O116" s="57"/>
      <c r="P116" s="57"/>
      <c r="Q116" s="57"/>
      <c r="R116" s="57"/>
      <c r="S116" s="57"/>
      <c r="T116" s="57"/>
      <c r="U116" s="57"/>
      <c r="V116" s="57"/>
      <c r="W116" s="56"/>
      <c r="X116" s="56"/>
      <c r="Y116" s="56"/>
      <c r="Z116" s="57"/>
    </row>
    <row r="117" spans="1:26" ht="12.75" customHeight="1" x14ac:dyDescent="0.3">
      <c r="A117" s="75" t="s">
        <v>260</v>
      </c>
      <c r="B117" s="86" t="s">
        <v>113</v>
      </c>
      <c r="C117" s="75" t="s">
        <v>116</v>
      </c>
      <c r="D117" s="75">
        <f>20/10^3</f>
        <v>0.02</v>
      </c>
      <c r="E117" s="75">
        <f t="shared" si="48"/>
        <v>1.7320508075688772</v>
      </c>
      <c r="F117" s="75">
        <v>50</v>
      </c>
      <c r="G117" s="75">
        <f t="shared" si="40"/>
        <v>1.1547005383792516E-2</v>
      </c>
      <c r="H117" s="75">
        <v>1</v>
      </c>
      <c r="I117" s="75">
        <f>G117*H117</f>
        <v>1.1547005383792516E-2</v>
      </c>
      <c r="J117" s="75">
        <f t="shared" si="47"/>
        <v>1.3333333333333334E-4</v>
      </c>
      <c r="K117" s="75">
        <f t="shared" si="43"/>
        <v>3.555555555555556E-10</v>
      </c>
      <c r="L117" s="56"/>
      <c r="M117" s="56"/>
      <c r="N117" s="57"/>
      <c r="O117" s="57"/>
      <c r="P117" s="57"/>
      <c r="Q117" s="57"/>
      <c r="R117" s="57"/>
      <c r="S117" s="57"/>
      <c r="T117" s="57"/>
      <c r="U117" s="57"/>
      <c r="V117" s="57"/>
      <c r="W117" s="56"/>
      <c r="X117" s="56"/>
      <c r="Y117" s="56"/>
      <c r="Z117" s="57"/>
    </row>
    <row r="118" spans="1:26" ht="12.75" customHeight="1" x14ac:dyDescent="0.3">
      <c r="A118" s="75" t="s">
        <v>261</v>
      </c>
      <c r="B118" s="86" t="s">
        <v>113</v>
      </c>
      <c r="C118" s="75" t="s">
        <v>116</v>
      </c>
      <c r="D118" s="288">
        <f>'Oil Bath'!C8</f>
        <v>0.21</v>
      </c>
      <c r="E118" s="75">
        <f t="shared" si="48"/>
        <v>1.7320508075688772</v>
      </c>
      <c r="F118" s="75">
        <v>50</v>
      </c>
      <c r="G118" s="75">
        <f t="shared" si="40"/>
        <v>0.12124355652982141</v>
      </c>
      <c r="H118" s="75">
        <v>1</v>
      </c>
      <c r="I118" s="75">
        <f t="shared" si="46"/>
        <v>0.12124355652982141</v>
      </c>
      <c r="J118" s="75">
        <f t="shared" si="47"/>
        <v>1.47E-2</v>
      </c>
      <c r="K118" s="75">
        <f t="shared" si="43"/>
        <v>4.3217999999999999E-6</v>
      </c>
      <c r="L118" s="56"/>
      <c r="M118" s="56"/>
      <c r="N118" s="57"/>
      <c r="O118" s="57"/>
      <c r="P118" s="57"/>
      <c r="Q118" s="57"/>
      <c r="R118" s="57"/>
      <c r="S118" s="57"/>
      <c r="T118" s="57"/>
      <c r="U118" s="57"/>
      <c r="V118" s="57"/>
      <c r="W118" s="56"/>
      <c r="X118" s="56"/>
      <c r="Y118" s="56"/>
      <c r="Z118" s="57"/>
    </row>
    <row r="119" spans="1:26" ht="12.75" customHeight="1" x14ac:dyDescent="0.3">
      <c r="A119" s="75" t="s">
        <v>262</v>
      </c>
      <c r="B119" s="253" t="s">
        <v>113</v>
      </c>
      <c r="C119" s="75" t="s">
        <v>116</v>
      </c>
      <c r="D119" s="288">
        <f>'Oil Bath'!D8</f>
        <v>0.21</v>
      </c>
      <c r="E119" s="75">
        <f t="shared" si="48"/>
        <v>1.7320508075688772</v>
      </c>
      <c r="F119" s="75">
        <v>50</v>
      </c>
      <c r="G119" s="75">
        <f t="shared" si="40"/>
        <v>0.12124355652982141</v>
      </c>
      <c r="H119" s="75">
        <v>1</v>
      </c>
      <c r="I119" s="75">
        <f t="shared" si="46"/>
        <v>0.12124355652982141</v>
      </c>
      <c r="J119" s="75">
        <f t="shared" si="47"/>
        <v>1.47E-2</v>
      </c>
      <c r="K119" s="75">
        <f t="shared" si="43"/>
        <v>4.3217999999999999E-6</v>
      </c>
      <c r="L119" s="56"/>
      <c r="M119" s="56"/>
      <c r="N119" s="57"/>
      <c r="O119" s="57"/>
      <c r="P119" s="57"/>
      <c r="Q119" s="57"/>
      <c r="R119" s="57"/>
      <c r="S119" s="57"/>
      <c r="T119" s="57"/>
      <c r="U119" s="57"/>
      <c r="V119" s="57"/>
      <c r="W119" s="56"/>
      <c r="X119" s="56"/>
      <c r="Y119" s="56"/>
      <c r="Z119" s="57"/>
    </row>
    <row r="120" spans="1:26" ht="12.75" customHeight="1" x14ac:dyDescent="0.3">
      <c r="A120" s="83" t="s">
        <v>118</v>
      </c>
      <c r="B120" s="84"/>
      <c r="C120" s="91"/>
      <c r="D120" s="92"/>
      <c r="E120" s="91"/>
      <c r="F120" s="91"/>
      <c r="G120" s="91"/>
      <c r="H120" s="91"/>
      <c r="I120" s="93"/>
      <c r="J120" s="75">
        <f>SUM(J108:J119)</f>
        <v>2.70968386560557</v>
      </c>
      <c r="K120" s="56"/>
      <c r="L120" s="56"/>
      <c r="M120" s="56"/>
      <c r="N120" s="57"/>
      <c r="O120" s="57"/>
      <c r="P120" s="57"/>
      <c r="Q120" s="57"/>
      <c r="R120" s="57"/>
      <c r="S120" s="57"/>
      <c r="T120" s="57"/>
      <c r="U120" s="57"/>
      <c r="V120" s="57"/>
      <c r="W120" s="56"/>
      <c r="X120" s="56"/>
      <c r="Y120" s="56"/>
      <c r="Z120" s="57"/>
    </row>
    <row r="121" spans="1:26" ht="12.75" customHeight="1" x14ac:dyDescent="0.3">
      <c r="A121" s="83" t="s">
        <v>119</v>
      </c>
      <c r="B121" s="84"/>
      <c r="C121" s="84"/>
      <c r="D121" s="85"/>
      <c r="E121" s="84"/>
      <c r="F121" s="84"/>
      <c r="G121" s="84"/>
      <c r="H121" s="84"/>
      <c r="I121" s="86"/>
      <c r="J121" s="75">
        <f>SQRT(J120)</f>
        <v>1.646111741530802</v>
      </c>
      <c r="K121" s="56"/>
      <c r="L121" s="56"/>
      <c r="M121" s="56"/>
      <c r="N121" s="57"/>
      <c r="O121" s="57"/>
      <c r="P121" s="57"/>
      <c r="Q121" s="57"/>
      <c r="R121" s="57"/>
      <c r="S121" s="57"/>
      <c r="T121" s="57"/>
      <c r="U121" s="57"/>
      <c r="V121" s="57"/>
      <c r="W121" s="56"/>
      <c r="X121" s="56"/>
      <c r="Y121" s="56"/>
      <c r="Z121" s="57"/>
    </row>
    <row r="122" spans="1:26" ht="12.75" customHeight="1" x14ac:dyDescent="0.3">
      <c r="A122" s="83" t="s">
        <v>120</v>
      </c>
      <c r="B122" s="84"/>
      <c r="C122" s="84"/>
      <c r="D122" s="85"/>
      <c r="E122" s="84"/>
      <c r="F122" s="84"/>
      <c r="G122" s="84"/>
      <c r="H122" s="84"/>
      <c r="I122" s="86"/>
      <c r="J122" s="75">
        <f>J121^4/SUM(K108:K119)</f>
        <v>9.3649937543930228</v>
      </c>
      <c r="K122" s="56"/>
      <c r="L122" s="56"/>
      <c r="M122" s="56"/>
      <c r="N122" s="57"/>
      <c r="O122" s="57"/>
      <c r="P122" s="57"/>
      <c r="Q122" s="57"/>
      <c r="R122" s="57"/>
      <c r="S122" s="57"/>
      <c r="T122" s="57"/>
      <c r="U122" s="57"/>
      <c r="V122" s="57"/>
      <c r="W122" s="56"/>
      <c r="X122" s="56"/>
      <c r="Y122" s="56"/>
      <c r="Z122" s="57"/>
    </row>
    <row r="123" spans="1:26" ht="12.75" customHeight="1" x14ac:dyDescent="0.3">
      <c r="A123" s="83" t="s">
        <v>121</v>
      </c>
      <c r="B123" s="84"/>
      <c r="C123" s="84"/>
      <c r="D123" s="85"/>
      <c r="E123" s="84"/>
      <c r="F123" s="84"/>
      <c r="G123" s="84"/>
      <c r="H123" s="84"/>
      <c r="I123" s="86"/>
      <c r="J123" s="75">
        <f>1.95996+2.37356/J122+2.818745/J122^2+2.546662/J122^3+1.761829/J122^4+0.245458/J122^5+1.000764/J122^6</f>
        <v>2.2488844390010261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7"/>
    </row>
    <row r="124" spans="1:26" ht="12.75" customHeight="1" x14ac:dyDescent="0.3">
      <c r="A124" s="83" t="s">
        <v>216</v>
      </c>
      <c r="B124" s="84"/>
      <c r="C124" s="84"/>
      <c r="D124" s="85"/>
      <c r="E124" s="84"/>
      <c r="F124" s="84"/>
      <c r="G124" s="84"/>
      <c r="H124" s="84"/>
      <c r="I124" s="86"/>
      <c r="J124" s="87">
        <f>J121*J123</f>
        <v>3.7019150803854997</v>
      </c>
      <c r="K124" s="56">
        <v>0.41</v>
      </c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7"/>
    </row>
    <row r="125" spans="1:26" ht="12.75" customHeight="1" x14ac:dyDescent="0.3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7"/>
    </row>
    <row r="126" spans="1:26" ht="12.75" customHeight="1" x14ac:dyDescent="0.3">
      <c r="A126" s="71" t="str">
        <f>A$21</f>
        <v>Rentang ukur PT100 (0~250) ⁰C</v>
      </c>
      <c r="B126" s="56"/>
      <c r="C126" s="72">
        <f>'Olahdata-PT100 C'!I23</f>
        <v>125.06223905222049</v>
      </c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7"/>
    </row>
    <row r="127" spans="1:26" ht="12.75" customHeight="1" x14ac:dyDescent="0.3">
      <c r="A127" s="105" t="s">
        <v>87</v>
      </c>
      <c r="B127" s="73" t="s">
        <v>88</v>
      </c>
      <c r="C127" s="88" t="s">
        <v>89</v>
      </c>
      <c r="D127" s="74" t="s">
        <v>90</v>
      </c>
      <c r="E127" s="73" t="s">
        <v>91</v>
      </c>
      <c r="F127" s="73" t="s">
        <v>92</v>
      </c>
      <c r="G127" s="73" t="s">
        <v>93</v>
      </c>
      <c r="H127" s="73" t="s">
        <v>94</v>
      </c>
      <c r="I127" s="73" t="s">
        <v>95</v>
      </c>
      <c r="J127" s="73" t="s">
        <v>96</v>
      </c>
      <c r="K127" s="73" t="s">
        <v>97</v>
      </c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5"/>
    </row>
    <row r="128" spans="1:26" ht="12.75" customHeight="1" x14ac:dyDescent="0.3">
      <c r="A128" s="103" t="s">
        <v>98</v>
      </c>
      <c r="B128" s="107" t="s">
        <v>113</v>
      </c>
      <c r="C128" s="73" t="s">
        <v>100</v>
      </c>
      <c r="D128" s="74" t="s">
        <v>101</v>
      </c>
      <c r="E128" s="73" t="s">
        <v>102</v>
      </c>
      <c r="F128" s="73" t="s">
        <v>103</v>
      </c>
      <c r="G128" s="73" t="s">
        <v>104</v>
      </c>
      <c r="H128" s="73" t="s">
        <v>105</v>
      </c>
      <c r="I128" s="73" t="s">
        <v>106</v>
      </c>
      <c r="J128" s="73" t="s">
        <v>107</v>
      </c>
      <c r="K128" s="73" t="s">
        <v>108</v>
      </c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5"/>
    </row>
    <row r="129" spans="1:26" ht="12.75" customHeight="1" x14ac:dyDescent="0.3">
      <c r="A129" s="75" t="s">
        <v>112</v>
      </c>
      <c r="B129" s="86" t="s">
        <v>63</v>
      </c>
      <c r="C129" s="75" t="s">
        <v>114</v>
      </c>
      <c r="D129" s="76">
        <f>STDEV('Olahdata-PT100 C'!J23:N23)/SQRT(5)</f>
        <v>2.4494897427879119E-3</v>
      </c>
      <c r="E129" s="75">
        <v>1</v>
      </c>
      <c r="F129" s="75">
        <v>4</v>
      </c>
      <c r="G129" s="75">
        <f t="shared" ref="G129:G140" si="49">D129/E129</f>
        <v>2.4494897427879119E-3</v>
      </c>
      <c r="H129" s="75">
        <f>1/('Olahdata-PT100 C'!AE117-'Olahdata-PT100 C'!AD117)</f>
        <v>2.6547849388239961</v>
      </c>
      <c r="I129" s="75">
        <f t="shared" ref="I129:I130" si="50">G129*H129</f>
        <v>6.5028684769572126E-3</v>
      </c>
      <c r="J129" s="75">
        <f t="shared" ref="J129:J131" si="51">I129^2</f>
        <v>4.228729842860382E-5</v>
      </c>
      <c r="K129" s="75">
        <f t="shared" ref="K129:K140" si="52">J129^2/F129</f>
        <v>4.470539020974498E-10</v>
      </c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7"/>
    </row>
    <row r="130" spans="1:26" ht="12.75" customHeight="1" x14ac:dyDescent="0.3">
      <c r="A130" s="75" t="s">
        <v>115</v>
      </c>
      <c r="B130" s="86" t="s">
        <v>63</v>
      </c>
      <c r="C130" s="75" t="s">
        <v>116</v>
      </c>
      <c r="D130" s="81">
        <f>D25</f>
        <v>2.5000000000000001E-3</v>
      </c>
      <c r="E130" s="75">
        <f>SQRT(3)</f>
        <v>1.7320508075688772</v>
      </c>
      <c r="F130" s="75">
        <v>50</v>
      </c>
      <c r="G130" s="75">
        <f t="shared" si="49"/>
        <v>1.4433756729740645E-3</v>
      </c>
      <c r="H130" s="75">
        <f>H129</f>
        <v>2.6547849388239961</v>
      </c>
      <c r="I130" s="75">
        <f t="shared" si="50"/>
        <v>3.8318519976764959E-3</v>
      </c>
      <c r="J130" s="75">
        <f t="shared" si="51"/>
        <v>1.4683089732097353E-5</v>
      </c>
      <c r="K130" s="75">
        <f t="shared" si="52"/>
        <v>4.3118624816164537E-12</v>
      </c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7"/>
    </row>
    <row r="131" spans="1:26" ht="12.75" customHeight="1" x14ac:dyDescent="0.3">
      <c r="A131" s="78" t="s">
        <v>259</v>
      </c>
      <c r="B131" s="86" t="s">
        <v>113</v>
      </c>
      <c r="C131" s="75" t="s">
        <v>116</v>
      </c>
      <c r="D131" s="77">
        <f>4/10^3</f>
        <v>4.0000000000000001E-3</v>
      </c>
      <c r="E131" s="75">
        <f>SQRT(3)</f>
        <v>1.7320508075688772</v>
      </c>
      <c r="F131" s="75">
        <v>50</v>
      </c>
      <c r="G131" s="75">
        <f t="shared" si="49"/>
        <v>2.3094010767585032E-3</v>
      </c>
      <c r="H131" s="75">
        <v>1</v>
      </c>
      <c r="I131" s="75">
        <f>G131*H131</f>
        <v>2.3094010767585032E-3</v>
      </c>
      <c r="J131" s="75">
        <f t="shared" si="51"/>
        <v>5.3333333333333337E-6</v>
      </c>
      <c r="K131" s="75">
        <f t="shared" si="52"/>
        <v>5.6888888888888893E-13</v>
      </c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7"/>
    </row>
    <row r="132" spans="1:26" ht="12.75" customHeight="1" x14ac:dyDescent="0.3">
      <c r="A132" s="78" t="s">
        <v>254</v>
      </c>
      <c r="B132" s="86" t="s">
        <v>63</v>
      </c>
      <c r="C132" s="75" t="s">
        <v>117</v>
      </c>
      <c r="D132" s="80">
        <f>D$27</f>
        <v>0.61915312760021013</v>
      </c>
      <c r="E132" s="80">
        <v>1</v>
      </c>
      <c r="F132" s="80">
        <f>F$27</f>
        <v>9</v>
      </c>
      <c r="G132" s="81">
        <f t="shared" si="49"/>
        <v>0.61915312760021013</v>
      </c>
      <c r="H132" s="81">
        <f>H129</f>
        <v>2.6547849388239961</v>
      </c>
      <c r="I132" s="75">
        <f t="shared" ref="I132:I133" si="53">G132*H132</f>
        <v>1.6437183979788097</v>
      </c>
      <c r="J132" s="75">
        <f t="shared" ref="J132:J133" si="54">I132^2</f>
        <v>2.7018101718540248</v>
      </c>
      <c r="K132" s="81">
        <f t="shared" si="52"/>
        <v>0.81108646719265276</v>
      </c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7"/>
    </row>
    <row r="133" spans="1:26" ht="12.75" customHeight="1" x14ac:dyDescent="0.3">
      <c r="A133" s="75" t="s">
        <v>253</v>
      </c>
      <c r="B133" s="86" t="s">
        <v>63</v>
      </c>
      <c r="C133" s="75" t="s">
        <v>114</v>
      </c>
      <c r="D133" s="76">
        <f>STDEV('Olahdata-PT100 C'!A23:E23)/SQRT(5)</f>
        <v>9.9999999999909038E-4</v>
      </c>
      <c r="E133" s="75">
        <v>1</v>
      </c>
      <c r="F133" s="75">
        <v>4</v>
      </c>
      <c r="G133" s="75">
        <f>D133/E133</f>
        <v>9.9999999999909038E-4</v>
      </c>
      <c r="H133" s="75">
        <f>H137</f>
        <v>2.6074211900426758</v>
      </c>
      <c r="I133" s="75">
        <f t="shared" si="53"/>
        <v>2.6074211900403042E-3</v>
      </c>
      <c r="J133" s="75">
        <f t="shared" si="54"/>
        <v>6.7986452622711959E-6</v>
      </c>
      <c r="K133" s="75">
        <f>J133^2/F133</f>
        <v>1.1555394350550644E-11</v>
      </c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7"/>
    </row>
    <row r="134" spans="1:26" ht="12.75" customHeight="1" x14ac:dyDescent="0.3">
      <c r="A134" s="75" t="s">
        <v>256</v>
      </c>
      <c r="B134" s="86" t="s">
        <v>63</v>
      </c>
      <c r="C134" s="79" t="s">
        <v>117</v>
      </c>
      <c r="D134" s="338">
        <f>'Olahdata-PT100 C'!U20</f>
        <v>4.4800000000000006E-2</v>
      </c>
      <c r="E134" s="75">
        <v>2</v>
      </c>
      <c r="F134" s="75">
        <v>60</v>
      </c>
      <c r="G134" s="75">
        <f t="shared" si="49"/>
        <v>2.2400000000000003E-2</v>
      </c>
      <c r="H134" s="81">
        <f>H137</f>
        <v>2.6074211900426758</v>
      </c>
      <c r="I134" s="75">
        <f t="shared" ref="I134:I140" si="55">G134*H134</f>
        <v>5.8406234656955949E-2</v>
      </c>
      <c r="J134" s="75">
        <f t="shared" ref="J134:J140" si="56">I134^2</f>
        <v>3.4112882468034021E-3</v>
      </c>
      <c r="K134" s="75">
        <f t="shared" si="52"/>
        <v>1.9394812504631713E-7</v>
      </c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7"/>
    </row>
    <row r="135" spans="1:26" ht="12.75" customHeight="1" x14ac:dyDescent="0.3">
      <c r="A135" s="75" t="s">
        <v>257</v>
      </c>
      <c r="B135" s="86" t="s">
        <v>63</v>
      </c>
      <c r="C135" s="75" t="s">
        <v>116</v>
      </c>
      <c r="D135" s="138">
        <f>0.1*ABS('Olahdata-PT100 C'!G23)</f>
        <v>5.6743813035510515E-3</v>
      </c>
      <c r="E135" s="75">
        <f>SQRT(3)</f>
        <v>1.7320508075688772</v>
      </c>
      <c r="F135" s="75">
        <v>50</v>
      </c>
      <c r="G135" s="75">
        <f t="shared" si="49"/>
        <v>3.2761055730897793E-3</v>
      </c>
      <c r="H135" s="75">
        <f>H137</f>
        <v>2.6074211900426758</v>
      </c>
      <c r="I135" s="75">
        <f t="shared" si="55"/>
        <v>8.5421870920911955E-3</v>
      </c>
      <c r="J135" s="75">
        <f t="shared" si="56"/>
        <v>7.296896031628943E-5</v>
      </c>
      <c r="K135" s="75">
        <f t="shared" si="52"/>
        <v>1.0648938339280443E-10</v>
      </c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7"/>
    </row>
    <row r="136" spans="1:26" ht="12.75" customHeight="1" x14ac:dyDescent="0.3">
      <c r="A136" s="75" t="s">
        <v>258</v>
      </c>
      <c r="B136" s="86" t="s">
        <v>113</v>
      </c>
      <c r="C136" s="75" t="s">
        <v>117</v>
      </c>
      <c r="D136" s="77">
        <v>0.19</v>
      </c>
      <c r="E136" s="75">
        <v>2</v>
      </c>
      <c r="F136" s="75">
        <v>60</v>
      </c>
      <c r="G136" s="75">
        <f t="shared" si="49"/>
        <v>9.5000000000000001E-2</v>
      </c>
      <c r="H136" s="75">
        <v>1</v>
      </c>
      <c r="I136" s="75">
        <f t="shared" si="55"/>
        <v>9.5000000000000001E-2</v>
      </c>
      <c r="J136" s="75">
        <f t="shared" si="56"/>
        <v>9.025E-3</v>
      </c>
      <c r="K136" s="75">
        <f t="shared" si="52"/>
        <v>1.3575104166666666E-6</v>
      </c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7"/>
    </row>
    <row r="137" spans="1:26" ht="12.75" customHeight="1" x14ac:dyDescent="0.3">
      <c r="A137" s="75" t="s">
        <v>255</v>
      </c>
      <c r="B137" s="86" t="s">
        <v>63</v>
      </c>
      <c r="C137" s="75" t="s">
        <v>116</v>
      </c>
      <c r="D137" s="82">
        <f>VLOOKUP(C126,Table1[],7,TRUE)</f>
        <v>7.9975692870744422E-2</v>
      </c>
      <c r="E137" s="75">
        <f t="shared" ref="E137:E140" si="57">SQRT(3)</f>
        <v>1.7320508075688772</v>
      </c>
      <c r="F137" s="75">
        <v>50</v>
      </c>
      <c r="G137" s="75">
        <f t="shared" si="49"/>
        <v>4.617398780755113E-2</v>
      </c>
      <c r="H137" s="289">
        <f>VLOOKUP(C126,Table1[#All],8,TRUE)</f>
        <v>2.6074211900426758</v>
      </c>
      <c r="I137" s="75">
        <f t="shared" si="55"/>
        <v>0.12039503423818097</v>
      </c>
      <c r="J137" s="75">
        <f t="shared" si="56"/>
        <v>1.4494964269212769E-2</v>
      </c>
      <c r="K137" s="75">
        <f t="shared" si="52"/>
        <v>4.2020797833150971E-6</v>
      </c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7"/>
    </row>
    <row r="138" spans="1:26" ht="12.75" customHeight="1" x14ac:dyDescent="0.3">
      <c r="A138" s="75" t="s">
        <v>260</v>
      </c>
      <c r="B138" s="86" t="s">
        <v>113</v>
      </c>
      <c r="C138" s="75" t="s">
        <v>116</v>
      </c>
      <c r="D138" s="75">
        <f>20/10^3</f>
        <v>0.02</v>
      </c>
      <c r="E138" s="75">
        <f t="shared" si="57"/>
        <v>1.7320508075688772</v>
      </c>
      <c r="F138" s="75">
        <v>50</v>
      </c>
      <c r="G138" s="75">
        <f t="shared" si="49"/>
        <v>1.1547005383792516E-2</v>
      </c>
      <c r="H138" s="75">
        <v>1</v>
      </c>
      <c r="I138" s="75">
        <f>G138*H138</f>
        <v>1.1547005383792516E-2</v>
      </c>
      <c r="J138" s="75">
        <f t="shared" si="56"/>
        <v>1.3333333333333334E-4</v>
      </c>
      <c r="K138" s="75">
        <f t="shared" si="52"/>
        <v>3.555555555555556E-10</v>
      </c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7"/>
    </row>
    <row r="139" spans="1:26" ht="12.75" customHeight="1" x14ac:dyDescent="0.3">
      <c r="A139" s="75" t="s">
        <v>261</v>
      </c>
      <c r="B139" s="86" t="s">
        <v>113</v>
      </c>
      <c r="C139" s="75" t="s">
        <v>116</v>
      </c>
      <c r="D139" s="288">
        <f>'Oil Bath'!C9</f>
        <v>0.2</v>
      </c>
      <c r="E139" s="75">
        <f t="shared" si="57"/>
        <v>1.7320508075688772</v>
      </c>
      <c r="F139" s="75">
        <v>50</v>
      </c>
      <c r="G139" s="75">
        <f t="shared" si="49"/>
        <v>0.11547005383792516</v>
      </c>
      <c r="H139" s="75">
        <v>1</v>
      </c>
      <c r="I139" s="75">
        <f t="shared" si="55"/>
        <v>0.11547005383792516</v>
      </c>
      <c r="J139" s="75">
        <f t="shared" si="56"/>
        <v>1.3333333333333336E-2</v>
      </c>
      <c r="K139" s="75">
        <f t="shared" si="52"/>
        <v>3.5555555555555568E-6</v>
      </c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7"/>
    </row>
    <row r="140" spans="1:26" ht="12.75" customHeight="1" x14ac:dyDescent="0.3">
      <c r="A140" s="75" t="s">
        <v>262</v>
      </c>
      <c r="B140" s="253" t="s">
        <v>113</v>
      </c>
      <c r="C140" s="75" t="s">
        <v>116</v>
      </c>
      <c r="D140" s="288">
        <f>'Oil Bath'!D9</f>
        <v>0.24</v>
      </c>
      <c r="E140" s="75">
        <f t="shared" si="57"/>
        <v>1.7320508075688772</v>
      </c>
      <c r="F140" s="75">
        <v>50</v>
      </c>
      <c r="G140" s="75">
        <f t="shared" si="49"/>
        <v>0.13856406460551018</v>
      </c>
      <c r="H140" s="75">
        <v>1</v>
      </c>
      <c r="I140" s="75">
        <f t="shared" si="55"/>
        <v>0.13856406460551018</v>
      </c>
      <c r="J140" s="75">
        <f t="shared" si="56"/>
        <v>1.9200000000000002E-2</v>
      </c>
      <c r="K140" s="75">
        <f t="shared" si="52"/>
        <v>7.3728000000000008E-6</v>
      </c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7"/>
    </row>
    <row r="141" spans="1:26" ht="12.75" customHeight="1" x14ac:dyDescent="0.3">
      <c r="A141" s="83" t="s">
        <v>118</v>
      </c>
      <c r="B141" s="84"/>
      <c r="C141" s="91"/>
      <c r="D141" s="92"/>
      <c r="E141" s="91"/>
      <c r="F141" s="91"/>
      <c r="G141" s="91"/>
      <c r="H141" s="91"/>
      <c r="I141" s="93"/>
      <c r="J141" s="75">
        <f>SUM(J129:J140)</f>
        <v>2.7615501623637804</v>
      </c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7"/>
    </row>
    <row r="142" spans="1:26" ht="12.75" customHeight="1" x14ac:dyDescent="0.3">
      <c r="A142" s="83" t="s">
        <v>119</v>
      </c>
      <c r="B142" s="84"/>
      <c r="C142" s="84"/>
      <c r="D142" s="85"/>
      <c r="E142" s="84"/>
      <c r="F142" s="84"/>
      <c r="G142" s="84"/>
      <c r="H142" s="84"/>
      <c r="I142" s="86"/>
      <c r="J142" s="75">
        <f>SQRT(J141)</f>
        <v>1.6617912511394988</v>
      </c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7"/>
    </row>
    <row r="143" spans="1:26" ht="12.75" customHeight="1" x14ac:dyDescent="0.3">
      <c r="A143" s="83" t="s">
        <v>120</v>
      </c>
      <c r="B143" s="84"/>
      <c r="C143" s="84"/>
      <c r="D143" s="85"/>
      <c r="E143" s="84"/>
      <c r="F143" s="84"/>
      <c r="G143" s="84"/>
      <c r="H143" s="84"/>
      <c r="I143" s="86"/>
      <c r="J143" s="75">
        <f>J142^4/SUM(K129:K140)</f>
        <v>9.4022064877173221</v>
      </c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7"/>
    </row>
    <row r="144" spans="1:26" ht="12.75" customHeight="1" x14ac:dyDescent="0.3">
      <c r="A144" s="83" t="s">
        <v>121</v>
      </c>
      <c r="B144" s="84"/>
      <c r="C144" s="84"/>
      <c r="D144" s="85"/>
      <c r="E144" s="84"/>
      <c r="F144" s="84"/>
      <c r="G144" s="84"/>
      <c r="H144" s="84"/>
      <c r="I144" s="86"/>
      <c r="J144" s="75">
        <f>1.95996+2.37356/J143+2.818745/J143^2+2.546662/J143^3+1.761829/J143^4+0.245458/J143^5+1.000764/J143^6</f>
        <v>2.2475870330296455</v>
      </c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7"/>
    </row>
    <row r="145" spans="1:26" ht="12.75" customHeight="1" x14ac:dyDescent="0.3">
      <c r="A145" s="83" t="s">
        <v>216</v>
      </c>
      <c r="B145" s="84"/>
      <c r="C145" s="84"/>
      <c r="D145" s="85"/>
      <c r="E145" s="84"/>
      <c r="F145" s="84"/>
      <c r="G145" s="84"/>
      <c r="H145" s="84"/>
      <c r="I145" s="86"/>
      <c r="J145" s="87">
        <f>J142*J144</f>
        <v>3.7350204676632486</v>
      </c>
      <c r="K145" s="56">
        <v>0.41</v>
      </c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7"/>
    </row>
    <row r="146" spans="1:26" ht="12.75" customHeight="1" x14ac:dyDescent="0.3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7"/>
    </row>
    <row r="147" spans="1:26" ht="12.75" customHeight="1" x14ac:dyDescent="0.3">
      <c r="A147" s="71" t="str">
        <f>A$21</f>
        <v>Rentang ukur PT100 (0~250) ⁰C</v>
      </c>
      <c r="B147" s="56"/>
      <c r="C147" s="72">
        <f>'Olahdata-PT100 C'!I24</f>
        <v>150.05235475877481</v>
      </c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7"/>
    </row>
    <row r="148" spans="1:26" ht="12.75" customHeight="1" x14ac:dyDescent="0.3">
      <c r="A148" s="105" t="s">
        <v>87</v>
      </c>
      <c r="B148" s="73" t="s">
        <v>88</v>
      </c>
      <c r="C148" s="88" t="s">
        <v>89</v>
      </c>
      <c r="D148" s="74" t="s">
        <v>90</v>
      </c>
      <c r="E148" s="73" t="s">
        <v>91</v>
      </c>
      <c r="F148" s="73" t="s">
        <v>92</v>
      </c>
      <c r="G148" s="73" t="s">
        <v>93</v>
      </c>
      <c r="H148" s="73" t="s">
        <v>94</v>
      </c>
      <c r="I148" s="73" t="s">
        <v>95</v>
      </c>
      <c r="J148" s="73" t="s">
        <v>96</v>
      </c>
      <c r="K148" s="73" t="s">
        <v>97</v>
      </c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5"/>
    </row>
    <row r="149" spans="1:26" ht="12.75" customHeight="1" x14ac:dyDescent="0.3">
      <c r="A149" s="103" t="s">
        <v>98</v>
      </c>
      <c r="B149" s="96" t="s">
        <v>99</v>
      </c>
      <c r="C149" s="73" t="s">
        <v>100</v>
      </c>
      <c r="D149" s="74" t="s">
        <v>101</v>
      </c>
      <c r="E149" s="73" t="s">
        <v>102</v>
      </c>
      <c r="F149" s="73" t="s">
        <v>103</v>
      </c>
      <c r="G149" s="73" t="s">
        <v>104</v>
      </c>
      <c r="H149" s="73" t="s">
        <v>105</v>
      </c>
      <c r="I149" s="73" t="s">
        <v>106</v>
      </c>
      <c r="J149" s="73" t="s">
        <v>107</v>
      </c>
      <c r="K149" s="73" t="s">
        <v>108</v>
      </c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5"/>
    </row>
    <row r="150" spans="1:26" ht="12.75" customHeight="1" x14ac:dyDescent="0.3">
      <c r="A150" s="75" t="s">
        <v>112</v>
      </c>
      <c r="B150" s="86" t="s">
        <v>63</v>
      </c>
      <c r="C150" s="75" t="s">
        <v>114</v>
      </c>
      <c r="D150" s="76">
        <f>STDEV('Olahdata-PT100 C'!J24:N24)/SQRT(5)</f>
        <v>3.0000000000010608E-3</v>
      </c>
      <c r="E150" s="75">
        <v>1</v>
      </c>
      <c r="F150" s="75">
        <v>4</v>
      </c>
      <c r="G150" s="75">
        <f t="shared" ref="G150:G161" si="58">D150/E150</f>
        <v>3.0000000000010608E-3</v>
      </c>
      <c r="H150" s="75">
        <f>1/('Olahdata-PT100 C'!Z120-'Olahdata-PT100 C'!Y120)</f>
        <v>2.6776081033706221</v>
      </c>
      <c r="I150" s="75">
        <f t="shared" ref="I150:I151" si="59">G150*H150</f>
        <v>8.0328243101147074E-3</v>
      </c>
      <c r="J150" s="75">
        <f t="shared" ref="J150:J152" si="60">I150^2</f>
        <v>6.4526266397169825E-5</v>
      </c>
      <c r="K150" s="75">
        <f t="shared" ref="K150:K161" si="61">J150^2/F150</f>
        <v>1.0409097637896319E-9</v>
      </c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7"/>
    </row>
    <row r="151" spans="1:26" ht="12.75" customHeight="1" x14ac:dyDescent="0.3">
      <c r="A151" s="75" t="s">
        <v>115</v>
      </c>
      <c r="B151" s="86" t="s">
        <v>63</v>
      </c>
      <c r="C151" s="75" t="s">
        <v>116</v>
      </c>
      <c r="D151" s="81">
        <f>D25</f>
        <v>2.5000000000000001E-3</v>
      </c>
      <c r="E151" s="75">
        <f>SQRT(3)</f>
        <v>1.7320508075688772</v>
      </c>
      <c r="F151" s="75">
        <v>50</v>
      </c>
      <c r="G151" s="75">
        <f t="shared" si="58"/>
        <v>1.4433756729740645E-3</v>
      </c>
      <c r="H151" s="75">
        <f>H150</f>
        <v>2.6776081033706221</v>
      </c>
      <c r="I151" s="75">
        <f t="shared" si="59"/>
        <v>3.8647943981633803E-3</v>
      </c>
      <c r="J151" s="75">
        <f t="shared" si="60"/>
        <v>1.4936635740075045E-5</v>
      </c>
      <c r="K151" s="75">
        <f t="shared" si="61"/>
        <v>4.4620617446337444E-12</v>
      </c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7"/>
    </row>
    <row r="152" spans="1:26" ht="12.75" customHeight="1" x14ac:dyDescent="0.3">
      <c r="A152" s="78" t="s">
        <v>259</v>
      </c>
      <c r="B152" s="86" t="s">
        <v>113</v>
      </c>
      <c r="C152" s="75" t="s">
        <v>116</v>
      </c>
      <c r="D152" s="77">
        <f>4/10^3</f>
        <v>4.0000000000000001E-3</v>
      </c>
      <c r="E152" s="75">
        <f>SQRT(3)</f>
        <v>1.7320508075688772</v>
      </c>
      <c r="F152" s="75">
        <v>50</v>
      </c>
      <c r="G152" s="75">
        <f t="shared" si="58"/>
        <v>2.3094010767585032E-3</v>
      </c>
      <c r="H152" s="75">
        <v>1</v>
      </c>
      <c r="I152" s="75">
        <f>G152*H152</f>
        <v>2.3094010767585032E-3</v>
      </c>
      <c r="J152" s="75">
        <f t="shared" si="60"/>
        <v>5.3333333333333337E-6</v>
      </c>
      <c r="K152" s="75">
        <f t="shared" si="61"/>
        <v>5.6888888888888893E-13</v>
      </c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7"/>
    </row>
    <row r="153" spans="1:26" ht="12.75" customHeight="1" x14ac:dyDescent="0.3">
      <c r="A153" s="78" t="s">
        <v>254</v>
      </c>
      <c r="B153" s="86" t="s">
        <v>63</v>
      </c>
      <c r="C153" s="75" t="s">
        <v>117</v>
      </c>
      <c r="D153" s="80">
        <f>D$27</f>
        <v>0.61915312760021013</v>
      </c>
      <c r="E153" s="80">
        <v>1</v>
      </c>
      <c r="F153" s="80">
        <f>F$27</f>
        <v>9</v>
      </c>
      <c r="G153" s="81">
        <f t="shared" si="58"/>
        <v>0.61915312760021013</v>
      </c>
      <c r="H153" s="81">
        <f>H150</f>
        <v>2.6776081033706221</v>
      </c>
      <c r="I153" s="75">
        <f t="shared" ref="I153" si="62">G153*H153</f>
        <v>1.6578494316895873</v>
      </c>
      <c r="J153" s="75">
        <f t="shared" ref="J153" si="63">I153^2</f>
        <v>2.7484647381534875</v>
      </c>
      <c r="K153" s="81">
        <f t="shared" si="61"/>
        <v>0.83933982409701313</v>
      </c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7"/>
    </row>
    <row r="154" spans="1:26" ht="12.75" customHeight="1" x14ac:dyDescent="0.3">
      <c r="A154" s="75" t="s">
        <v>253</v>
      </c>
      <c r="B154" s="86" t="s">
        <v>63</v>
      </c>
      <c r="C154" s="75" t="s">
        <v>114</v>
      </c>
      <c r="D154" s="76">
        <f>STDEV('Olahdata-PT100 C'!A24:E24)/SQRT(5)</f>
        <v>2.4494897427879123E-3</v>
      </c>
      <c r="E154" s="75">
        <v>1</v>
      </c>
      <c r="F154" s="75">
        <v>4</v>
      </c>
      <c r="G154" s="75">
        <f>D154/E154</f>
        <v>2.4494897427879123E-3</v>
      </c>
      <c r="H154" s="75">
        <f>H158</f>
        <v>2.6274586773005173</v>
      </c>
      <c r="I154" s="75">
        <f>G154*H154</f>
        <v>6.4359330796467124E-3</v>
      </c>
      <c r="J154" s="75">
        <f>I154^2</f>
        <v>4.1421234605690813E-5</v>
      </c>
      <c r="K154" s="75">
        <f>J154^2/F154</f>
        <v>4.2892966906491953E-10</v>
      </c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7"/>
    </row>
    <row r="155" spans="1:26" ht="12.75" customHeight="1" x14ac:dyDescent="0.3">
      <c r="A155" s="75" t="s">
        <v>256</v>
      </c>
      <c r="B155" s="86" t="s">
        <v>63</v>
      </c>
      <c r="C155" s="79" t="s">
        <v>117</v>
      </c>
      <c r="D155" s="338">
        <f>'Olahdata-PT100 C'!U20</f>
        <v>4.4800000000000006E-2</v>
      </c>
      <c r="E155" s="75">
        <v>2</v>
      </c>
      <c r="F155" s="75">
        <v>60</v>
      </c>
      <c r="G155" s="75">
        <f t="shared" si="58"/>
        <v>2.2400000000000003E-2</v>
      </c>
      <c r="H155" s="81">
        <f>H158</f>
        <v>2.6274586773005173</v>
      </c>
      <c r="I155" s="75">
        <f t="shared" ref="I155:I161" si="64">G155*H155</f>
        <v>5.8855074371531597E-2</v>
      </c>
      <c r="J155" s="75">
        <f t="shared" ref="J155:J161" si="65">I155^2</f>
        <v>3.4639197792785156E-3</v>
      </c>
      <c r="K155" s="75">
        <f t="shared" si="61"/>
        <v>1.9997900395461535E-7</v>
      </c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7"/>
    </row>
    <row r="156" spans="1:26" ht="12.75" customHeight="1" x14ac:dyDescent="0.3">
      <c r="A156" s="75" t="s">
        <v>257</v>
      </c>
      <c r="B156" s="86" t="s">
        <v>63</v>
      </c>
      <c r="C156" s="75" t="s">
        <v>116</v>
      </c>
      <c r="D156" s="138">
        <f>0.1*ABS('Olahdata-PT100 C'!G24)</f>
        <v>5.9236920095825903E-3</v>
      </c>
      <c r="E156" s="75">
        <f>SQRT(3)</f>
        <v>1.7320508075688772</v>
      </c>
      <c r="F156" s="75">
        <v>50</v>
      </c>
      <c r="G156" s="75">
        <f t="shared" si="58"/>
        <v>3.4200451763289441E-3</v>
      </c>
      <c r="H156" s="75">
        <f>H158</f>
        <v>2.6274586773005173</v>
      </c>
      <c r="I156" s="75">
        <f t="shared" si="64"/>
        <v>8.9860273753052614E-3</v>
      </c>
      <c r="J156" s="75">
        <f t="shared" si="65"/>
        <v>8.0748687989735569E-5</v>
      </c>
      <c r="K156" s="75">
        <f t="shared" si="61"/>
        <v>1.3040701224127331E-10</v>
      </c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7"/>
    </row>
    <row r="157" spans="1:26" ht="12.75" customHeight="1" x14ac:dyDescent="0.3">
      <c r="A157" s="75" t="s">
        <v>258</v>
      </c>
      <c r="B157" s="86" t="s">
        <v>113</v>
      </c>
      <c r="C157" s="75" t="s">
        <v>117</v>
      </c>
      <c r="D157" s="77">
        <v>0.26</v>
      </c>
      <c r="E157" s="75">
        <v>2</v>
      </c>
      <c r="F157" s="75">
        <v>60</v>
      </c>
      <c r="G157" s="75">
        <f t="shared" si="58"/>
        <v>0.13</v>
      </c>
      <c r="H157" s="75">
        <v>1</v>
      </c>
      <c r="I157" s="75">
        <f t="shared" si="64"/>
        <v>0.13</v>
      </c>
      <c r="J157" s="75">
        <f t="shared" si="65"/>
        <v>1.6900000000000002E-2</v>
      </c>
      <c r="K157" s="75">
        <f t="shared" si="61"/>
        <v>4.7601666666666672E-6</v>
      </c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7"/>
    </row>
    <row r="158" spans="1:26" ht="12.75" customHeight="1" x14ac:dyDescent="0.3">
      <c r="A158" s="75" t="s">
        <v>255</v>
      </c>
      <c r="B158" s="86" t="s">
        <v>63</v>
      </c>
      <c r="C158" s="75" t="s">
        <v>116</v>
      </c>
      <c r="D158" s="82">
        <f>VLOOKUP(C147,Table1[],7,TRUE)</f>
        <v>8.818054763614859E-2</v>
      </c>
      <c r="E158" s="75">
        <f t="shared" ref="E158:E161" si="66">SQRT(3)</f>
        <v>1.7320508075688772</v>
      </c>
      <c r="F158" s="75">
        <v>50</v>
      </c>
      <c r="G158" s="75">
        <f t="shared" si="58"/>
        <v>5.0911062915019012E-2</v>
      </c>
      <c r="H158" s="289">
        <f>VLOOKUP(C147,Table1[#All],8,TRUE)</f>
        <v>2.6274586773005173</v>
      </c>
      <c r="I158" s="75">
        <f t="shared" si="64"/>
        <v>0.13376671402665927</v>
      </c>
      <c r="J158" s="75">
        <f t="shared" si="65"/>
        <v>1.7893533781490042E-2</v>
      </c>
      <c r="K158" s="75">
        <f t="shared" si="61"/>
        <v>6.4035710237865069E-6</v>
      </c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7"/>
    </row>
    <row r="159" spans="1:26" ht="12.75" customHeight="1" x14ac:dyDescent="0.3">
      <c r="A159" s="75" t="s">
        <v>260</v>
      </c>
      <c r="B159" s="86" t="s">
        <v>113</v>
      </c>
      <c r="C159" s="75" t="s">
        <v>116</v>
      </c>
      <c r="D159" s="75">
        <f>20/10^3</f>
        <v>0.02</v>
      </c>
      <c r="E159" s="75">
        <f t="shared" si="66"/>
        <v>1.7320508075688772</v>
      </c>
      <c r="F159" s="75">
        <v>50</v>
      </c>
      <c r="G159" s="75">
        <f t="shared" si="58"/>
        <v>1.1547005383792516E-2</v>
      </c>
      <c r="H159" s="75">
        <v>1</v>
      </c>
      <c r="I159" s="75">
        <f>G159*H159</f>
        <v>1.1547005383792516E-2</v>
      </c>
      <c r="J159" s="75">
        <f t="shared" si="65"/>
        <v>1.3333333333333334E-4</v>
      </c>
      <c r="K159" s="75">
        <f t="shared" si="61"/>
        <v>3.555555555555556E-10</v>
      </c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7"/>
    </row>
    <row r="160" spans="1:26" ht="12.75" customHeight="1" x14ac:dyDescent="0.3">
      <c r="A160" s="75" t="s">
        <v>261</v>
      </c>
      <c r="B160" s="86" t="s">
        <v>113</v>
      </c>
      <c r="C160" s="75" t="s">
        <v>116</v>
      </c>
      <c r="D160" s="288">
        <f>'Oil Bath'!C9</f>
        <v>0.2</v>
      </c>
      <c r="E160" s="75">
        <f t="shared" si="66"/>
        <v>1.7320508075688772</v>
      </c>
      <c r="F160" s="75">
        <v>50</v>
      </c>
      <c r="G160" s="75">
        <f t="shared" si="58"/>
        <v>0.11547005383792516</v>
      </c>
      <c r="H160" s="75">
        <v>1</v>
      </c>
      <c r="I160" s="75">
        <f t="shared" si="64"/>
        <v>0.11547005383792516</v>
      </c>
      <c r="J160" s="75">
        <f t="shared" si="65"/>
        <v>1.3333333333333336E-2</v>
      </c>
      <c r="K160" s="75">
        <f t="shared" si="61"/>
        <v>3.5555555555555568E-6</v>
      </c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7"/>
    </row>
    <row r="161" spans="1:26" ht="12.75" customHeight="1" x14ac:dyDescent="0.3">
      <c r="A161" s="75" t="s">
        <v>262</v>
      </c>
      <c r="B161" s="253" t="s">
        <v>113</v>
      </c>
      <c r="C161" s="75" t="s">
        <v>116</v>
      </c>
      <c r="D161" s="288">
        <f>'Oil Bath'!D9</f>
        <v>0.24</v>
      </c>
      <c r="E161" s="75">
        <f t="shared" si="66"/>
        <v>1.7320508075688772</v>
      </c>
      <c r="F161" s="75">
        <v>50</v>
      </c>
      <c r="G161" s="75">
        <f t="shared" si="58"/>
        <v>0.13856406460551018</v>
      </c>
      <c r="H161" s="75">
        <v>1</v>
      </c>
      <c r="I161" s="75">
        <f t="shared" si="64"/>
        <v>0.13856406460551018</v>
      </c>
      <c r="J161" s="75">
        <f t="shared" si="65"/>
        <v>1.9200000000000002E-2</v>
      </c>
      <c r="K161" s="75">
        <f t="shared" si="61"/>
        <v>7.3728000000000008E-6</v>
      </c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7"/>
    </row>
    <row r="162" spans="1:26" ht="12.75" customHeight="1" x14ac:dyDescent="0.3">
      <c r="A162" s="83" t="s">
        <v>118</v>
      </c>
      <c r="B162" s="84"/>
      <c r="C162" s="91"/>
      <c r="D162" s="92"/>
      <c r="E162" s="91"/>
      <c r="F162" s="91"/>
      <c r="G162" s="91"/>
      <c r="H162" s="91"/>
      <c r="I162" s="93"/>
      <c r="J162" s="75">
        <f>SUM(J150:J161)</f>
        <v>2.8195958245389892</v>
      </c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7"/>
    </row>
    <row r="163" spans="1:26" ht="12.75" customHeight="1" x14ac:dyDescent="0.3">
      <c r="A163" s="83" t="s">
        <v>119</v>
      </c>
      <c r="B163" s="84"/>
      <c r="C163" s="84"/>
      <c r="D163" s="85"/>
      <c r="E163" s="84"/>
      <c r="F163" s="84"/>
      <c r="G163" s="84"/>
      <c r="H163" s="84"/>
      <c r="I163" s="86"/>
      <c r="J163" s="75">
        <f>SQRT(J162)</f>
        <v>1.6791652165701234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7"/>
    </row>
    <row r="164" spans="1:26" ht="12.75" customHeight="1" x14ac:dyDescent="0.3">
      <c r="A164" s="83" t="s">
        <v>120</v>
      </c>
      <c r="B164" s="84"/>
      <c r="C164" s="84"/>
      <c r="D164" s="85"/>
      <c r="E164" s="84"/>
      <c r="F164" s="84"/>
      <c r="G164" s="84"/>
      <c r="H164" s="84"/>
      <c r="I164" s="86"/>
      <c r="J164" s="75">
        <f>J163^4/SUM(K150:K161)</f>
        <v>9.4716218924303242</v>
      </c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7"/>
    </row>
    <row r="165" spans="1:26" ht="12.75" customHeight="1" x14ac:dyDescent="0.3">
      <c r="A165" s="83" t="s">
        <v>121</v>
      </c>
      <c r="B165" s="84"/>
      <c r="C165" s="84"/>
      <c r="D165" s="85"/>
      <c r="E165" s="84"/>
      <c r="F165" s="84"/>
      <c r="G165" s="84"/>
      <c r="H165" s="84"/>
      <c r="I165" s="86"/>
      <c r="J165" s="75">
        <f>1.95996+2.37356/J164+2.818745/J164^2+2.546662/J164^3+1.761829/J164^4+0.245458/J164^5+1.000764/J164^6</f>
        <v>2.2451976578550443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7"/>
    </row>
    <row r="166" spans="1:26" ht="12.75" customHeight="1" x14ac:dyDescent="0.3">
      <c r="A166" s="83" t="s">
        <v>216</v>
      </c>
      <c r="B166" s="84"/>
      <c r="C166" s="84"/>
      <c r="D166" s="85"/>
      <c r="E166" s="84"/>
      <c r="F166" s="84"/>
      <c r="G166" s="84"/>
      <c r="H166" s="84"/>
      <c r="I166" s="86"/>
      <c r="J166" s="87">
        <f>J163*J165</f>
        <v>3.7700578113948993</v>
      </c>
      <c r="K166" s="56">
        <v>0.41</v>
      </c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7"/>
    </row>
    <row r="167" spans="1:26" ht="12.75" customHeight="1" x14ac:dyDescent="0.3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7"/>
    </row>
    <row r="168" spans="1:26" ht="12.75" customHeight="1" x14ac:dyDescent="0.3">
      <c r="A168" s="71" t="str">
        <f>A$21</f>
        <v>Rentang ukur PT100 (0~250) ⁰C</v>
      </c>
      <c r="B168" s="56"/>
      <c r="C168" s="72">
        <f>'Olahdata-PT100 C'!I25</f>
        <v>175.0430001990112</v>
      </c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7"/>
    </row>
    <row r="169" spans="1:26" ht="12.75" customHeight="1" x14ac:dyDescent="0.3">
      <c r="A169" s="105" t="s">
        <v>87</v>
      </c>
      <c r="B169" s="73" t="s">
        <v>88</v>
      </c>
      <c r="C169" s="88" t="s">
        <v>89</v>
      </c>
      <c r="D169" s="74" t="s">
        <v>90</v>
      </c>
      <c r="E169" s="73" t="s">
        <v>91</v>
      </c>
      <c r="F169" s="73" t="s">
        <v>92</v>
      </c>
      <c r="G169" s="73" t="s">
        <v>93</v>
      </c>
      <c r="H169" s="73" t="s">
        <v>94</v>
      </c>
      <c r="I169" s="73" t="s">
        <v>95</v>
      </c>
      <c r="J169" s="73" t="s">
        <v>96</v>
      </c>
      <c r="K169" s="73" t="s">
        <v>97</v>
      </c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5"/>
    </row>
    <row r="170" spans="1:26" ht="12.75" customHeight="1" x14ac:dyDescent="0.3">
      <c r="A170" s="103" t="s">
        <v>98</v>
      </c>
      <c r="B170" s="96" t="s">
        <v>99</v>
      </c>
      <c r="C170" s="73" t="s">
        <v>100</v>
      </c>
      <c r="D170" s="74" t="s">
        <v>101</v>
      </c>
      <c r="E170" s="73" t="s">
        <v>102</v>
      </c>
      <c r="F170" s="73" t="s">
        <v>103</v>
      </c>
      <c r="G170" s="73" t="s">
        <v>104</v>
      </c>
      <c r="H170" s="73" t="s">
        <v>105</v>
      </c>
      <c r="I170" s="73" t="s">
        <v>106</v>
      </c>
      <c r="J170" s="73" t="s">
        <v>107</v>
      </c>
      <c r="K170" s="73" t="s">
        <v>108</v>
      </c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5"/>
    </row>
    <row r="171" spans="1:26" ht="12.75" customHeight="1" x14ac:dyDescent="0.3">
      <c r="A171" s="75" t="s">
        <v>112</v>
      </c>
      <c r="B171" s="86" t="s">
        <v>63</v>
      </c>
      <c r="C171" s="75" t="s">
        <v>114</v>
      </c>
      <c r="D171" s="76">
        <f>STDEV('Olahdata-PT100 C'!J25:N25)/SQRT(5)</f>
        <v>4.8989794855619009E-3</v>
      </c>
      <c r="E171" s="75">
        <v>1</v>
      </c>
      <c r="F171" s="75">
        <v>4</v>
      </c>
      <c r="G171" s="75">
        <f t="shared" ref="G171:G182" si="67">D171/E171</f>
        <v>4.8989794855619009E-3</v>
      </c>
      <c r="H171" s="75">
        <f>1/('Olahdata-PT100 C'!AD122-'Olahdata-PT100 C'!AC122)</f>
        <v>2.6998906034464616</v>
      </c>
      <c r="I171" s="75">
        <f t="shared" ref="I171:I172" si="68">G171*H171</f>
        <v>1.3226708679545557E-2</v>
      </c>
      <c r="J171" s="75">
        <f t="shared" ref="J171:J173" si="69">I171^2</f>
        <v>1.7494582249356577E-4</v>
      </c>
      <c r="K171" s="75">
        <f t="shared" ref="K171:K182" si="70">J171^2/F171</f>
        <v>7.6515102019875552E-9</v>
      </c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7"/>
    </row>
    <row r="172" spans="1:26" ht="12.75" customHeight="1" x14ac:dyDescent="0.3">
      <c r="A172" s="75" t="s">
        <v>115</v>
      </c>
      <c r="B172" s="86" t="s">
        <v>63</v>
      </c>
      <c r="C172" s="75" t="s">
        <v>116</v>
      </c>
      <c r="D172" s="81">
        <f>D25</f>
        <v>2.5000000000000001E-3</v>
      </c>
      <c r="E172" s="75">
        <f>SQRT(3)</f>
        <v>1.7320508075688772</v>
      </c>
      <c r="F172" s="75">
        <v>50</v>
      </c>
      <c r="G172" s="75">
        <f t="shared" si="67"/>
        <v>1.4433756729740645E-3</v>
      </c>
      <c r="H172" s="75">
        <f>H171</f>
        <v>2.6998906034464616</v>
      </c>
      <c r="I172" s="75">
        <f t="shared" si="68"/>
        <v>3.8969564167058894E-3</v>
      </c>
      <c r="J172" s="75">
        <f t="shared" si="69"/>
        <v>1.5186269313705205E-5</v>
      </c>
      <c r="K172" s="75">
        <f t="shared" si="70"/>
        <v>4.6124555133676876E-12</v>
      </c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7"/>
    </row>
    <row r="173" spans="1:26" ht="12.75" customHeight="1" x14ac:dyDescent="0.3">
      <c r="A173" s="78" t="s">
        <v>259</v>
      </c>
      <c r="B173" s="86" t="s">
        <v>113</v>
      </c>
      <c r="C173" s="75" t="s">
        <v>116</v>
      </c>
      <c r="D173" s="77">
        <f>4/10^3</f>
        <v>4.0000000000000001E-3</v>
      </c>
      <c r="E173" s="75">
        <f>SQRT(3)</f>
        <v>1.7320508075688772</v>
      </c>
      <c r="F173" s="75">
        <v>50</v>
      </c>
      <c r="G173" s="75">
        <f t="shared" si="67"/>
        <v>2.3094010767585032E-3</v>
      </c>
      <c r="H173" s="75">
        <v>1</v>
      </c>
      <c r="I173" s="75">
        <f>G173*H173</f>
        <v>2.3094010767585032E-3</v>
      </c>
      <c r="J173" s="75">
        <f t="shared" si="69"/>
        <v>5.3333333333333337E-6</v>
      </c>
      <c r="K173" s="75">
        <f t="shared" si="70"/>
        <v>5.6888888888888893E-13</v>
      </c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7"/>
    </row>
    <row r="174" spans="1:26" ht="12.75" customHeight="1" x14ac:dyDescent="0.3">
      <c r="A174" s="78" t="s">
        <v>254</v>
      </c>
      <c r="B174" s="86" t="s">
        <v>63</v>
      </c>
      <c r="C174" s="75" t="s">
        <v>117</v>
      </c>
      <c r="D174" s="80">
        <f>D$27</f>
        <v>0.61915312760021013</v>
      </c>
      <c r="E174" s="80">
        <v>1</v>
      </c>
      <c r="F174" s="80">
        <f>F$27</f>
        <v>9</v>
      </c>
      <c r="G174" s="81">
        <f t="shared" si="67"/>
        <v>0.61915312760021013</v>
      </c>
      <c r="H174" s="81">
        <f>H171</f>
        <v>2.6998906034464616</v>
      </c>
      <c r="I174" s="75">
        <f t="shared" ref="I174:I177" si="71">G174*H174</f>
        <v>1.6716457113022953</v>
      </c>
      <c r="J174" s="75">
        <f t="shared" ref="J174:J177" si="72">I174^2</f>
        <v>2.7943993841153567</v>
      </c>
      <c r="K174" s="81">
        <f t="shared" si="70"/>
        <v>0.86762976866047614</v>
      </c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7"/>
    </row>
    <row r="175" spans="1:26" ht="12.75" customHeight="1" x14ac:dyDescent="0.3">
      <c r="A175" s="75" t="s">
        <v>253</v>
      </c>
      <c r="B175" s="86" t="s">
        <v>63</v>
      </c>
      <c r="C175" s="75" t="s">
        <v>114</v>
      </c>
      <c r="D175" s="76">
        <f>STDEV('Olahdata-PT100 C'!A25:E25)/SQRT(5)</f>
        <v>4.8989794855688615E-3</v>
      </c>
      <c r="E175" s="75">
        <v>1</v>
      </c>
      <c r="F175" s="75">
        <v>4</v>
      </c>
      <c r="G175" s="75">
        <f>D175/E175</f>
        <v>4.8989794855688615E-3</v>
      </c>
      <c r="H175" s="75">
        <f>H179</f>
        <v>2.6478058162761684</v>
      </c>
      <c r="I175" s="75">
        <f t="shared" si="71"/>
        <v>1.2971546375706864E-2</v>
      </c>
      <c r="J175" s="75">
        <f t="shared" si="72"/>
        <v>1.6826101537711387E-4</v>
      </c>
      <c r="K175" s="75">
        <f>J175^2/F175</f>
        <v>7.0779423239343374E-9</v>
      </c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7"/>
    </row>
    <row r="176" spans="1:26" ht="12.75" customHeight="1" x14ac:dyDescent="0.3">
      <c r="A176" s="75" t="s">
        <v>256</v>
      </c>
      <c r="B176" s="86" t="s">
        <v>63</v>
      </c>
      <c r="C176" s="79" t="s">
        <v>117</v>
      </c>
      <c r="D176" s="77">
        <f>'Olahdata-PT100 C'!U21</f>
        <v>5.6000000000000008E-2</v>
      </c>
      <c r="E176" s="75">
        <v>2</v>
      </c>
      <c r="F176" s="75">
        <v>60</v>
      </c>
      <c r="G176" s="75">
        <f t="shared" si="67"/>
        <v>2.8000000000000004E-2</v>
      </c>
      <c r="H176" s="81">
        <f>H179</f>
        <v>2.6478058162761684</v>
      </c>
      <c r="I176" s="75">
        <f t="shared" si="71"/>
        <v>7.4138562855732726E-2</v>
      </c>
      <c r="J176" s="75">
        <f t="shared" si="72"/>
        <v>5.496526502313432E-3</v>
      </c>
      <c r="K176" s="75">
        <f t="shared" si="70"/>
        <v>5.0353005984389883E-7</v>
      </c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7"/>
    </row>
    <row r="177" spans="1:26" ht="12.75" customHeight="1" x14ac:dyDescent="0.3">
      <c r="A177" s="75" t="s">
        <v>257</v>
      </c>
      <c r="B177" s="86" t="s">
        <v>63</v>
      </c>
      <c r="C177" s="75" t="s">
        <v>116</v>
      </c>
      <c r="D177" s="138">
        <f>0.1*ABS('Olahdata-PT100 C'!G25)</f>
        <v>5.9743700224724264E-3</v>
      </c>
      <c r="E177" s="75">
        <f>SQRT(3)</f>
        <v>1.7320508075688772</v>
      </c>
      <c r="F177" s="75">
        <v>50</v>
      </c>
      <c r="G177" s="75">
        <f t="shared" si="67"/>
        <v>3.449304140712886E-3</v>
      </c>
      <c r="H177" s="75">
        <f>H179</f>
        <v>2.6478058162761684</v>
      </c>
      <c r="I177" s="75">
        <f t="shared" si="71"/>
        <v>9.1330875658850504E-3</v>
      </c>
      <c r="J177" s="75">
        <f t="shared" si="72"/>
        <v>8.3413288486124118E-5</v>
      </c>
      <c r="K177" s="75">
        <f t="shared" si="70"/>
        <v>1.3915553392138732E-10</v>
      </c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7"/>
    </row>
    <row r="178" spans="1:26" ht="12.75" customHeight="1" x14ac:dyDescent="0.3">
      <c r="A178" s="75" t="s">
        <v>258</v>
      </c>
      <c r="B178" s="86" t="s">
        <v>113</v>
      </c>
      <c r="C178" s="75" t="s">
        <v>117</v>
      </c>
      <c r="D178" s="77">
        <v>0.26</v>
      </c>
      <c r="E178" s="75">
        <v>2</v>
      </c>
      <c r="F178" s="75">
        <v>60</v>
      </c>
      <c r="G178" s="75">
        <f t="shared" si="67"/>
        <v>0.13</v>
      </c>
      <c r="H178" s="75">
        <v>1</v>
      </c>
      <c r="I178" s="75">
        <f t="shared" ref="I178:I182" si="73">G178*H178</f>
        <v>0.13</v>
      </c>
      <c r="J178" s="75">
        <f t="shared" ref="J178:J182" si="74">I178^2</f>
        <v>1.6900000000000002E-2</v>
      </c>
      <c r="K178" s="75">
        <f t="shared" si="70"/>
        <v>4.7601666666666672E-6</v>
      </c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7"/>
    </row>
    <row r="179" spans="1:26" ht="12.75" customHeight="1" x14ac:dyDescent="0.3">
      <c r="A179" s="75" t="s">
        <v>255</v>
      </c>
      <c r="B179" s="86" t="s">
        <v>63</v>
      </c>
      <c r="C179" s="75" t="s">
        <v>116</v>
      </c>
      <c r="D179" s="82">
        <f>VLOOKUP(C168,Table1[],7,TRUE)</f>
        <v>9.5734068336639375E-2</v>
      </c>
      <c r="E179" s="75">
        <f t="shared" ref="E179:E182" si="75">SQRT(3)</f>
        <v>1.7320508075688772</v>
      </c>
      <c r="F179" s="75">
        <v>50</v>
      </c>
      <c r="G179" s="75">
        <f t="shared" si="67"/>
        <v>5.5272090124776775E-2</v>
      </c>
      <c r="H179" s="289">
        <f>VLOOKUP(C168,Table1[#All],8,TRUE)</f>
        <v>2.6478058162761684</v>
      </c>
      <c r="I179" s="75">
        <f t="shared" si="73"/>
        <v>0.14634976171012451</v>
      </c>
      <c r="J179" s="75">
        <f t="shared" si="74"/>
        <v>2.1418252752610226E-2</v>
      </c>
      <c r="K179" s="75">
        <f t="shared" si="70"/>
        <v>9.1748310194939115E-6</v>
      </c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7"/>
    </row>
    <row r="180" spans="1:26" ht="12.75" customHeight="1" x14ac:dyDescent="0.3">
      <c r="A180" s="75" t="s">
        <v>260</v>
      </c>
      <c r="B180" s="86" t="s">
        <v>113</v>
      </c>
      <c r="C180" s="75" t="s">
        <v>116</v>
      </c>
      <c r="D180" s="75">
        <f>20/10^3</f>
        <v>0.02</v>
      </c>
      <c r="E180" s="75">
        <f t="shared" si="75"/>
        <v>1.7320508075688772</v>
      </c>
      <c r="F180" s="75">
        <v>50</v>
      </c>
      <c r="G180" s="75">
        <f t="shared" si="67"/>
        <v>1.1547005383792516E-2</v>
      </c>
      <c r="H180" s="75">
        <v>1</v>
      </c>
      <c r="I180" s="75">
        <f>G180*H180</f>
        <v>1.1547005383792516E-2</v>
      </c>
      <c r="J180" s="75">
        <f t="shared" si="74"/>
        <v>1.3333333333333334E-4</v>
      </c>
      <c r="K180" s="75">
        <f t="shared" si="70"/>
        <v>3.555555555555556E-10</v>
      </c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7"/>
    </row>
    <row r="181" spans="1:26" ht="12.75" customHeight="1" x14ac:dyDescent="0.3">
      <c r="A181" s="75" t="s">
        <v>261</v>
      </c>
      <c r="B181" s="86" t="s">
        <v>113</v>
      </c>
      <c r="C181" s="75" t="s">
        <v>116</v>
      </c>
      <c r="D181" s="288">
        <f>'Oil Bath'!C10</f>
        <v>0.26</v>
      </c>
      <c r="E181" s="75">
        <f t="shared" si="75"/>
        <v>1.7320508075688772</v>
      </c>
      <c r="F181" s="75">
        <v>50</v>
      </c>
      <c r="G181" s="75">
        <f t="shared" si="67"/>
        <v>0.15011106998930271</v>
      </c>
      <c r="H181" s="75">
        <v>1</v>
      </c>
      <c r="I181" s="75">
        <f t="shared" si="73"/>
        <v>0.15011106998930271</v>
      </c>
      <c r="J181" s="75">
        <f t="shared" si="74"/>
        <v>2.2533333333333336E-2</v>
      </c>
      <c r="K181" s="75">
        <f t="shared" si="70"/>
        <v>1.0155022222222223E-5</v>
      </c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7"/>
    </row>
    <row r="182" spans="1:26" ht="12.75" customHeight="1" x14ac:dyDescent="0.3">
      <c r="A182" s="75" t="s">
        <v>262</v>
      </c>
      <c r="B182" s="56" t="s">
        <v>113</v>
      </c>
      <c r="C182" s="75" t="s">
        <v>116</v>
      </c>
      <c r="D182" s="288">
        <f>'Oil Bath'!D10</f>
        <v>0.2</v>
      </c>
      <c r="E182" s="75">
        <f t="shared" si="75"/>
        <v>1.7320508075688772</v>
      </c>
      <c r="F182" s="75">
        <v>50</v>
      </c>
      <c r="G182" s="75">
        <f t="shared" si="67"/>
        <v>0.11547005383792516</v>
      </c>
      <c r="H182" s="75">
        <v>1</v>
      </c>
      <c r="I182" s="75">
        <f t="shared" si="73"/>
        <v>0.11547005383792516</v>
      </c>
      <c r="J182" s="75">
        <f t="shared" si="74"/>
        <v>1.3333333333333336E-2</v>
      </c>
      <c r="K182" s="75">
        <f t="shared" si="70"/>
        <v>3.5555555555555568E-6</v>
      </c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7"/>
    </row>
    <row r="183" spans="1:26" ht="12.75" customHeight="1" x14ac:dyDescent="0.3">
      <c r="A183" s="83" t="s">
        <v>118</v>
      </c>
      <c r="B183" s="84"/>
      <c r="C183" s="91"/>
      <c r="D183" s="92"/>
      <c r="E183" s="91"/>
      <c r="F183" s="91"/>
      <c r="G183" s="91"/>
      <c r="H183" s="91"/>
      <c r="I183" s="93"/>
      <c r="J183" s="75">
        <f>SUM(J171:J182)</f>
        <v>2.8746613030992845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7"/>
    </row>
    <row r="184" spans="1:26" ht="12.75" customHeight="1" x14ac:dyDescent="0.3">
      <c r="A184" s="83" t="s">
        <v>119</v>
      </c>
      <c r="B184" s="84"/>
      <c r="C184" s="84"/>
      <c r="D184" s="85"/>
      <c r="E184" s="84"/>
      <c r="F184" s="84"/>
      <c r="G184" s="84"/>
      <c r="H184" s="84"/>
      <c r="I184" s="86"/>
      <c r="J184" s="75">
        <f>SQRT(J183)</f>
        <v>1.6954826165724273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7"/>
    </row>
    <row r="185" spans="1:26" ht="12.75" customHeight="1" x14ac:dyDescent="0.3">
      <c r="A185" s="83" t="s">
        <v>120</v>
      </c>
      <c r="B185" s="84"/>
      <c r="C185" s="84"/>
      <c r="D185" s="85"/>
      <c r="E185" s="84"/>
      <c r="F185" s="84"/>
      <c r="G185" s="84"/>
      <c r="H185" s="84"/>
      <c r="I185" s="86"/>
      <c r="J185" s="75">
        <f>J184^4/SUM(K171:K182)</f>
        <v>9.5241192332656421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7"/>
    </row>
    <row r="186" spans="1:26" ht="12.75" customHeight="1" x14ac:dyDescent="0.3">
      <c r="A186" s="83" t="s">
        <v>121</v>
      </c>
      <c r="B186" s="84"/>
      <c r="C186" s="84"/>
      <c r="D186" s="85"/>
      <c r="E186" s="84"/>
      <c r="F186" s="84"/>
      <c r="G186" s="84"/>
      <c r="H186" s="84"/>
      <c r="I186" s="86"/>
      <c r="J186" s="108">
        <f>1.95996+2.37356/J185+2.818745/J185^2+2.546662/J185^3+1.761829/J185^4+0.245458/J185^5+1.000764/J185^6</f>
        <v>2.243416726812832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7"/>
    </row>
    <row r="187" spans="1:26" ht="12.75" customHeight="1" x14ac:dyDescent="0.3">
      <c r="A187" s="83" t="s">
        <v>216</v>
      </c>
      <c r="B187" s="84"/>
      <c r="C187" s="84"/>
      <c r="D187" s="85"/>
      <c r="E187" s="84"/>
      <c r="F187" s="84"/>
      <c r="G187" s="84"/>
      <c r="H187" s="84"/>
      <c r="I187" s="84"/>
      <c r="J187" s="87">
        <f>J184*J186</f>
        <v>3.8036740620389708</v>
      </c>
      <c r="K187" s="56">
        <v>0.41</v>
      </c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7"/>
    </row>
    <row r="188" spans="1:26" ht="12.75" customHeight="1" x14ac:dyDescent="0.3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7"/>
    </row>
    <row r="189" spans="1:26" ht="12.75" customHeight="1" x14ac:dyDescent="0.3">
      <c r="A189" s="71" t="str">
        <f>A$21</f>
        <v>Rentang ukur PT100 (0~250) ⁰C</v>
      </c>
      <c r="B189" s="56"/>
      <c r="C189" s="72">
        <f>'Olahdata-PT100 C'!I26</f>
        <v>200.02602614955697</v>
      </c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7"/>
    </row>
    <row r="190" spans="1:26" ht="12.75" customHeight="1" x14ac:dyDescent="0.3">
      <c r="A190" s="105" t="s">
        <v>87</v>
      </c>
      <c r="B190" s="73" t="s">
        <v>88</v>
      </c>
      <c r="C190" s="88" t="s">
        <v>89</v>
      </c>
      <c r="D190" s="74" t="s">
        <v>90</v>
      </c>
      <c r="E190" s="73" t="s">
        <v>91</v>
      </c>
      <c r="F190" s="73" t="s">
        <v>92</v>
      </c>
      <c r="G190" s="73" t="s">
        <v>93</v>
      </c>
      <c r="H190" s="73" t="s">
        <v>94</v>
      </c>
      <c r="I190" s="73" t="s">
        <v>95</v>
      </c>
      <c r="J190" s="73" t="s">
        <v>96</v>
      </c>
      <c r="K190" s="73" t="s">
        <v>97</v>
      </c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5"/>
    </row>
    <row r="191" spans="1:26" ht="12.75" customHeight="1" x14ac:dyDescent="0.3">
      <c r="A191" s="103" t="s">
        <v>98</v>
      </c>
      <c r="B191" s="96" t="s">
        <v>99</v>
      </c>
      <c r="C191" s="73" t="s">
        <v>100</v>
      </c>
      <c r="D191" s="74" t="s">
        <v>101</v>
      </c>
      <c r="E191" s="73" t="s">
        <v>102</v>
      </c>
      <c r="F191" s="73" t="s">
        <v>103</v>
      </c>
      <c r="G191" s="73" t="s">
        <v>104</v>
      </c>
      <c r="H191" s="73" t="s">
        <v>105</v>
      </c>
      <c r="I191" s="73" t="s">
        <v>106</v>
      </c>
      <c r="J191" s="73" t="s">
        <v>107</v>
      </c>
      <c r="K191" s="73" t="s">
        <v>108</v>
      </c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5"/>
    </row>
    <row r="192" spans="1:26" ht="12.75" customHeight="1" x14ac:dyDescent="0.3">
      <c r="A192" s="75" t="s">
        <v>112</v>
      </c>
      <c r="B192" s="86" t="s">
        <v>63</v>
      </c>
      <c r="C192" s="75" t="s">
        <v>114</v>
      </c>
      <c r="D192" s="76">
        <f>STDEV('Olahdata-PT100 C'!J26:N26)/SQRT(5)</f>
        <v>4.8989794855688615E-3</v>
      </c>
      <c r="E192" s="75">
        <v>1</v>
      </c>
      <c r="F192" s="75">
        <v>4</v>
      </c>
      <c r="G192" s="75">
        <f t="shared" ref="G192:G203" si="76">D192/E192</f>
        <v>4.8989794855688615E-3</v>
      </c>
      <c r="H192" s="75">
        <f>1/ABS('Olahdata-PT100 C'!Y123-'Olahdata-PT100 C'!Z123)</f>
        <v>2.7244522917987055</v>
      </c>
      <c r="I192" s="75">
        <f t="shared" ref="I192:I193" si="77">G192*H192</f>
        <v>1.3347035886932928E-2</v>
      </c>
      <c r="J192" s="75">
        <f t="shared" ref="J192:J194" si="78">I192^2</f>
        <v>1.7814336696707545E-4</v>
      </c>
      <c r="K192" s="75">
        <f t="shared" ref="K192:K203" si="79">J192^2/F192</f>
        <v>7.9337647985915277E-9</v>
      </c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7"/>
    </row>
    <row r="193" spans="1:26" ht="12.75" customHeight="1" x14ac:dyDescent="0.3">
      <c r="A193" s="75" t="s">
        <v>115</v>
      </c>
      <c r="B193" s="86" t="s">
        <v>63</v>
      </c>
      <c r="C193" s="75" t="s">
        <v>116</v>
      </c>
      <c r="D193" s="81">
        <f>D25</f>
        <v>2.5000000000000001E-3</v>
      </c>
      <c r="E193" s="75">
        <f>SQRT(3)</f>
        <v>1.7320508075688772</v>
      </c>
      <c r="F193" s="75">
        <v>50</v>
      </c>
      <c r="G193" s="75">
        <f t="shared" si="76"/>
        <v>1.4433756729740645E-3</v>
      </c>
      <c r="H193" s="75">
        <f>H192</f>
        <v>2.7244522917987055</v>
      </c>
      <c r="I193" s="75">
        <f t="shared" si="77"/>
        <v>3.9324081601606886E-3</v>
      </c>
      <c r="J193" s="75">
        <f t="shared" si="78"/>
        <v>1.5463833938098374E-5</v>
      </c>
      <c r="K193" s="75">
        <f t="shared" si="79"/>
        <v>4.7826032013016613E-12</v>
      </c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7"/>
    </row>
    <row r="194" spans="1:26" ht="12.75" customHeight="1" x14ac:dyDescent="0.3">
      <c r="A194" s="78" t="s">
        <v>259</v>
      </c>
      <c r="B194" s="86" t="s">
        <v>113</v>
      </c>
      <c r="C194" s="75" t="s">
        <v>116</v>
      </c>
      <c r="D194" s="77">
        <f>4/10^3</f>
        <v>4.0000000000000001E-3</v>
      </c>
      <c r="E194" s="75">
        <f>SQRT(3)</f>
        <v>1.7320508075688772</v>
      </c>
      <c r="F194" s="75">
        <v>50</v>
      </c>
      <c r="G194" s="75">
        <f t="shared" si="76"/>
        <v>2.3094010767585032E-3</v>
      </c>
      <c r="H194" s="75">
        <v>1</v>
      </c>
      <c r="I194" s="75">
        <f>G194*H194</f>
        <v>2.3094010767585032E-3</v>
      </c>
      <c r="J194" s="75">
        <f t="shared" si="78"/>
        <v>5.3333333333333337E-6</v>
      </c>
      <c r="K194" s="75">
        <f t="shared" si="79"/>
        <v>5.6888888888888893E-13</v>
      </c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7"/>
    </row>
    <row r="195" spans="1:26" ht="12.75" customHeight="1" x14ac:dyDescent="0.3">
      <c r="A195" s="78" t="s">
        <v>254</v>
      </c>
      <c r="B195" s="86" t="s">
        <v>63</v>
      </c>
      <c r="C195" s="75" t="s">
        <v>117</v>
      </c>
      <c r="D195" s="80">
        <f>D$27</f>
        <v>0.61915312760021013</v>
      </c>
      <c r="E195" s="80">
        <v>1</v>
      </c>
      <c r="F195" s="80">
        <f>F$27</f>
        <v>9</v>
      </c>
      <c r="G195" s="81">
        <f t="shared" si="76"/>
        <v>0.61915312760021013</v>
      </c>
      <c r="H195" s="81">
        <f>H192</f>
        <v>2.7244522917987055</v>
      </c>
      <c r="I195" s="75">
        <f t="shared" ref="I195:I197" si="80">G195*H195</f>
        <v>1.6868531574647287</v>
      </c>
      <c r="J195" s="75">
        <f t="shared" ref="J195:J197" si="81">I195^2</f>
        <v>2.8454735748487248</v>
      </c>
      <c r="K195" s="81">
        <f t="shared" si="79"/>
        <v>0.89963554057359785</v>
      </c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7"/>
    </row>
    <row r="196" spans="1:26" ht="12.75" customHeight="1" x14ac:dyDescent="0.3">
      <c r="A196" s="75" t="s">
        <v>253</v>
      </c>
      <c r="B196" s="86" t="s">
        <v>63</v>
      </c>
      <c r="C196" s="75" t="s">
        <v>114</v>
      </c>
      <c r="D196" s="76">
        <f>STDEV('Olahdata-PT100 C'!A26:E26)/SQRT(5)</f>
        <v>4.8989794855688615E-3</v>
      </c>
      <c r="E196" s="75">
        <v>1</v>
      </c>
      <c r="F196" s="75">
        <v>4</v>
      </c>
      <c r="G196" s="75">
        <f>D196/E196</f>
        <v>4.8989794855688615E-3</v>
      </c>
      <c r="H196" s="75">
        <f>H200</f>
        <v>2.6684712648340319</v>
      </c>
      <c r="I196" s="75">
        <f t="shared" si="80"/>
        <v>1.3072785984251914E-2</v>
      </c>
      <c r="J196" s="75">
        <f t="shared" si="81"/>
        <v>1.7089773339005329E-4</v>
      </c>
      <c r="K196" s="75">
        <f>J196^2/F196</f>
        <v>7.3015088194644337E-9</v>
      </c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7"/>
    </row>
    <row r="197" spans="1:26" ht="12.75" customHeight="1" x14ac:dyDescent="0.3">
      <c r="A197" s="75" t="s">
        <v>256</v>
      </c>
      <c r="B197" s="86" t="s">
        <v>63</v>
      </c>
      <c r="C197" s="79" t="s">
        <v>117</v>
      </c>
      <c r="D197" s="77">
        <f>'Olahdata-PT100 C'!U21</f>
        <v>5.6000000000000008E-2</v>
      </c>
      <c r="E197" s="75">
        <v>2</v>
      </c>
      <c r="F197" s="75">
        <v>60</v>
      </c>
      <c r="G197" s="75">
        <f t="shared" si="76"/>
        <v>2.8000000000000004E-2</v>
      </c>
      <c r="H197" s="81">
        <f>H200</f>
        <v>2.6684712648340319</v>
      </c>
      <c r="I197" s="75">
        <f t="shared" si="80"/>
        <v>7.4717195415352905E-2</v>
      </c>
      <c r="J197" s="75">
        <f t="shared" si="81"/>
        <v>5.5826592907360336E-3</v>
      </c>
      <c r="K197" s="75">
        <f t="shared" si="79"/>
        <v>5.1943474594068927E-7</v>
      </c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7"/>
    </row>
    <row r="198" spans="1:26" ht="12.75" customHeight="1" x14ac:dyDescent="0.3">
      <c r="A198" s="75" t="s">
        <v>257</v>
      </c>
      <c r="B198" s="86" t="s">
        <v>63</v>
      </c>
      <c r="C198" s="75" t="s">
        <v>116</v>
      </c>
      <c r="D198" s="138">
        <f>ABS('Olahdata-PT100 C'!G26*0.1)</f>
        <v>5.984826202247431E-3</v>
      </c>
      <c r="E198" s="75">
        <f>SQRT(3)</f>
        <v>1.7320508075688772</v>
      </c>
      <c r="F198" s="75">
        <v>50</v>
      </c>
      <c r="G198" s="75">
        <f t="shared" si="76"/>
        <v>3.4553410189206799E-3</v>
      </c>
      <c r="H198" s="75">
        <f>H200</f>
        <v>2.6684712648340319</v>
      </c>
      <c r="I198" s="75">
        <f t="shared" ref="I198:I203" si="82">G198*H198</f>
        <v>9.220478219192179E-3</v>
      </c>
      <c r="J198" s="75">
        <f t="shared" ref="J198:J203" si="83">I198^2</f>
        <v>8.5017218590597381E-5</v>
      </c>
      <c r="K198" s="75">
        <f t="shared" si="79"/>
        <v>1.4455854913762833E-10</v>
      </c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7"/>
    </row>
    <row r="199" spans="1:26" ht="12.75" customHeight="1" x14ac:dyDescent="0.3">
      <c r="A199" s="75" t="s">
        <v>258</v>
      </c>
      <c r="B199" s="86" t="s">
        <v>113</v>
      </c>
      <c r="C199" s="75" t="s">
        <v>117</v>
      </c>
      <c r="D199" s="77">
        <v>0.26</v>
      </c>
      <c r="E199" s="75">
        <v>2</v>
      </c>
      <c r="F199" s="75">
        <v>60</v>
      </c>
      <c r="G199" s="75">
        <f t="shared" si="76"/>
        <v>0.13</v>
      </c>
      <c r="H199" s="75">
        <v>1</v>
      </c>
      <c r="I199" s="75">
        <f t="shared" si="82"/>
        <v>0.13</v>
      </c>
      <c r="J199" s="75">
        <f t="shared" si="83"/>
        <v>1.6900000000000002E-2</v>
      </c>
      <c r="K199" s="75">
        <f t="shared" si="79"/>
        <v>4.7601666666666672E-6</v>
      </c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7"/>
    </row>
    <row r="200" spans="1:26" ht="12.75" customHeight="1" x14ac:dyDescent="0.3">
      <c r="A200" s="75" t="s">
        <v>255</v>
      </c>
      <c r="B200" s="86" t="s">
        <v>63</v>
      </c>
      <c r="C200" s="75" t="s">
        <v>116</v>
      </c>
      <c r="D200" s="82">
        <f>VLOOKUP(C189,Table1[],7,TRUE)</f>
        <v>0.10266071125635379</v>
      </c>
      <c r="E200" s="75">
        <f t="shared" ref="E200:E203" si="84">SQRT(3)</f>
        <v>1.7320508075688772</v>
      </c>
      <c r="F200" s="75">
        <v>50</v>
      </c>
      <c r="G200" s="75">
        <f t="shared" si="76"/>
        <v>5.9271189279054309E-2</v>
      </c>
      <c r="H200" s="289">
        <f>VLOOKUP(C189,Table1[#All],8,TRUE)</f>
        <v>2.6684712648340319</v>
      </c>
      <c r="I200" s="75">
        <f t="shared" si="82"/>
        <v>0.15816346542369536</v>
      </c>
      <c r="J200" s="75">
        <f t="shared" si="83"/>
        <v>2.5015681794832479E-2</v>
      </c>
      <c r="K200" s="75">
        <f t="shared" si="79"/>
        <v>1.2515686713206263E-5</v>
      </c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7"/>
    </row>
    <row r="201" spans="1:26" ht="12.75" customHeight="1" x14ac:dyDescent="0.3">
      <c r="A201" s="75" t="s">
        <v>260</v>
      </c>
      <c r="B201" s="86" t="s">
        <v>113</v>
      </c>
      <c r="C201" s="75" t="s">
        <v>116</v>
      </c>
      <c r="D201" s="75">
        <f>20/10^3</f>
        <v>0.02</v>
      </c>
      <c r="E201" s="75">
        <f t="shared" si="84"/>
        <v>1.7320508075688772</v>
      </c>
      <c r="F201" s="75">
        <v>50</v>
      </c>
      <c r="G201" s="75">
        <f t="shared" si="76"/>
        <v>1.1547005383792516E-2</v>
      </c>
      <c r="H201" s="75">
        <v>1</v>
      </c>
      <c r="I201" s="75">
        <f>G201*H201</f>
        <v>1.1547005383792516E-2</v>
      </c>
      <c r="J201" s="75">
        <f t="shared" si="83"/>
        <v>1.3333333333333334E-4</v>
      </c>
      <c r="K201" s="75">
        <f t="shared" si="79"/>
        <v>3.555555555555556E-10</v>
      </c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7"/>
    </row>
    <row r="202" spans="1:26" ht="12.75" customHeight="1" x14ac:dyDescent="0.3">
      <c r="A202" s="75" t="s">
        <v>261</v>
      </c>
      <c r="B202" s="86" t="s">
        <v>113</v>
      </c>
      <c r="C202" s="75" t="s">
        <v>116</v>
      </c>
      <c r="D202" s="288">
        <f>'Oil Bath'!C11</f>
        <v>0.25</v>
      </c>
      <c r="E202" s="75">
        <f t="shared" si="84"/>
        <v>1.7320508075688772</v>
      </c>
      <c r="F202" s="75">
        <v>50</v>
      </c>
      <c r="G202" s="75">
        <f t="shared" si="76"/>
        <v>0.14433756729740646</v>
      </c>
      <c r="H202" s="75">
        <v>1</v>
      </c>
      <c r="I202" s="75">
        <f t="shared" si="82"/>
        <v>0.14433756729740646</v>
      </c>
      <c r="J202" s="75">
        <f t="shared" si="83"/>
        <v>2.0833333333333339E-2</v>
      </c>
      <c r="K202" s="75">
        <f t="shared" si="79"/>
        <v>8.6805555555555606E-6</v>
      </c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7"/>
    </row>
    <row r="203" spans="1:26" ht="12.75" customHeight="1" x14ac:dyDescent="0.3">
      <c r="A203" s="75" t="s">
        <v>262</v>
      </c>
      <c r="B203" s="253" t="s">
        <v>113</v>
      </c>
      <c r="C203" s="75" t="s">
        <v>116</v>
      </c>
      <c r="D203" s="288">
        <f>'Oil Bath'!D11</f>
        <v>0.2</v>
      </c>
      <c r="E203" s="75">
        <f t="shared" si="84"/>
        <v>1.7320508075688772</v>
      </c>
      <c r="F203" s="75">
        <v>50</v>
      </c>
      <c r="G203" s="75">
        <f t="shared" si="76"/>
        <v>0.11547005383792516</v>
      </c>
      <c r="H203" s="75">
        <v>1</v>
      </c>
      <c r="I203" s="75">
        <f t="shared" si="82"/>
        <v>0.11547005383792516</v>
      </c>
      <c r="J203" s="75">
        <f t="shared" si="83"/>
        <v>1.3333333333333336E-2</v>
      </c>
      <c r="K203" s="75">
        <f t="shared" si="79"/>
        <v>3.5555555555555568E-6</v>
      </c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7"/>
    </row>
    <row r="204" spans="1:26" ht="12.75" customHeight="1" x14ac:dyDescent="0.3">
      <c r="A204" s="83" t="s">
        <v>118</v>
      </c>
      <c r="B204" s="84"/>
      <c r="C204" s="91"/>
      <c r="D204" s="92"/>
      <c r="E204" s="91"/>
      <c r="F204" s="91"/>
      <c r="G204" s="91"/>
      <c r="H204" s="91"/>
      <c r="I204" s="93"/>
      <c r="J204" s="75">
        <f>SUM(J192:J203)</f>
        <v>2.9277267714205126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7"/>
    </row>
    <row r="205" spans="1:26" ht="12.75" customHeight="1" x14ac:dyDescent="0.3">
      <c r="A205" s="83" t="s">
        <v>119</v>
      </c>
      <c r="B205" s="84"/>
      <c r="C205" s="84"/>
      <c r="D205" s="85"/>
      <c r="E205" s="84"/>
      <c r="F205" s="84"/>
      <c r="G205" s="84"/>
      <c r="H205" s="84"/>
      <c r="I205" s="86"/>
      <c r="J205" s="75">
        <f>SQRT(J204)</f>
        <v>1.7110601308605471</v>
      </c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7"/>
    </row>
    <row r="206" spans="1:26" ht="12.75" customHeight="1" x14ac:dyDescent="0.3">
      <c r="A206" s="83" t="s">
        <v>120</v>
      </c>
      <c r="B206" s="84"/>
      <c r="C206" s="84"/>
      <c r="D206" s="85"/>
      <c r="E206" s="84"/>
      <c r="F206" s="84"/>
      <c r="G206" s="84"/>
      <c r="H206" s="84"/>
      <c r="I206" s="86"/>
      <c r="J206" s="75">
        <f>J205^4/SUM(K192:K203)</f>
        <v>9.5275224096059432</v>
      </c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7"/>
    </row>
    <row r="207" spans="1:26" ht="12.75" customHeight="1" x14ac:dyDescent="0.3">
      <c r="A207" s="83" t="s">
        <v>121</v>
      </c>
      <c r="B207" s="84"/>
      <c r="C207" s="84"/>
      <c r="D207" s="85"/>
      <c r="E207" s="84"/>
      <c r="F207" s="84"/>
      <c r="G207" s="84"/>
      <c r="H207" s="84"/>
      <c r="I207" s="86"/>
      <c r="J207" s="75">
        <f>1.95996+2.37356/J206+2.818745/J206^2+2.546662/J206^3+1.761829/J206^4+0.245458/J206^5+1.000764/J206^6</f>
        <v>2.2433020410857964</v>
      </c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7"/>
    </row>
    <row r="208" spans="1:26" ht="12.75" customHeight="1" x14ac:dyDescent="0.3">
      <c r="A208" s="83" t="s">
        <v>216</v>
      </c>
      <c r="B208" s="84"/>
      <c r="C208" s="84"/>
      <c r="D208" s="85"/>
      <c r="E208" s="84"/>
      <c r="F208" s="84"/>
      <c r="G208" s="84"/>
      <c r="H208" s="84"/>
      <c r="I208" s="86"/>
      <c r="J208" s="87">
        <f>J205*J207</f>
        <v>3.8384246839799951</v>
      </c>
      <c r="K208" s="56">
        <v>0.57999999999999996</v>
      </c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7"/>
    </row>
    <row r="209" spans="1:26" ht="12.75" customHeight="1" x14ac:dyDescent="0.3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7"/>
    </row>
    <row r="210" spans="1:26" ht="12.75" customHeight="1" x14ac:dyDescent="0.3">
      <c r="A210" s="71" t="str">
        <f>A$21</f>
        <v>Rentang ukur PT100 (0~250) ⁰C</v>
      </c>
      <c r="B210" s="56"/>
      <c r="C210" s="72">
        <f>'Olahdata-PT100 C'!I27</f>
        <v>225.04720080586242</v>
      </c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7"/>
    </row>
    <row r="211" spans="1:26" ht="12.75" customHeight="1" x14ac:dyDescent="0.3">
      <c r="A211" s="105" t="s">
        <v>87</v>
      </c>
      <c r="B211" s="73" t="s">
        <v>88</v>
      </c>
      <c r="C211" s="88" t="s">
        <v>89</v>
      </c>
      <c r="D211" s="74" t="s">
        <v>90</v>
      </c>
      <c r="E211" s="73" t="s">
        <v>91</v>
      </c>
      <c r="F211" s="73" t="s">
        <v>92</v>
      </c>
      <c r="G211" s="73" t="s">
        <v>93</v>
      </c>
      <c r="H211" s="73" t="s">
        <v>94</v>
      </c>
      <c r="I211" s="73" t="s">
        <v>95</v>
      </c>
      <c r="J211" s="73" t="s">
        <v>96</v>
      </c>
      <c r="K211" s="73" t="s">
        <v>97</v>
      </c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5"/>
    </row>
    <row r="212" spans="1:26" ht="12.75" customHeight="1" x14ac:dyDescent="0.3">
      <c r="A212" s="103" t="s">
        <v>98</v>
      </c>
      <c r="B212" s="96" t="s">
        <v>99</v>
      </c>
      <c r="C212" s="73" t="s">
        <v>100</v>
      </c>
      <c r="D212" s="74" t="s">
        <v>101</v>
      </c>
      <c r="E212" s="73" t="s">
        <v>102</v>
      </c>
      <c r="F212" s="73" t="s">
        <v>103</v>
      </c>
      <c r="G212" s="73" t="s">
        <v>104</v>
      </c>
      <c r="H212" s="73" t="s">
        <v>105</v>
      </c>
      <c r="I212" s="73" t="s">
        <v>106</v>
      </c>
      <c r="J212" s="73" t="s">
        <v>107</v>
      </c>
      <c r="K212" s="73" t="s">
        <v>108</v>
      </c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5"/>
    </row>
    <row r="213" spans="1:26" ht="12.75" customHeight="1" x14ac:dyDescent="0.3">
      <c r="A213" s="75" t="s">
        <v>112</v>
      </c>
      <c r="B213" s="86" t="s">
        <v>63</v>
      </c>
      <c r="C213" s="75" t="s">
        <v>114</v>
      </c>
      <c r="D213" s="76">
        <f>STDEV('Olahdata-PT100 C'!J27:N27)/SQRT(5)</f>
        <v>0</v>
      </c>
      <c r="E213" s="75">
        <v>1</v>
      </c>
      <c r="F213" s="75">
        <v>4</v>
      </c>
      <c r="G213" s="75">
        <f t="shared" ref="G213:G224" si="85">D213/E213</f>
        <v>0</v>
      </c>
      <c r="H213" s="75">
        <f>1/('Olahdata-PT100 C'!AE124-'Olahdata-PT100 C'!AD124)</f>
        <v>2.7484944569069634</v>
      </c>
      <c r="I213" s="75">
        <f t="shared" ref="I213:I214" si="86">G213*H213</f>
        <v>0</v>
      </c>
      <c r="J213" s="75">
        <f t="shared" ref="J213:J215" si="87">I213^2</f>
        <v>0</v>
      </c>
      <c r="K213" s="75">
        <f t="shared" ref="K213:K224" si="88">J213^2/F213</f>
        <v>0</v>
      </c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7"/>
    </row>
    <row r="214" spans="1:26" ht="12.75" customHeight="1" x14ac:dyDescent="0.3">
      <c r="A214" s="75" t="s">
        <v>115</v>
      </c>
      <c r="B214" s="86" t="s">
        <v>63</v>
      </c>
      <c r="C214" s="75" t="s">
        <v>116</v>
      </c>
      <c r="D214" s="81">
        <f>D25</f>
        <v>2.5000000000000001E-3</v>
      </c>
      <c r="E214" s="75">
        <f>SQRT(3)</f>
        <v>1.7320508075688772</v>
      </c>
      <c r="F214" s="75">
        <v>50</v>
      </c>
      <c r="G214" s="75">
        <f t="shared" si="85"/>
        <v>1.4433756729740645E-3</v>
      </c>
      <c r="H214" s="75">
        <f>H213</f>
        <v>2.7484944569069634</v>
      </c>
      <c r="I214" s="75">
        <f t="shared" si="86"/>
        <v>3.967110036403574E-3</v>
      </c>
      <c r="J214" s="75">
        <f t="shared" si="87"/>
        <v>1.5737962040933965E-5</v>
      </c>
      <c r="K214" s="75">
        <f t="shared" si="88"/>
        <v>4.9536689840375674E-12</v>
      </c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7"/>
    </row>
    <row r="215" spans="1:26" ht="12.75" customHeight="1" x14ac:dyDescent="0.3">
      <c r="A215" s="78" t="s">
        <v>259</v>
      </c>
      <c r="B215" s="86" t="s">
        <v>113</v>
      </c>
      <c r="C215" s="75" t="s">
        <v>116</v>
      </c>
      <c r="D215" s="77">
        <f>4/10^3</f>
        <v>4.0000000000000001E-3</v>
      </c>
      <c r="E215" s="75">
        <f>SQRT(3)</f>
        <v>1.7320508075688772</v>
      </c>
      <c r="F215" s="75">
        <v>50</v>
      </c>
      <c r="G215" s="75">
        <f t="shared" si="85"/>
        <v>2.3094010767585032E-3</v>
      </c>
      <c r="H215" s="75">
        <v>1</v>
      </c>
      <c r="I215" s="75">
        <f>G215*H215</f>
        <v>2.3094010767585032E-3</v>
      </c>
      <c r="J215" s="75">
        <f t="shared" si="87"/>
        <v>5.3333333333333337E-6</v>
      </c>
      <c r="K215" s="75">
        <f t="shared" si="88"/>
        <v>5.6888888888888893E-13</v>
      </c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7"/>
    </row>
    <row r="216" spans="1:26" ht="12.75" customHeight="1" x14ac:dyDescent="0.3">
      <c r="A216" s="78" t="s">
        <v>254</v>
      </c>
      <c r="B216" s="86" t="s">
        <v>63</v>
      </c>
      <c r="C216" s="75" t="s">
        <v>117</v>
      </c>
      <c r="D216" s="80">
        <f>D$27</f>
        <v>0.61915312760021013</v>
      </c>
      <c r="E216" s="80">
        <v>1</v>
      </c>
      <c r="F216" s="80">
        <f>F$27</f>
        <v>9</v>
      </c>
      <c r="G216" s="81">
        <f t="shared" si="85"/>
        <v>0.61915312760021013</v>
      </c>
      <c r="H216" s="81">
        <f>H213</f>
        <v>2.7484944569069634</v>
      </c>
      <c r="I216" s="75">
        <f t="shared" ref="I216:I217" si="89">G216*H216</f>
        <v>1.7017389391857873</v>
      </c>
      <c r="J216" s="75">
        <f t="shared" ref="J216:J217" si="90">I216^2</f>
        <v>2.8959154171411687</v>
      </c>
      <c r="K216" s="81">
        <f t="shared" si="88"/>
        <v>0.93181401147065657</v>
      </c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7"/>
    </row>
    <row r="217" spans="1:26" ht="12.75" customHeight="1" x14ac:dyDescent="0.3">
      <c r="A217" s="75" t="s">
        <v>253</v>
      </c>
      <c r="B217" s="86" t="s">
        <v>63</v>
      </c>
      <c r="C217" s="75" t="s">
        <v>114</v>
      </c>
      <c r="D217" s="76">
        <f>STDEV('Olahdata-PT100 C'!A27:E27)/SQRT(5)</f>
        <v>4.8989794855688615E-3</v>
      </c>
      <c r="E217" s="75">
        <v>1</v>
      </c>
      <c r="F217" s="75">
        <v>4</v>
      </c>
      <c r="G217" s="75">
        <f>D217/E217</f>
        <v>4.8989794855688615E-3</v>
      </c>
      <c r="H217" s="75">
        <f>H221</f>
        <v>2.689461104610086</v>
      </c>
      <c r="I217" s="75">
        <f t="shared" si="89"/>
        <v>1.3175614778720181E-2</v>
      </c>
      <c r="J217" s="75">
        <f t="shared" si="90"/>
        <v>1.7359682479722963E-4</v>
      </c>
      <c r="K217" s="75">
        <f>J217^2/F217</f>
        <v>7.5339643949200093E-9</v>
      </c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7"/>
    </row>
    <row r="218" spans="1:26" ht="12.75" customHeight="1" x14ac:dyDescent="0.3">
      <c r="A218" s="75" t="s">
        <v>256</v>
      </c>
      <c r="B218" s="86" t="s">
        <v>63</v>
      </c>
      <c r="C218" s="79" t="s">
        <v>117</v>
      </c>
      <c r="D218" s="77">
        <f>'Olahdata-PT100 C'!U21</f>
        <v>5.6000000000000008E-2</v>
      </c>
      <c r="E218" s="75">
        <v>2</v>
      </c>
      <c r="F218" s="75">
        <v>60</v>
      </c>
      <c r="G218" s="75">
        <f t="shared" si="85"/>
        <v>2.8000000000000004E-2</v>
      </c>
      <c r="H218" s="81">
        <f>H221</f>
        <v>2.689461104610086</v>
      </c>
      <c r="I218" s="75">
        <f t="shared" ref="I218:I224" si="91">G218*H218</f>
        <v>7.5304910929082425E-2</v>
      </c>
      <c r="J218" s="75">
        <f t="shared" ref="J218:J224" si="92">I218^2</f>
        <v>5.6708296100370379E-3</v>
      </c>
      <c r="K218" s="75">
        <f t="shared" si="88"/>
        <v>5.359718077678803E-7</v>
      </c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7"/>
    </row>
    <row r="219" spans="1:26" ht="12.75" customHeight="1" x14ac:dyDescent="0.3">
      <c r="A219" s="75" t="s">
        <v>257</v>
      </c>
      <c r="B219" s="86" t="s">
        <v>63</v>
      </c>
      <c r="C219" s="75" t="s">
        <v>116</v>
      </c>
      <c r="D219" s="138">
        <f>ABS('Olahdata-PT100 C'!G27*0.1)</f>
        <v>5.9952156404494044E-3</v>
      </c>
      <c r="E219" s="75">
        <f>SQRT(3)</f>
        <v>1.7320508075688772</v>
      </c>
      <c r="F219" s="75">
        <v>50</v>
      </c>
      <c r="G219" s="75">
        <f t="shared" si="85"/>
        <v>3.4613393638633183E-3</v>
      </c>
      <c r="H219" s="75">
        <f>H221</f>
        <v>2.689461104610086</v>
      </c>
      <c r="I219" s="75">
        <f t="shared" si="91"/>
        <v>9.3091375889662129E-3</v>
      </c>
      <c r="J219" s="75">
        <f t="shared" si="92"/>
        <v>8.6660042650303672E-5</v>
      </c>
      <c r="K219" s="75">
        <f t="shared" si="88"/>
        <v>1.5019925984304904E-10</v>
      </c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7"/>
    </row>
    <row r="220" spans="1:26" ht="12.75" customHeight="1" x14ac:dyDescent="0.3">
      <c r="A220" s="75" t="s">
        <v>258</v>
      </c>
      <c r="B220" s="86" t="s">
        <v>113</v>
      </c>
      <c r="C220" s="75" t="s">
        <v>117</v>
      </c>
      <c r="D220" s="77">
        <v>0.26</v>
      </c>
      <c r="E220" s="75">
        <v>2</v>
      </c>
      <c r="F220" s="75">
        <v>60</v>
      </c>
      <c r="G220" s="75">
        <f t="shared" si="85"/>
        <v>0.13</v>
      </c>
      <c r="H220" s="75">
        <v>1</v>
      </c>
      <c r="I220" s="75">
        <f t="shared" si="91"/>
        <v>0.13</v>
      </c>
      <c r="J220" s="75">
        <f t="shared" si="92"/>
        <v>1.6900000000000002E-2</v>
      </c>
      <c r="K220" s="75">
        <f t="shared" si="88"/>
        <v>4.7601666666666672E-6</v>
      </c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7"/>
    </row>
    <row r="221" spans="1:26" ht="12.75" customHeight="1" x14ac:dyDescent="0.3">
      <c r="A221" s="75" t="s">
        <v>255</v>
      </c>
      <c r="B221" s="86" t="s">
        <v>63</v>
      </c>
      <c r="C221" s="75" t="s">
        <v>116</v>
      </c>
      <c r="D221" s="82">
        <f>VLOOKUP(C210,Table1[],7,TRUE)</f>
        <v>0.1092389420498556</v>
      </c>
      <c r="E221" s="75">
        <f t="shared" ref="E221:E224" si="93">SQRT(3)</f>
        <v>1.7320508075688772</v>
      </c>
      <c r="F221" s="75">
        <v>50</v>
      </c>
      <c r="G221" s="75">
        <f t="shared" si="85"/>
        <v>6.3069132598474062E-2</v>
      </c>
      <c r="H221" s="289">
        <f>VLOOKUP(C210,Table1[#All],8,TRUE)</f>
        <v>2.689461104610086</v>
      </c>
      <c r="I221" s="75">
        <f t="shared" si="91"/>
        <v>0.16962197902509205</v>
      </c>
      <c r="J221" s="75">
        <f t="shared" si="92"/>
        <v>2.8771615768388766E-2</v>
      </c>
      <c r="K221" s="75">
        <f t="shared" si="88"/>
        <v>1.6556117478475941E-5</v>
      </c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7"/>
    </row>
    <row r="222" spans="1:26" ht="12.75" customHeight="1" x14ac:dyDescent="0.3">
      <c r="A222" s="75" t="s">
        <v>260</v>
      </c>
      <c r="B222" s="86" t="s">
        <v>113</v>
      </c>
      <c r="C222" s="75" t="s">
        <v>116</v>
      </c>
      <c r="D222" s="75">
        <f>20/10^3</f>
        <v>0.02</v>
      </c>
      <c r="E222" s="75">
        <f t="shared" si="93"/>
        <v>1.7320508075688772</v>
      </c>
      <c r="F222" s="75">
        <v>50</v>
      </c>
      <c r="G222" s="75">
        <f t="shared" si="85"/>
        <v>1.1547005383792516E-2</v>
      </c>
      <c r="H222" s="75">
        <v>1</v>
      </c>
      <c r="I222" s="75">
        <f>G222*H222</f>
        <v>1.1547005383792516E-2</v>
      </c>
      <c r="J222" s="75">
        <f t="shared" si="92"/>
        <v>1.3333333333333334E-4</v>
      </c>
      <c r="K222" s="75">
        <f t="shared" si="88"/>
        <v>3.555555555555556E-10</v>
      </c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7"/>
    </row>
    <row r="223" spans="1:26" ht="12.75" customHeight="1" x14ac:dyDescent="0.3">
      <c r="A223" s="75" t="s">
        <v>261</v>
      </c>
      <c r="B223" s="86" t="s">
        <v>113</v>
      </c>
      <c r="C223" s="75" t="s">
        <v>116</v>
      </c>
      <c r="D223" s="288">
        <f>'Oil Bath'!C12</f>
        <v>0.24</v>
      </c>
      <c r="E223" s="75">
        <f t="shared" si="93"/>
        <v>1.7320508075688772</v>
      </c>
      <c r="F223" s="75">
        <v>50</v>
      </c>
      <c r="G223" s="75">
        <f t="shared" si="85"/>
        <v>0.13856406460551018</v>
      </c>
      <c r="H223" s="75">
        <v>1</v>
      </c>
      <c r="I223" s="75">
        <f t="shared" si="91"/>
        <v>0.13856406460551018</v>
      </c>
      <c r="J223" s="75">
        <f t="shared" si="92"/>
        <v>1.9200000000000002E-2</v>
      </c>
      <c r="K223" s="75">
        <f t="shared" si="88"/>
        <v>7.3728000000000008E-6</v>
      </c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7"/>
    </row>
    <row r="224" spans="1:26" ht="12.75" customHeight="1" x14ac:dyDescent="0.3">
      <c r="A224" s="75" t="s">
        <v>262</v>
      </c>
      <c r="B224" s="253" t="s">
        <v>113</v>
      </c>
      <c r="C224" s="75" t="s">
        <v>116</v>
      </c>
      <c r="D224" s="288">
        <f>'Oil Bath'!D12</f>
        <v>0.21</v>
      </c>
      <c r="E224" s="75">
        <f t="shared" si="93"/>
        <v>1.7320508075688772</v>
      </c>
      <c r="F224" s="75">
        <v>50</v>
      </c>
      <c r="G224" s="75">
        <f t="shared" si="85"/>
        <v>0.12124355652982141</v>
      </c>
      <c r="H224" s="75">
        <v>1</v>
      </c>
      <c r="I224" s="75">
        <f t="shared" si="91"/>
        <v>0.12124355652982141</v>
      </c>
      <c r="J224" s="75">
        <f t="shared" si="92"/>
        <v>1.47E-2</v>
      </c>
      <c r="K224" s="75">
        <f t="shared" si="88"/>
        <v>4.3217999999999999E-6</v>
      </c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7"/>
    </row>
    <row r="225" spans="1:26" ht="12.75" customHeight="1" x14ac:dyDescent="0.3">
      <c r="A225" s="83" t="s">
        <v>118</v>
      </c>
      <c r="B225" s="84"/>
      <c r="C225" s="91"/>
      <c r="D225" s="92"/>
      <c r="E225" s="91"/>
      <c r="F225" s="91"/>
      <c r="G225" s="91"/>
      <c r="H225" s="91"/>
      <c r="I225" s="93"/>
      <c r="J225" s="75">
        <f>SUM(J213:J224)</f>
        <v>2.9815725240157498</v>
      </c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7"/>
    </row>
    <row r="226" spans="1:26" ht="12.75" customHeight="1" x14ac:dyDescent="0.3">
      <c r="A226" s="83" t="s">
        <v>119</v>
      </c>
      <c r="B226" s="84"/>
      <c r="C226" s="84"/>
      <c r="D226" s="85"/>
      <c r="E226" s="84"/>
      <c r="F226" s="84"/>
      <c r="G226" s="84"/>
      <c r="H226" s="84"/>
      <c r="I226" s="86"/>
      <c r="J226" s="75">
        <f>SQRT(J225)</f>
        <v>1.7267230594440297</v>
      </c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7"/>
    </row>
    <row r="227" spans="1:26" ht="12.75" customHeight="1" x14ac:dyDescent="0.3">
      <c r="A227" s="83" t="s">
        <v>120</v>
      </c>
      <c r="B227" s="84"/>
      <c r="C227" s="84"/>
      <c r="D227" s="85"/>
      <c r="E227" s="84"/>
      <c r="F227" s="84"/>
      <c r="G227" s="84"/>
      <c r="H227" s="84"/>
      <c r="I227" s="86"/>
      <c r="J227" s="75">
        <f>J226^4/SUM(K213:K224)</f>
        <v>9.5399451978803711</v>
      </c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7"/>
    </row>
    <row r="228" spans="1:26" ht="12.75" customHeight="1" x14ac:dyDescent="0.3">
      <c r="A228" s="83" t="s">
        <v>121</v>
      </c>
      <c r="B228" s="84"/>
      <c r="C228" s="84"/>
      <c r="D228" s="85"/>
      <c r="E228" s="84"/>
      <c r="F228" s="84"/>
      <c r="G228" s="84"/>
      <c r="H228" s="84"/>
      <c r="I228" s="86"/>
      <c r="J228" s="75">
        <f>1.95996+2.37356/J227+2.818745/J227^2+2.546662/J227^3+1.761829/J227^4+0.245458/J227^5+1.000764/J227^6</f>
        <v>2.2428841814865663</v>
      </c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7"/>
    </row>
    <row r="229" spans="1:26" ht="12.75" customHeight="1" x14ac:dyDescent="0.3">
      <c r="A229" s="83" t="s">
        <v>216</v>
      </c>
      <c r="B229" s="84"/>
      <c r="C229" s="84"/>
      <c r="D229" s="85"/>
      <c r="E229" s="84"/>
      <c r="F229" s="84"/>
      <c r="G229" s="84"/>
      <c r="H229" s="84"/>
      <c r="I229" s="86"/>
      <c r="J229" s="87">
        <f>J226*J228</f>
        <v>3.8728398358351024</v>
      </c>
      <c r="K229" s="56">
        <v>0.57999999999999996</v>
      </c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7"/>
    </row>
    <row r="230" spans="1:26" ht="12.75" customHeight="1" x14ac:dyDescent="0.3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7"/>
    </row>
    <row r="231" spans="1:26" ht="12.75" customHeight="1" x14ac:dyDescent="0.3">
      <c r="A231" s="71" t="str">
        <f>A$21</f>
        <v>Rentang ukur PT100 (0~250) ⁰C</v>
      </c>
      <c r="B231" s="56"/>
      <c r="C231" s="72">
        <f>'Olahdata-PT100 C'!I28</f>
        <v>250.04129115681161</v>
      </c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7"/>
    </row>
    <row r="232" spans="1:26" ht="12.75" customHeight="1" x14ac:dyDescent="0.3">
      <c r="A232" s="105" t="s">
        <v>87</v>
      </c>
      <c r="B232" s="73" t="s">
        <v>88</v>
      </c>
      <c r="C232" s="88" t="s">
        <v>89</v>
      </c>
      <c r="D232" s="74" t="s">
        <v>90</v>
      </c>
      <c r="E232" s="73" t="s">
        <v>91</v>
      </c>
      <c r="F232" s="73" t="s">
        <v>92</v>
      </c>
      <c r="G232" s="73" t="s">
        <v>93</v>
      </c>
      <c r="H232" s="73" t="s">
        <v>94</v>
      </c>
      <c r="I232" s="73" t="s">
        <v>95</v>
      </c>
      <c r="J232" s="73" t="s">
        <v>96</v>
      </c>
      <c r="K232" s="73" t="s">
        <v>97</v>
      </c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7"/>
    </row>
    <row r="233" spans="1:26" ht="12.75" customHeight="1" x14ac:dyDescent="0.3">
      <c r="A233" s="109" t="s">
        <v>98</v>
      </c>
      <c r="B233" s="73" t="s">
        <v>99</v>
      </c>
      <c r="C233" s="88" t="s">
        <v>100</v>
      </c>
      <c r="D233" s="74" t="s">
        <v>101</v>
      </c>
      <c r="E233" s="73" t="s">
        <v>102</v>
      </c>
      <c r="F233" s="73" t="s">
        <v>103</v>
      </c>
      <c r="G233" s="73" t="s">
        <v>104</v>
      </c>
      <c r="H233" s="73" t="s">
        <v>105</v>
      </c>
      <c r="I233" s="73" t="s">
        <v>106</v>
      </c>
      <c r="J233" s="73" t="s">
        <v>107</v>
      </c>
      <c r="K233" s="73" t="s">
        <v>108</v>
      </c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7"/>
    </row>
    <row r="234" spans="1:26" ht="12.75" customHeight="1" x14ac:dyDescent="0.3">
      <c r="A234" s="75" t="s">
        <v>112</v>
      </c>
      <c r="B234" s="86" t="s">
        <v>63</v>
      </c>
      <c r="C234" s="75" t="s">
        <v>114</v>
      </c>
      <c r="D234" s="76">
        <f>STDEV('Olahdata-PT100 C'!J28:N28)/SQRT(5)</f>
        <v>0</v>
      </c>
      <c r="E234" s="75">
        <v>1</v>
      </c>
      <c r="F234" s="75">
        <v>4</v>
      </c>
      <c r="G234" s="75">
        <f t="shared" ref="G234:G245" si="94">D234/E234</f>
        <v>0</v>
      </c>
      <c r="H234" s="75">
        <f>1/('Olahdata-PT100 C'!Z125-'Olahdata-PT100 C'!Y125)</f>
        <v>2.7729647241745039</v>
      </c>
      <c r="I234" s="75">
        <f t="shared" ref="I234:I235" si="95">G234*H234</f>
        <v>0</v>
      </c>
      <c r="J234" s="75">
        <f t="shared" ref="J234:J236" si="96">I234^2</f>
        <v>0</v>
      </c>
      <c r="K234" s="75">
        <f t="shared" ref="K234:K245" si="97">J234^2/F234</f>
        <v>0</v>
      </c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7"/>
    </row>
    <row r="235" spans="1:26" ht="12.75" customHeight="1" x14ac:dyDescent="0.3">
      <c r="A235" s="75" t="s">
        <v>115</v>
      </c>
      <c r="B235" s="86" t="s">
        <v>63</v>
      </c>
      <c r="C235" s="75" t="s">
        <v>116</v>
      </c>
      <c r="D235" s="81">
        <f>D25</f>
        <v>2.5000000000000001E-3</v>
      </c>
      <c r="E235" s="75">
        <f>SQRT(3)</f>
        <v>1.7320508075688772</v>
      </c>
      <c r="F235" s="75">
        <v>50</v>
      </c>
      <c r="G235" s="75">
        <f t="shared" si="94"/>
        <v>1.4433756729740645E-3</v>
      </c>
      <c r="H235" s="75">
        <f>H234</f>
        <v>2.7729647241745039</v>
      </c>
      <c r="I235" s="75">
        <f t="shared" si="95"/>
        <v>4.0024298248887155E-3</v>
      </c>
      <c r="J235" s="75">
        <f t="shared" si="96"/>
        <v>1.6019444503158714E-5</v>
      </c>
      <c r="K235" s="75">
        <f t="shared" si="97"/>
        <v>5.1324520437956385E-12</v>
      </c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7"/>
    </row>
    <row r="236" spans="1:26" ht="12.75" customHeight="1" x14ac:dyDescent="0.3">
      <c r="A236" s="78" t="s">
        <v>259</v>
      </c>
      <c r="B236" s="86" t="s">
        <v>113</v>
      </c>
      <c r="C236" s="75" t="s">
        <v>116</v>
      </c>
      <c r="D236" s="77">
        <f>4/10^3</f>
        <v>4.0000000000000001E-3</v>
      </c>
      <c r="E236" s="75">
        <f>SQRT(3)</f>
        <v>1.7320508075688772</v>
      </c>
      <c r="F236" s="75">
        <v>50</v>
      </c>
      <c r="G236" s="75">
        <f t="shared" si="94"/>
        <v>2.3094010767585032E-3</v>
      </c>
      <c r="H236" s="75">
        <v>1</v>
      </c>
      <c r="I236" s="75">
        <f>G236*H236</f>
        <v>2.3094010767585032E-3</v>
      </c>
      <c r="J236" s="75">
        <f t="shared" si="96"/>
        <v>5.3333333333333337E-6</v>
      </c>
      <c r="K236" s="75">
        <f t="shared" si="97"/>
        <v>5.6888888888888893E-13</v>
      </c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7"/>
    </row>
    <row r="237" spans="1:26" ht="12.75" customHeight="1" x14ac:dyDescent="0.3">
      <c r="A237" s="78" t="s">
        <v>254</v>
      </c>
      <c r="B237" s="86" t="s">
        <v>63</v>
      </c>
      <c r="C237" s="75" t="s">
        <v>117</v>
      </c>
      <c r="D237" s="80">
        <f>D$27</f>
        <v>0.61915312760021013</v>
      </c>
      <c r="E237" s="80">
        <v>1</v>
      </c>
      <c r="F237" s="80">
        <f>F$27</f>
        <v>9</v>
      </c>
      <c r="G237" s="81">
        <f t="shared" si="94"/>
        <v>0.61915312760021013</v>
      </c>
      <c r="H237" s="81">
        <f>H234</f>
        <v>2.7729647241745039</v>
      </c>
      <c r="I237" s="75">
        <f>G237*H237</f>
        <v>1.716889781697698</v>
      </c>
      <c r="J237" s="75">
        <f t="shared" ref="J237" si="98">I237^2</f>
        <v>2.9477105224979692</v>
      </c>
      <c r="K237" s="81">
        <f t="shared" si="97"/>
        <v>0.96544414716058335</v>
      </c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7"/>
    </row>
    <row r="238" spans="1:26" ht="12.75" customHeight="1" x14ac:dyDescent="0.3">
      <c r="A238" s="75" t="s">
        <v>253</v>
      </c>
      <c r="B238" s="86" t="s">
        <v>63</v>
      </c>
      <c r="C238" s="75" t="s">
        <v>114</v>
      </c>
      <c r="D238" s="76">
        <f>STDEV('Olahdata-PT100 C'!A28:E28)/SQRT(5)</f>
        <v>0</v>
      </c>
      <c r="E238" s="75">
        <v>1</v>
      </c>
      <c r="F238" s="75">
        <v>4</v>
      </c>
      <c r="G238" s="75">
        <f>D238/E238</f>
        <v>0</v>
      </c>
      <c r="H238" s="75">
        <f>H242</f>
        <v>2.7107845037461686</v>
      </c>
      <c r="I238" s="75">
        <f>G238*H238</f>
        <v>0</v>
      </c>
      <c r="J238" s="75">
        <f>I238^2</f>
        <v>0</v>
      </c>
      <c r="K238" s="75">
        <f>J238^2/F238</f>
        <v>0</v>
      </c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7"/>
    </row>
    <row r="239" spans="1:26" ht="12.75" customHeight="1" x14ac:dyDescent="0.3">
      <c r="A239" s="75" t="s">
        <v>256</v>
      </c>
      <c r="B239" s="86" t="s">
        <v>63</v>
      </c>
      <c r="C239" s="79" t="s">
        <v>117</v>
      </c>
      <c r="D239" s="77">
        <f>'Olahdata-PT100 C'!U21</f>
        <v>5.6000000000000008E-2</v>
      </c>
      <c r="E239" s="75">
        <v>2</v>
      </c>
      <c r="F239" s="75">
        <v>60</v>
      </c>
      <c r="G239" s="75">
        <f t="shared" si="94"/>
        <v>2.8000000000000004E-2</v>
      </c>
      <c r="H239" s="81">
        <f>H242</f>
        <v>2.7107845037461686</v>
      </c>
      <c r="I239" s="75">
        <f t="shared" ref="I239:I245" si="99">G239*H239</f>
        <v>7.5901966104892735E-2</v>
      </c>
      <c r="J239" s="75">
        <f t="shared" ref="J239:J245" si="100">I239^2</f>
        <v>5.7611084585882854E-3</v>
      </c>
      <c r="K239" s="75">
        <f t="shared" si="97"/>
        <v>5.5317284452695816E-7</v>
      </c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7"/>
    </row>
    <row r="240" spans="1:26" ht="12.75" customHeight="1" x14ac:dyDescent="0.3">
      <c r="A240" s="75" t="s">
        <v>257</v>
      </c>
      <c r="B240" s="86" t="s">
        <v>63</v>
      </c>
      <c r="C240" s="75" t="s">
        <v>116</v>
      </c>
      <c r="D240" s="138">
        <f>ABS('Olahdata-PT100 C'!G28*0.1)</f>
        <v>6.0055294382019416E-3</v>
      </c>
      <c r="E240" s="75">
        <f>SQRT(3)</f>
        <v>1.7320508075688772</v>
      </c>
      <c r="F240" s="75">
        <v>50</v>
      </c>
      <c r="G240" s="75">
        <f t="shared" si="94"/>
        <v>3.4672940377721132E-3</v>
      </c>
      <c r="H240" s="75">
        <f>H242</f>
        <v>2.7107845037461686</v>
      </c>
      <c r="I240" s="75">
        <f t="shared" si="99"/>
        <v>9.3990869475241278E-3</v>
      </c>
      <c r="J240" s="75">
        <f t="shared" si="100"/>
        <v>8.834283544711843E-5</v>
      </c>
      <c r="K240" s="75">
        <f t="shared" si="97"/>
        <v>1.5608913149673289E-10</v>
      </c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7"/>
    </row>
    <row r="241" spans="1:26" ht="12.75" customHeight="1" x14ac:dyDescent="0.3">
      <c r="A241" s="75" t="s">
        <v>258</v>
      </c>
      <c r="B241" s="86" t="s">
        <v>113</v>
      </c>
      <c r="C241" s="75" t="s">
        <v>117</v>
      </c>
      <c r="D241" s="77">
        <v>0.26</v>
      </c>
      <c r="E241" s="75">
        <v>2</v>
      </c>
      <c r="F241" s="75">
        <v>60</v>
      </c>
      <c r="G241" s="75">
        <f t="shared" si="94"/>
        <v>0.13</v>
      </c>
      <c r="H241" s="75">
        <v>1</v>
      </c>
      <c r="I241" s="75">
        <f t="shared" si="99"/>
        <v>0.13</v>
      </c>
      <c r="J241" s="75">
        <f t="shared" si="100"/>
        <v>1.6900000000000002E-2</v>
      </c>
      <c r="K241" s="75">
        <f t="shared" si="97"/>
        <v>4.7601666666666672E-6</v>
      </c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7"/>
    </row>
    <row r="242" spans="1:26" ht="12.75" customHeight="1" x14ac:dyDescent="0.3">
      <c r="A242" s="75" t="s">
        <v>255</v>
      </c>
      <c r="B242" s="86" t="s">
        <v>63</v>
      </c>
      <c r="C242" s="75" t="s">
        <v>116</v>
      </c>
      <c r="D242" s="82">
        <f>VLOOKUP(C231,Table1[],7,TRUE)</f>
        <v>0.11544430443291454</v>
      </c>
      <c r="E242" s="75">
        <f t="shared" ref="E242:E245" si="101">SQRT(3)</f>
        <v>1.7320508075688772</v>
      </c>
      <c r="F242" s="75">
        <v>50</v>
      </c>
      <c r="G242" s="75">
        <f t="shared" si="94"/>
        <v>6.6651800240752318E-2</v>
      </c>
      <c r="H242" s="289">
        <f>VLOOKUP(C231,Table1[#All],8,TRUE)</f>
        <v>2.7107845037461686</v>
      </c>
      <c r="I242" s="75">
        <f t="shared" si="99"/>
        <v>0.18067866723941653</v>
      </c>
      <c r="J242" s="75">
        <f t="shared" si="100"/>
        <v>3.2644780795411811E-2</v>
      </c>
      <c r="K242" s="75">
        <f t="shared" si="97"/>
        <v>2.1313634263609753E-5</v>
      </c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7"/>
    </row>
    <row r="243" spans="1:26" ht="12.75" customHeight="1" x14ac:dyDescent="0.3">
      <c r="A243" s="75" t="s">
        <v>260</v>
      </c>
      <c r="B243" s="86" t="s">
        <v>113</v>
      </c>
      <c r="C243" s="75" t="s">
        <v>116</v>
      </c>
      <c r="D243" s="75">
        <f>20/10^3</f>
        <v>0.02</v>
      </c>
      <c r="E243" s="75">
        <f t="shared" si="101"/>
        <v>1.7320508075688772</v>
      </c>
      <c r="F243" s="75">
        <v>50</v>
      </c>
      <c r="G243" s="75">
        <f t="shared" si="94"/>
        <v>1.1547005383792516E-2</v>
      </c>
      <c r="H243" s="75">
        <v>1</v>
      </c>
      <c r="I243" s="75">
        <f>G243*H243</f>
        <v>1.1547005383792516E-2</v>
      </c>
      <c r="J243" s="75">
        <f t="shared" si="100"/>
        <v>1.3333333333333334E-4</v>
      </c>
      <c r="K243" s="75">
        <f t="shared" si="97"/>
        <v>3.555555555555556E-10</v>
      </c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7"/>
    </row>
    <row r="244" spans="1:26" ht="12.75" customHeight="1" x14ac:dyDescent="0.3">
      <c r="A244" s="75" t="s">
        <v>261</v>
      </c>
      <c r="B244" s="86" t="s">
        <v>113</v>
      </c>
      <c r="C244" s="75" t="s">
        <v>116</v>
      </c>
      <c r="D244" s="288">
        <f>'Oil Bath'!C13</f>
        <v>0.21</v>
      </c>
      <c r="E244" s="75">
        <f t="shared" si="101"/>
        <v>1.7320508075688772</v>
      </c>
      <c r="F244" s="75">
        <v>50</v>
      </c>
      <c r="G244" s="75">
        <f t="shared" si="94"/>
        <v>0.12124355652982141</v>
      </c>
      <c r="H244" s="75">
        <v>1</v>
      </c>
      <c r="I244" s="75">
        <f t="shared" si="99"/>
        <v>0.12124355652982141</v>
      </c>
      <c r="J244" s="75">
        <f t="shared" si="100"/>
        <v>1.47E-2</v>
      </c>
      <c r="K244" s="75">
        <f t="shared" si="97"/>
        <v>4.3217999999999999E-6</v>
      </c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7"/>
    </row>
    <row r="245" spans="1:26" ht="12.75" customHeight="1" x14ac:dyDescent="0.3">
      <c r="A245" s="75" t="s">
        <v>262</v>
      </c>
      <c r="B245" s="253" t="s">
        <v>113</v>
      </c>
      <c r="C245" s="75" t="s">
        <v>116</v>
      </c>
      <c r="D245" s="288">
        <f>'Oil Bath'!D13</f>
        <v>0.05</v>
      </c>
      <c r="E245" s="75">
        <f t="shared" si="101"/>
        <v>1.7320508075688772</v>
      </c>
      <c r="F245" s="75">
        <v>50</v>
      </c>
      <c r="G245" s="75">
        <f t="shared" si="94"/>
        <v>2.8867513459481291E-2</v>
      </c>
      <c r="H245" s="75">
        <v>1</v>
      </c>
      <c r="I245" s="75">
        <f t="shared" si="99"/>
        <v>2.8867513459481291E-2</v>
      </c>
      <c r="J245" s="75">
        <f t="shared" si="100"/>
        <v>8.333333333333335E-4</v>
      </c>
      <c r="K245" s="75">
        <f t="shared" si="97"/>
        <v>1.3888888888888894E-8</v>
      </c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7"/>
    </row>
    <row r="246" spans="1:26" ht="12.75" customHeight="1" x14ac:dyDescent="0.3">
      <c r="A246" s="83" t="s">
        <v>118</v>
      </c>
      <c r="B246" s="84"/>
      <c r="C246" s="91"/>
      <c r="D246" s="92"/>
      <c r="E246" s="91"/>
      <c r="F246" s="91"/>
      <c r="G246" s="91"/>
      <c r="H246" s="91"/>
      <c r="I246" s="93"/>
      <c r="J246" s="75">
        <f>SUM(J234:J245)</f>
        <v>3.0187927740319198</v>
      </c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7"/>
    </row>
    <row r="247" spans="1:26" ht="12.75" customHeight="1" x14ac:dyDescent="0.3">
      <c r="A247" s="83" t="s">
        <v>119</v>
      </c>
      <c r="B247" s="84"/>
      <c r="C247" s="84"/>
      <c r="D247" s="85"/>
      <c r="E247" s="84"/>
      <c r="F247" s="84"/>
      <c r="G247" s="84"/>
      <c r="H247" s="84"/>
      <c r="I247" s="86"/>
      <c r="J247" s="75">
        <f>SQRT(J246)</f>
        <v>1.7374673447382889</v>
      </c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7"/>
    </row>
    <row r="248" spans="1:26" ht="12.75" customHeight="1" x14ac:dyDescent="0.3">
      <c r="A248" s="83" t="s">
        <v>120</v>
      </c>
      <c r="B248" s="84"/>
      <c r="C248" s="84"/>
      <c r="D248" s="85"/>
      <c r="E248" s="84"/>
      <c r="F248" s="84"/>
      <c r="G248" s="84"/>
      <c r="H248" s="84"/>
      <c r="I248" s="86"/>
      <c r="J248" s="75">
        <f>J247^4/SUM(K234:K245)</f>
        <v>9.4389898972460102</v>
      </c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7"/>
    </row>
    <row r="249" spans="1:26" ht="12.75" customHeight="1" x14ac:dyDescent="0.3">
      <c r="A249" s="83" t="s">
        <v>121</v>
      </c>
      <c r="B249" s="84"/>
      <c r="C249" s="84"/>
      <c r="D249" s="85"/>
      <c r="E249" s="84"/>
      <c r="F249" s="84"/>
      <c r="G249" s="84"/>
      <c r="H249" s="84"/>
      <c r="I249" s="86"/>
      <c r="J249" s="75">
        <f>1.95996+2.37356/J248+2.818745/J248^2+2.546662/J248^3+1.761829/J248^4+0.245458/J248^5+1.000764/J248^6</f>
        <v>2.2463159519001028</v>
      </c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7"/>
    </row>
    <row r="250" spans="1:26" ht="12.75" customHeight="1" x14ac:dyDescent="0.3">
      <c r="A250" s="83" t="s">
        <v>216</v>
      </c>
      <c r="B250" s="84"/>
      <c r="C250" s="84"/>
      <c r="D250" s="85"/>
      <c r="E250" s="84"/>
      <c r="F250" s="84"/>
      <c r="G250" s="84"/>
      <c r="H250" s="84"/>
      <c r="I250" s="86"/>
      <c r="J250" s="87">
        <f>J247*J249</f>
        <v>3.9029006123911336</v>
      </c>
      <c r="K250" s="56">
        <v>0.57999999999999996</v>
      </c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7"/>
    </row>
    <row r="251" spans="1:26" ht="12.75" customHeight="1" x14ac:dyDescent="0.3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7"/>
    </row>
    <row r="252" spans="1:26" ht="12.75" customHeight="1" x14ac:dyDescent="0.3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7"/>
    </row>
    <row r="253" spans="1:26" ht="12.75" customHeight="1" x14ac:dyDescent="0.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7"/>
    </row>
    <row r="254" spans="1:26" ht="12.75" customHeight="1" x14ac:dyDescent="0.3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7"/>
    </row>
    <row r="255" spans="1:26" ht="12.75" customHeight="1" x14ac:dyDescent="0.3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7"/>
    </row>
    <row r="256" spans="1:26" ht="12.75" customHeight="1" x14ac:dyDescent="0.3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7"/>
    </row>
    <row r="257" spans="1:26" ht="12.75" customHeight="1" x14ac:dyDescent="0.3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7"/>
    </row>
    <row r="258" spans="1:26" ht="12.75" customHeight="1" x14ac:dyDescent="0.3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7"/>
    </row>
    <row r="259" spans="1:26" ht="12.75" customHeight="1" x14ac:dyDescent="0.3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7"/>
    </row>
    <row r="260" spans="1:26" ht="12.75" customHeight="1" x14ac:dyDescent="0.3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7"/>
    </row>
    <row r="261" spans="1:26" ht="12.75" customHeight="1" x14ac:dyDescent="0.3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7"/>
    </row>
    <row r="262" spans="1:26" ht="12.75" customHeight="1" x14ac:dyDescent="0.3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7"/>
    </row>
    <row r="263" spans="1:26" ht="12.75" customHeight="1" x14ac:dyDescent="0.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7"/>
    </row>
    <row r="264" spans="1:26" ht="12.75" customHeight="1" x14ac:dyDescent="0.3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7"/>
    </row>
    <row r="265" spans="1:26" ht="12.75" customHeight="1" x14ac:dyDescent="0.3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7"/>
    </row>
    <row r="266" spans="1:26" ht="12.75" customHeight="1" x14ac:dyDescent="0.3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7"/>
    </row>
    <row r="267" spans="1:26" ht="12.75" customHeight="1" x14ac:dyDescent="0.3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7"/>
    </row>
    <row r="268" spans="1:26" ht="12.75" customHeight="1" x14ac:dyDescent="0.3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7"/>
    </row>
    <row r="269" spans="1:26" ht="12.75" customHeight="1" x14ac:dyDescent="0.3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7"/>
    </row>
    <row r="270" spans="1:26" ht="12.75" customHeight="1" x14ac:dyDescent="0.3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7"/>
    </row>
    <row r="271" spans="1:26" ht="12.75" customHeight="1" x14ac:dyDescent="0.3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7"/>
    </row>
    <row r="272" spans="1:26" ht="12.75" customHeight="1" x14ac:dyDescent="0.3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7"/>
    </row>
    <row r="273" spans="1:26" ht="12.75" customHeight="1" x14ac:dyDescent="0.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7"/>
    </row>
    <row r="274" spans="1:26" ht="12.75" customHeight="1" x14ac:dyDescent="0.3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7"/>
    </row>
    <row r="275" spans="1:26" ht="12.75" customHeight="1" x14ac:dyDescent="0.3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7"/>
    </row>
    <row r="276" spans="1:26" ht="12.75" customHeight="1" x14ac:dyDescent="0.3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7"/>
    </row>
    <row r="277" spans="1:26" ht="12.75" customHeight="1" x14ac:dyDescent="0.3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7"/>
    </row>
    <row r="278" spans="1:26" ht="12.75" customHeight="1" x14ac:dyDescent="0.3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7"/>
    </row>
    <row r="279" spans="1:26" ht="12.75" customHeight="1" x14ac:dyDescent="0.3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7"/>
    </row>
    <row r="280" spans="1:26" ht="12.75" customHeight="1" x14ac:dyDescent="0.3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7"/>
    </row>
    <row r="281" spans="1:26" ht="12.75" customHeight="1" x14ac:dyDescent="0.3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7"/>
    </row>
    <row r="282" spans="1:26" ht="12.75" customHeight="1" x14ac:dyDescent="0.3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7"/>
    </row>
    <row r="283" spans="1:26" ht="12.75" customHeight="1" x14ac:dyDescent="0.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7"/>
    </row>
    <row r="284" spans="1:26" ht="12.75" customHeight="1" x14ac:dyDescent="0.3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7"/>
    </row>
    <row r="285" spans="1:26" ht="12.75" customHeight="1" x14ac:dyDescent="0.3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7"/>
    </row>
    <row r="286" spans="1:26" ht="12.75" customHeight="1" x14ac:dyDescent="0.3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7"/>
    </row>
    <row r="287" spans="1:26" ht="12.75" customHeight="1" x14ac:dyDescent="0.3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7"/>
    </row>
    <row r="288" spans="1:26" ht="12.75" customHeight="1" x14ac:dyDescent="0.3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7"/>
    </row>
    <row r="289" spans="1:26" ht="12.75" customHeight="1" x14ac:dyDescent="0.3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7"/>
    </row>
    <row r="290" spans="1:26" ht="12.75" customHeight="1" x14ac:dyDescent="0.3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7"/>
    </row>
    <row r="291" spans="1:26" ht="12.75" customHeight="1" x14ac:dyDescent="0.3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7"/>
    </row>
    <row r="292" spans="1:26" ht="12.75" customHeight="1" x14ac:dyDescent="0.3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7"/>
    </row>
    <row r="293" spans="1:26" ht="12.75" customHeight="1" x14ac:dyDescent="0.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7"/>
    </row>
    <row r="294" spans="1:26" ht="12.75" customHeight="1" x14ac:dyDescent="0.3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7"/>
    </row>
    <row r="295" spans="1:26" ht="12.75" customHeight="1" x14ac:dyDescent="0.3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7"/>
    </row>
    <row r="296" spans="1:26" ht="12.75" customHeight="1" x14ac:dyDescent="0.3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7"/>
    </row>
    <row r="297" spans="1:26" ht="12.75" customHeight="1" x14ac:dyDescent="0.3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7"/>
    </row>
    <row r="298" spans="1:26" ht="12.75" customHeight="1" x14ac:dyDescent="0.3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7"/>
    </row>
    <row r="299" spans="1:26" ht="12.75" customHeight="1" x14ac:dyDescent="0.3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7"/>
    </row>
    <row r="300" spans="1:26" ht="12.75" customHeight="1" x14ac:dyDescent="0.3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7"/>
    </row>
    <row r="301" spans="1:26" ht="12.75" customHeight="1" x14ac:dyDescent="0.3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7"/>
    </row>
    <row r="302" spans="1:26" ht="12.75" customHeight="1" x14ac:dyDescent="0.3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7"/>
    </row>
    <row r="303" spans="1:26" ht="12.75" customHeight="1" x14ac:dyDescent="0.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7"/>
    </row>
    <row r="304" spans="1:26" ht="12.75" customHeight="1" x14ac:dyDescent="0.3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7"/>
    </row>
    <row r="305" spans="1:26" ht="12.75" customHeight="1" x14ac:dyDescent="0.3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7"/>
    </row>
    <row r="306" spans="1:26" ht="12.75" customHeight="1" x14ac:dyDescent="0.3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7"/>
    </row>
    <row r="307" spans="1:26" ht="12.75" customHeight="1" x14ac:dyDescent="0.3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7"/>
    </row>
    <row r="308" spans="1:26" ht="12.75" customHeight="1" x14ac:dyDescent="0.3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7"/>
    </row>
    <row r="309" spans="1:26" ht="12.75" customHeight="1" x14ac:dyDescent="0.3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7"/>
    </row>
    <row r="310" spans="1:26" ht="12.75" customHeight="1" x14ac:dyDescent="0.3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7"/>
    </row>
    <row r="311" spans="1:26" ht="12.75" customHeight="1" x14ac:dyDescent="0.3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7"/>
    </row>
    <row r="312" spans="1:26" ht="12.75" customHeight="1" x14ac:dyDescent="0.3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7"/>
    </row>
    <row r="313" spans="1:26" ht="12.75" customHeight="1" x14ac:dyDescent="0.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7"/>
    </row>
    <row r="314" spans="1:26" ht="12.75" customHeight="1" x14ac:dyDescent="0.3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7"/>
    </row>
    <row r="315" spans="1:26" ht="12.75" customHeight="1" x14ac:dyDescent="0.3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7"/>
    </row>
    <row r="316" spans="1:26" ht="12.75" customHeight="1" x14ac:dyDescent="0.3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7"/>
    </row>
    <row r="317" spans="1:26" ht="12.75" customHeight="1" x14ac:dyDescent="0.3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7"/>
    </row>
    <row r="318" spans="1:26" ht="12.75" customHeight="1" x14ac:dyDescent="0.3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7"/>
    </row>
    <row r="319" spans="1:26" ht="12.75" customHeight="1" x14ac:dyDescent="0.3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7"/>
    </row>
    <row r="320" spans="1:26" ht="12.75" customHeight="1" x14ac:dyDescent="0.3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7"/>
    </row>
    <row r="321" spans="1:26" ht="12.75" customHeight="1" x14ac:dyDescent="0.3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7"/>
    </row>
    <row r="322" spans="1:26" ht="12.75" customHeight="1" x14ac:dyDescent="0.3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7"/>
    </row>
    <row r="323" spans="1:26" ht="12.75" customHeight="1" x14ac:dyDescent="0.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7"/>
    </row>
    <row r="324" spans="1:26" ht="12.75" customHeight="1" x14ac:dyDescent="0.3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7"/>
    </row>
    <row r="325" spans="1:26" ht="12.75" customHeight="1" x14ac:dyDescent="0.3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7"/>
    </row>
    <row r="326" spans="1:26" ht="12.75" customHeight="1" x14ac:dyDescent="0.3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7"/>
    </row>
    <row r="327" spans="1:26" ht="12.75" customHeight="1" x14ac:dyDescent="0.3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7"/>
    </row>
    <row r="328" spans="1:26" ht="12.75" customHeight="1" x14ac:dyDescent="0.3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7"/>
    </row>
    <row r="329" spans="1:26" ht="12.75" customHeight="1" x14ac:dyDescent="0.3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7"/>
    </row>
    <row r="330" spans="1:26" ht="12.75" customHeight="1" x14ac:dyDescent="0.3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7"/>
    </row>
    <row r="331" spans="1:26" ht="12.75" customHeight="1" x14ac:dyDescent="0.3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7"/>
    </row>
    <row r="332" spans="1:26" ht="12.75" customHeight="1" x14ac:dyDescent="0.3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7"/>
    </row>
    <row r="333" spans="1:26" ht="12.75" customHeight="1" x14ac:dyDescent="0.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7"/>
    </row>
    <row r="334" spans="1:26" ht="12.75" customHeight="1" x14ac:dyDescent="0.3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7"/>
    </row>
    <row r="335" spans="1:26" ht="12.75" customHeight="1" x14ac:dyDescent="0.3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7"/>
    </row>
    <row r="336" spans="1:26" ht="12.75" customHeight="1" x14ac:dyDescent="0.3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7"/>
    </row>
    <row r="337" spans="1:26" ht="12.75" customHeight="1" x14ac:dyDescent="0.3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7"/>
    </row>
    <row r="338" spans="1:26" ht="12.75" customHeight="1" x14ac:dyDescent="0.3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7"/>
    </row>
    <row r="339" spans="1:26" ht="12.75" customHeight="1" x14ac:dyDescent="0.3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7"/>
    </row>
    <row r="340" spans="1:26" ht="12.75" customHeight="1" x14ac:dyDescent="0.3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7"/>
    </row>
    <row r="341" spans="1:26" ht="12.75" customHeight="1" x14ac:dyDescent="0.3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7"/>
    </row>
    <row r="342" spans="1:26" ht="12.75" customHeight="1" x14ac:dyDescent="0.3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7"/>
    </row>
    <row r="343" spans="1:26" ht="12.75" customHeight="1" x14ac:dyDescent="0.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7"/>
    </row>
    <row r="344" spans="1:26" ht="12.75" customHeight="1" x14ac:dyDescent="0.3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7"/>
    </row>
    <row r="345" spans="1:26" ht="12.75" customHeight="1" x14ac:dyDescent="0.3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7"/>
    </row>
    <row r="346" spans="1:26" ht="12.75" customHeight="1" x14ac:dyDescent="0.3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7"/>
    </row>
    <row r="347" spans="1:26" ht="12.75" customHeight="1" x14ac:dyDescent="0.3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7"/>
    </row>
    <row r="348" spans="1:26" ht="12.75" customHeight="1" x14ac:dyDescent="0.3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7"/>
    </row>
    <row r="349" spans="1:26" ht="12.75" customHeight="1" x14ac:dyDescent="0.3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7"/>
    </row>
    <row r="350" spans="1:26" ht="12.75" customHeight="1" x14ac:dyDescent="0.3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7"/>
    </row>
    <row r="351" spans="1:26" ht="12.75" customHeight="1" x14ac:dyDescent="0.3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7"/>
    </row>
    <row r="352" spans="1:26" ht="12.75" customHeight="1" x14ac:dyDescent="0.3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7"/>
    </row>
    <row r="353" spans="1:26" ht="12.75" customHeight="1" x14ac:dyDescent="0.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7"/>
    </row>
    <row r="354" spans="1:26" ht="12.75" customHeight="1" x14ac:dyDescent="0.3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7"/>
    </row>
    <row r="355" spans="1:26" ht="12.75" customHeight="1" x14ac:dyDescent="0.3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7"/>
    </row>
    <row r="356" spans="1:26" ht="12.75" customHeight="1" x14ac:dyDescent="0.3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7"/>
    </row>
    <row r="357" spans="1:26" ht="12.75" customHeight="1" x14ac:dyDescent="0.3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7"/>
    </row>
    <row r="358" spans="1:26" ht="12.75" customHeight="1" x14ac:dyDescent="0.3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7"/>
    </row>
    <row r="359" spans="1:26" ht="12.75" customHeight="1" x14ac:dyDescent="0.3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7"/>
    </row>
    <row r="360" spans="1:26" ht="12.75" customHeight="1" x14ac:dyDescent="0.3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7"/>
    </row>
    <row r="361" spans="1:26" ht="12.75" customHeight="1" x14ac:dyDescent="0.3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7"/>
    </row>
    <row r="362" spans="1:26" ht="12.75" customHeight="1" x14ac:dyDescent="0.3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7"/>
    </row>
    <row r="363" spans="1:26" ht="12.75" customHeight="1" x14ac:dyDescent="0.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7"/>
    </row>
    <row r="364" spans="1:26" ht="12.75" customHeight="1" x14ac:dyDescent="0.3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7"/>
    </row>
    <row r="365" spans="1:26" ht="12.75" customHeight="1" x14ac:dyDescent="0.3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7"/>
    </row>
    <row r="366" spans="1:26" ht="12.75" customHeight="1" x14ac:dyDescent="0.3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7"/>
    </row>
    <row r="367" spans="1:26" ht="12.75" customHeight="1" x14ac:dyDescent="0.3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7"/>
    </row>
    <row r="368" spans="1:26" ht="12.75" customHeight="1" x14ac:dyDescent="0.3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7"/>
    </row>
    <row r="369" spans="1:26" ht="12.75" customHeight="1" x14ac:dyDescent="0.3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7"/>
    </row>
    <row r="370" spans="1:26" ht="12.75" customHeight="1" x14ac:dyDescent="0.3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7"/>
    </row>
    <row r="371" spans="1:26" ht="12.75" customHeight="1" x14ac:dyDescent="0.3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7"/>
    </row>
    <row r="372" spans="1:26" ht="12.75" customHeight="1" x14ac:dyDescent="0.3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7"/>
    </row>
    <row r="373" spans="1:26" ht="12.75" customHeight="1" x14ac:dyDescent="0.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7"/>
    </row>
    <row r="374" spans="1:26" ht="12.75" customHeight="1" x14ac:dyDescent="0.3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7"/>
    </row>
    <row r="375" spans="1:26" ht="12.75" customHeight="1" x14ac:dyDescent="0.3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7"/>
    </row>
    <row r="376" spans="1:26" ht="12.75" customHeight="1" x14ac:dyDescent="0.3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7"/>
    </row>
    <row r="377" spans="1:26" ht="12.75" customHeight="1" x14ac:dyDescent="0.3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7"/>
    </row>
    <row r="378" spans="1:26" ht="12.75" customHeight="1" x14ac:dyDescent="0.3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7"/>
    </row>
    <row r="379" spans="1:26" ht="12.75" customHeight="1" x14ac:dyDescent="0.3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7"/>
    </row>
    <row r="380" spans="1:26" ht="12.75" customHeight="1" x14ac:dyDescent="0.3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7"/>
    </row>
    <row r="381" spans="1:26" ht="12.75" customHeight="1" x14ac:dyDescent="0.3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7"/>
    </row>
    <row r="382" spans="1:26" ht="12.75" customHeight="1" x14ac:dyDescent="0.3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7"/>
    </row>
    <row r="383" spans="1:26" ht="12.75" customHeight="1" x14ac:dyDescent="0.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7"/>
    </row>
    <row r="384" spans="1:26" ht="12.75" customHeight="1" x14ac:dyDescent="0.3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7"/>
    </row>
    <row r="385" spans="1:26" ht="12.75" customHeight="1" x14ac:dyDescent="0.3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7"/>
    </row>
    <row r="386" spans="1:26" ht="12.75" customHeight="1" x14ac:dyDescent="0.3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7"/>
    </row>
    <row r="387" spans="1:26" ht="12.75" customHeight="1" x14ac:dyDescent="0.3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7"/>
    </row>
    <row r="388" spans="1:26" ht="12.75" customHeight="1" x14ac:dyDescent="0.3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7"/>
    </row>
    <row r="389" spans="1:26" ht="12.75" customHeight="1" x14ac:dyDescent="0.3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7"/>
    </row>
    <row r="390" spans="1:26" ht="12.75" customHeight="1" x14ac:dyDescent="0.3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7"/>
    </row>
    <row r="391" spans="1:26" ht="12.75" customHeight="1" x14ac:dyDescent="0.3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7"/>
    </row>
    <row r="392" spans="1:26" ht="12.75" customHeight="1" x14ac:dyDescent="0.3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7"/>
    </row>
    <row r="393" spans="1:26" ht="12.75" customHeight="1" x14ac:dyDescent="0.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7"/>
    </row>
    <row r="394" spans="1:26" ht="12.75" customHeight="1" x14ac:dyDescent="0.3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7"/>
    </row>
    <row r="395" spans="1:26" ht="12.75" customHeight="1" x14ac:dyDescent="0.3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7"/>
    </row>
    <row r="396" spans="1:26" ht="12.75" customHeight="1" x14ac:dyDescent="0.3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7"/>
    </row>
    <row r="397" spans="1:26" ht="12.75" customHeight="1" x14ac:dyDescent="0.3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7"/>
    </row>
    <row r="398" spans="1:26" ht="12.75" customHeight="1" x14ac:dyDescent="0.3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7"/>
    </row>
    <row r="399" spans="1:26" ht="12.75" customHeight="1" x14ac:dyDescent="0.3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7"/>
    </row>
    <row r="400" spans="1:26" ht="12.75" customHeight="1" x14ac:dyDescent="0.3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7"/>
    </row>
    <row r="401" spans="1:26" ht="12.75" customHeight="1" x14ac:dyDescent="0.3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7"/>
    </row>
    <row r="402" spans="1:26" ht="12.75" customHeight="1" x14ac:dyDescent="0.3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7"/>
    </row>
    <row r="403" spans="1:26" ht="12.75" customHeight="1" x14ac:dyDescent="0.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7"/>
    </row>
    <row r="404" spans="1:26" ht="12.75" customHeight="1" x14ac:dyDescent="0.3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7"/>
    </row>
    <row r="405" spans="1:26" ht="12.75" customHeight="1" x14ac:dyDescent="0.3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7"/>
    </row>
    <row r="406" spans="1:26" ht="12.75" customHeight="1" x14ac:dyDescent="0.3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7"/>
    </row>
    <row r="407" spans="1:26" ht="12.75" customHeight="1" x14ac:dyDescent="0.3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7"/>
    </row>
    <row r="408" spans="1:26" ht="12.75" customHeight="1" x14ac:dyDescent="0.3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7"/>
    </row>
    <row r="409" spans="1:26" ht="12.75" customHeight="1" x14ac:dyDescent="0.3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7"/>
    </row>
    <row r="410" spans="1:26" ht="12.75" customHeight="1" x14ac:dyDescent="0.3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7"/>
    </row>
    <row r="411" spans="1:26" ht="12.75" customHeight="1" x14ac:dyDescent="0.3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7"/>
    </row>
    <row r="412" spans="1:26" ht="12.75" customHeight="1" x14ac:dyDescent="0.3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7"/>
    </row>
    <row r="413" spans="1:26" ht="12.75" customHeight="1" x14ac:dyDescent="0.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7"/>
    </row>
    <row r="414" spans="1:26" ht="12.75" customHeight="1" x14ac:dyDescent="0.3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7"/>
    </row>
    <row r="415" spans="1:26" ht="12.75" customHeight="1" x14ac:dyDescent="0.3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7"/>
    </row>
    <row r="416" spans="1:26" ht="12.75" customHeight="1" x14ac:dyDescent="0.3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7"/>
    </row>
    <row r="417" spans="1:26" ht="12.75" customHeight="1" x14ac:dyDescent="0.3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7"/>
    </row>
    <row r="418" spans="1:26" ht="12.75" customHeight="1" x14ac:dyDescent="0.3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7"/>
    </row>
    <row r="419" spans="1:26" ht="12.75" customHeight="1" x14ac:dyDescent="0.3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7"/>
    </row>
    <row r="420" spans="1:26" ht="12.75" customHeight="1" x14ac:dyDescent="0.3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7"/>
    </row>
    <row r="421" spans="1:26" ht="12.75" customHeight="1" x14ac:dyDescent="0.3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7"/>
    </row>
    <row r="422" spans="1:26" ht="12.75" customHeight="1" x14ac:dyDescent="0.3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7"/>
    </row>
    <row r="423" spans="1:26" ht="12.75" customHeight="1" x14ac:dyDescent="0.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7"/>
    </row>
    <row r="424" spans="1:26" ht="12.75" customHeight="1" x14ac:dyDescent="0.3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7"/>
    </row>
    <row r="425" spans="1:26" ht="12.75" customHeight="1" x14ac:dyDescent="0.3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7"/>
    </row>
    <row r="426" spans="1:26" ht="12.75" customHeight="1" x14ac:dyDescent="0.3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7"/>
    </row>
    <row r="427" spans="1:26" ht="12.75" customHeight="1" x14ac:dyDescent="0.3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7"/>
    </row>
    <row r="428" spans="1:26" ht="12.75" customHeight="1" x14ac:dyDescent="0.3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7"/>
    </row>
    <row r="429" spans="1:26" ht="12.75" customHeight="1" x14ac:dyDescent="0.3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7"/>
    </row>
    <row r="430" spans="1:26" ht="12.75" customHeight="1" x14ac:dyDescent="0.3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7"/>
    </row>
    <row r="431" spans="1:26" ht="12.75" customHeight="1" x14ac:dyDescent="0.3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7"/>
    </row>
    <row r="432" spans="1:26" ht="12.75" customHeight="1" x14ac:dyDescent="0.3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7"/>
    </row>
    <row r="433" spans="1:26" ht="12.75" customHeight="1" x14ac:dyDescent="0.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7"/>
    </row>
    <row r="434" spans="1:26" ht="12.75" customHeight="1" x14ac:dyDescent="0.3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7"/>
    </row>
    <row r="435" spans="1:26" ht="12.75" customHeight="1" x14ac:dyDescent="0.3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7"/>
    </row>
    <row r="436" spans="1:26" ht="12.75" customHeight="1" x14ac:dyDescent="0.3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7"/>
    </row>
    <row r="437" spans="1:26" ht="12.75" customHeight="1" x14ac:dyDescent="0.3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7"/>
    </row>
    <row r="438" spans="1:26" ht="12.75" customHeight="1" x14ac:dyDescent="0.3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7"/>
    </row>
    <row r="439" spans="1:26" ht="12.75" customHeight="1" x14ac:dyDescent="0.3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7"/>
    </row>
    <row r="440" spans="1:26" ht="12.75" customHeight="1" x14ac:dyDescent="0.3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7"/>
    </row>
    <row r="441" spans="1:26" ht="12.75" customHeight="1" x14ac:dyDescent="0.3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7"/>
    </row>
    <row r="442" spans="1:26" ht="12.75" customHeight="1" x14ac:dyDescent="0.3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7"/>
    </row>
    <row r="443" spans="1:26" ht="12.75" customHeight="1" x14ac:dyDescent="0.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7"/>
    </row>
    <row r="444" spans="1:26" ht="12.75" customHeight="1" x14ac:dyDescent="0.3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7"/>
    </row>
    <row r="445" spans="1:26" ht="12.75" customHeight="1" x14ac:dyDescent="0.3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7"/>
    </row>
    <row r="446" spans="1:26" ht="12.75" customHeight="1" x14ac:dyDescent="0.3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7"/>
    </row>
    <row r="447" spans="1:26" ht="12.75" customHeight="1" x14ac:dyDescent="0.3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7"/>
    </row>
    <row r="448" spans="1:26" ht="12.75" customHeight="1" x14ac:dyDescent="0.3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7"/>
    </row>
    <row r="449" spans="1:26" ht="12.75" customHeight="1" x14ac:dyDescent="0.3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7"/>
    </row>
    <row r="450" spans="1:26" ht="12.75" customHeight="1" x14ac:dyDescent="0.3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7"/>
    </row>
    <row r="451" spans="1:26" ht="12.75" customHeight="1" x14ac:dyDescent="0.3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7"/>
    </row>
    <row r="452" spans="1:26" ht="12.75" customHeight="1" x14ac:dyDescent="0.3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7"/>
    </row>
    <row r="453" spans="1:26" ht="12.75" customHeight="1" x14ac:dyDescent="0.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7"/>
    </row>
    <row r="454" spans="1:26" ht="12.75" customHeight="1" x14ac:dyDescent="0.3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7"/>
    </row>
    <row r="455" spans="1:26" ht="12.75" customHeight="1" x14ac:dyDescent="0.3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7"/>
    </row>
    <row r="456" spans="1:26" ht="12.75" customHeight="1" x14ac:dyDescent="0.3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7"/>
    </row>
    <row r="457" spans="1:26" ht="12.75" customHeight="1" x14ac:dyDescent="0.3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7"/>
    </row>
    <row r="458" spans="1:26" ht="12.75" customHeight="1" x14ac:dyDescent="0.3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7"/>
    </row>
    <row r="459" spans="1:26" ht="12.75" customHeight="1" x14ac:dyDescent="0.3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7"/>
    </row>
    <row r="460" spans="1:26" ht="12.75" customHeight="1" x14ac:dyDescent="0.3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7"/>
    </row>
    <row r="461" spans="1:26" ht="12.75" customHeight="1" x14ac:dyDescent="0.3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7"/>
    </row>
    <row r="462" spans="1:26" ht="12.75" customHeight="1" x14ac:dyDescent="0.3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7"/>
    </row>
    <row r="463" spans="1:26" ht="12.75" customHeight="1" x14ac:dyDescent="0.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7"/>
    </row>
    <row r="464" spans="1:26" ht="12.75" customHeight="1" x14ac:dyDescent="0.3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7"/>
    </row>
    <row r="465" spans="1:26" ht="12.75" customHeight="1" x14ac:dyDescent="0.3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7"/>
    </row>
    <row r="466" spans="1:26" ht="12.75" customHeight="1" x14ac:dyDescent="0.3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7"/>
    </row>
    <row r="467" spans="1:26" ht="12.75" customHeight="1" x14ac:dyDescent="0.3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7"/>
    </row>
    <row r="468" spans="1:26" ht="12.75" customHeight="1" x14ac:dyDescent="0.3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7"/>
    </row>
    <row r="469" spans="1:26" ht="12.75" customHeight="1" x14ac:dyDescent="0.3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7"/>
    </row>
    <row r="470" spans="1:26" ht="12.75" customHeight="1" x14ac:dyDescent="0.3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7"/>
    </row>
    <row r="471" spans="1:26" ht="12.75" customHeight="1" x14ac:dyDescent="0.3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7"/>
    </row>
    <row r="472" spans="1:26" ht="12.75" customHeight="1" x14ac:dyDescent="0.3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7"/>
    </row>
    <row r="473" spans="1:26" ht="12.75" customHeight="1" x14ac:dyDescent="0.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7"/>
    </row>
    <row r="474" spans="1:26" ht="12.75" customHeight="1" x14ac:dyDescent="0.3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7"/>
    </row>
    <row r="475" spans="1:26" ht="12.75" customHeight="1" x14ac:dyDescent="0.3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7"/>
    </row>
    <row r="476" spans="1:26" ht="12.75" customHeight="1" x14ac:dyDescent="0.3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7"/>
    </row>
    <row r="477" spans="1:26" ht="12.75" customHeight="1" x14ac:dyDescent="0.3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7"/>
    </row>
    <row r="478" spans="1:26" ht="12.75" customHeight="1" x14ac:dyDescent="0.3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7"/>
    </row>
    <row r="479" spans="1:26" ht="12.75" customHeight="1" x14ac:dyDescent="0.3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7"/>
    </row>
    <row r="480" spans="1:26" ht="12.75" customHeight="1" x14ac:dyDescent="0.3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7"/>
    </row>
    <row r="481" spans="1:26" ht="12.75" customHeight="1" x14ac:dyDescent="0.3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7"/>
    </row>
    <row r="482" spans="1:26" ht="12.75" customHeight="1" x14ac:dyDescent="0.3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7"/>
    </row>
    <row r="483" spans="1:26" ht="12.75" customHeight="1" x14ac:dyDescent="0.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7"/>
    </row>
    <row r="484" spans="1:26" ht="12.75" customHeight="1" x14ac:dyDescent="0.3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7"/>
    </row>
    <row r="485" spans="1:26" ht="12.75" customHeight="1" x14ac:dyDescent="0.3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7"/>
    </row>
    <row r="486" spans="1:26" ht="12.75" customHeight="1" x14ac:dyDescent="0.3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7"/>
    </row>
    <row r="487" spans="1:26" ht="12.75" customHeight="1" x14ac:dyDescent="0.3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7"/>
    </row>
    <row r="488" spans="1:26" ht="12.75" customHeight="1" x14ac:dyDescent="0.3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7"/>
    </row>
    <row r="489" spans="1:26" ht="12.75" customHeight="1" x14ac:dyDescent="0.3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7"/>
    </row>
    <row r="490" spans="1:26" ht="12.75" customHeight="1" x14ac:dyDescent="0.3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7"/>
    </row>
    <row r="491" spans="1:26" ht="12.75" customHeight="1" x14ac:dyDescent="0.3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7"/>
    </row>
    <row r="492" spans="1:26" ht="12.75" customHeight="1" x14ac:dyDescent="0.3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7"/>
    </row>
    <row r="493" spans="1:26" ht="12.75" customHeight="1" x14ac:dyDescent="0.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7"/>
    </row>
    <row r="494" spans="1:26" ht="12.75" customHeight="1" x14ac:dyDescent="0.3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7"/>
    </row>
    <row r="495" spans="1:26" ht="12.75" customHeight="1" x14ac:dyDescent="0.3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7"/>
    </row>
    <row r="496" spans="1:26" ht="12.75" customHeight="1" x14ac:dyDescent="0.3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7"/>
    </row>
    <row r="497" spans="1:26" ht="12.75" customHeight="1" x14ac:dyDescent="0.3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7"/>
    </row>
    <row r="498" spans="1:26" ht="12.75" customHeight="1" x14ac:dyDescent="0.3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7"/>
    </row>
    <row r="499" spans="1:26" ht="12.75" customHeight="1" x14ac:dyDescent="0.3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7"/>
    </row>
    <row r="500" spans="1:26" ht="12.75" customHeight="1" x14ac:dyDescent="0.3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7"/>
    </row>
    <row r="501" spans="1:26" ht="12.75" customHeight="1" x14ac:dyDescent="0.3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7"/>
    </row>
    <row r="502" spans="1:26" ht="12.75" customHeight="1" x14ac:dyDescent="0.3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7"/>
    </row>
    <row r="503" spans="1:26" ht="12.75" customHeight="1" x14ac:dyDescent="0.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7"/>
    </row>
    <row r="504" spans="1:26" ht="12.75" customHeight="1" x14ac:dyDescent="0.3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7"/>
    </row>
    <row r="505" spans="1:26" ht="12.75" customHeight="1" x14ac:dyDescent="0.3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7"/>
    </row>
    <row r="506" spans="1:26" ht="12.75" customHeight="1" x14ac:dyDescent="0.3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7"/>
    </row>
    <row r="507" spans="1:26" ht="12.75" customHeight="1" x14ac:dyDescent="0.3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7"/>
    </row>
    <row r="508" spans="1:26" ht="12.75" customHeight="1" x14ac:dyDescent="0.3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7"/>
    </row>
    <row r="509" spans="1:26" ht="12.75" customHeight="1" x14ac:dyDescent="0.3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7"/>
    </row>
    <row r="510" spans="1:26" ht="12.75" customHeight="1" x14ac:dyDescent="0.3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7"/>
    </row>
    <row r="511" spans="1:26" ht="12.75" customHeight="1" x14ac:dyDescent="0.3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7"/>
    </row>
    <row r="512" spans="1:26" ht="12.75" customHeight="1" x14ac:dyDescent="0.3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7"/>
    </row>
    <row r="513" spans="1:26" ht="12.75" customHeight="1" x14ac:dyDescent="0.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7"/>
    </row>
    <row r="514" spans="1:26" ht="12.75" customHeight="1" x14ac:dyDescent="0.3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7"/>
    </row>
    <row r="515" spans="1:26" ht="12.75" customHeight="1" x14ac:dyDescent="0.3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7"/>
    </row>
    <row r="516" spans="1:26" ht="12.75" customHeight="1" x14ac:dyDescent="0.3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7"/>
    </row>
    <row r="517" spans="1:26" ht="12.75" customHeight="1" x14ac:dyDescent="0.3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7"/>
    </row>
    <row r="518" spans="1:26" ht="12.75" customHeight="1" x14ac:dyDescent="0.3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7"/>
    </row>
    <row r="519" spans="1:26" ht="12.75" customHeight="1" x14ac:dyDescent="0.3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7"/>
    </row>
    <row r="520" spans="1:26" ht="12.75" customHeight="1" x14ac:dyDescent="0.3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7"/>
    </row>
    <row r="521" spans="1:26" ht="12.75" customHeight="1" x14ac:dyDescent="0.3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7"/>
    </row>
    <row r="522" spans="1:26" ht="12.75" customHeight="1" x14ac:dyDescent="0.3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7"/>
    </row>
    <row r="523" spans="1:26" ht="12.75" customHeight="1" x14ac:dyDescent="0.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7"/>
    </row>
    <row r="524" spans="1:26" ht="12.75" customHeight="1" x14ac:dyDescent="0.3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7"/>
    </row>
    <row r="525" spans="1:26" ht="12.75" customHeight="1" x14ac:dyDescent="0.3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7"/>
    </row>
    <row r="526" spans="1:26" ht="12.75" customHeight="1" x14ac:dyDescent="0.3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7"/>
    </row>
    <row r="527" spans="1:26" ht="12.75" customHeight="1" x14ac:dyDescent="0.3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7"/>
    </row>
    <row r="528" spans="1:26" ht="12.75" customHeight="1" x14ac:dyDescent="0.3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7"/>
    </row>
    <row r="529" spans="1:26" ht="12.75" customHeight="1" x14ac:dyDescent="0.3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7"/>
    </row>
    <row r="530" spans="1:26" ht="12.75" customHeight="1" x14ac:dyDescent="0.3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7"/>
    </row>
    <row r="531" spans="1:26" ht="12.75" customHeight="1" x14ac:dyDescent="0.3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7"/>
    </row>
    <row r="532" spans="1:26" ht="12.75" customHeight="1" x14ac:dyDescent="0.3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7"/>
    </row>
    <row r="533" spans="1:26" ht="12.75" customHeight="1" x14ac:dyDescent="0.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7"/>
    </row>
    <row r="534" spans="1:26" ht="12.75" customHeight="1" x14ac:dyDescent="0.3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7"/>
    </row>
    <row r="535" spans="1:26" ht="12.75" customHeight="1" x14ac:dyDescent="0.3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7"/>
    </row>
    <row r="536" spans="1:26" ht="12.75" customHeight="1" x14ac:dyDescent="0.3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7"/>
    </row>
    <row r="537" spans="1:26" ht="12.75" customHeight="1" x14ac:dyDescent="0.3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7"/>
    </row>
    <row r="538" spans="1:26" ht="12.75" customHeight="1" x14ac:dyDescent="0.3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7"/>
    </row>
    <row r="539" spans="1:26" ht="12.75" customHeight="1" x14ac:dyDescent="0.3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7"/>
    </row>
    <row r="540" spans="1:26" ht="12.75" customHeight="1" x14ac:dyDescent="0.3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7"/>
    </row>
    <row r="541" spans="1:26" ht="12.75" customHeight="1" x14ac:dyDescent="0.3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7"/>
    </row>
    <row r="542" spans="1:26" ht="12.75" customHeight="1" x14ac:dyDescent="0.3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7"/>
    </row>
    <row r="543" spans="1:26" ht="12.75" customHeight="1" x14ac:dyDescent="0.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7"/>
    </row>
    <row r="544" spans="1:26" ht="12.75" customHeight="1" x14ac:dyDescent="0.3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7"/>
    </row>
    <row r="545" spans="1:26" ht="12.75" customHeight="1" x14ac:dyDescent="0.3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7"/>
    </row>
    <row r="546" spans="1:26" ht="12.75" customHeight="1" x14ac:dyDescent="0.3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7"/>
    </row>
    <row r="547" spans="1:26" ht="12.75" customHeight="1" x14ac:dyDescent="0.3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7"/>
    </row>
    <row r="548" spans="1:26" ht="12.75" customHeight="1" x14ac:dyDescent="0.3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7"/>
    </row>
    <row r="549" spans="1:26" ht="12.75" customHeight="1" x14ac:dyDescent="0.3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7"/>
    </row>
    <row r="550" spans="1:26" ht="12.75" customHeight="1" x14ac:dyDescent="0.3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7"/>
    </row>
    <row r="551" spans="1:26" ht="12.75" customHeight="1" x14ac:dyDescent="0.3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7"/>
    </row>
    <row r="552" spans="1:26" ht="12.75" customHeight="1" x14ac:dyDescent="0.3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7"/>
    </row>
    <row r="553" spans="1:26" ht="12.75" customHeight="1" x14ac:dyDescent="0.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7"/>
    </row>
    <row r="554" spans="1:26" ht="12.75" customHeight="1" x14ac:dyDescent="0.3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7"/>
    </row>
    <row r="555" spans="1:26" ht="12.75" customHeight="1" x14ac:dyDescent="0.3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7"/>
    </row>
    <row r="556" spans="1:26" ht="12.75" customHeight="1" x14ac:dyDescent="0.3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7"/>
    </row>
    <row r="557" spans="1:26" ht="12.75" customHeight="1" x14ac:dyDescent="0.3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7"/>
    </row>
    <row r="558" spans="1:26" ht="12.75" customHeight="1" x14ac:dyDescent="0.3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7"/>
    </row>
    <row r="559" spans="1:26" ht="12.75" customHeight="1" x14ac:dyDescent="0.3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7"/>
    </row>
    <row r="560" spans="1:26" ht="12.75" customHeight="1" x14ac:dyDescent="0.3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7"/>
    </row>
    <row r="561" spans="1:26" ht="12.75" customHeight="1" x14ac:dyDescent="0.3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7"/>
    </row>
    <row r="562" spans="1:26" ht="12.75" customHeight="1" x14ac:dyDescent="0.3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7"/>
    </row>
    <row r="563" spans="1:26" ht="12.75" customHeight="1" x14ac:dyDescent="0.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7"/>
    </row>
    <row r="564" spans="1:26" ht="12.75" customHeight="1" x14ac:dyDescent="0.3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7"/>
    </row>
    <row r="565" spans="1:26" ht="12.75" customHeight="1" x14ac:dyDescent="0.3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7"/>
    </row>
    <row r="566" spans="1:26" ht="12.75" customHeight="1" x14ac:dyDescent="0.3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7"/>
    </row>
    <row r="567" spans="1:26" ht="12.75" customHeight="1" x14ac:dyDescent="0.3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7"/>
    </row>
    <row r="568" spans="1:26" ht="12.75" customHeight="1" x14ac:dyDescent="0.3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7"/>
    </row>
    <row r="569" spans="1:26" ht="12.75" customHeight="1" x14ac:dyDescent="0.3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7"/>
    </row>
    <row r="570" spans="1:26" ht="12.75" customHeight="1" x14ac:dyDescent="0.3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7"/>
    </row>
    <row r="571" spans="1:26" ht="12.75" customHeight="1" x14ac:dyDescent="0.3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7"/>
    </row>
    <row r="572" spans="1:26" ht="12.75" customHeight="1" x14ac:dyDescent="0.3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7"/>
    </row>
    <row r="573" spans="1:26" ht="12.75" customHeight="1" x14ac:dyDescent="0.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7"/>
    </row>
    <row r="574" spans="1:26" ht="12.75" customHeight="1" x14ac:dyDescent="0.3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7"/>
    </row>
    <row r="575" spans="1:26" ht="12.75" customHeight="1" x14ac:dyDescent="0.3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7"/>
    </row>
    <row r="576" spans="1:26" ht="12.75" customHeight="1" x14ac:dyDescent="0.3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7"/>
    </row>
    <row r="577" spans="1:26" ht="12.75" customHeight="1" x14ac:dyDescent="0.3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7"/>
    </row>
    <row r="578" spans="1:26" ht="12.75" customHeight="1" x14ac:dyDescent="0.3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7"/>
    </row>
    <row r="579" spans="1:26" ht="12.75" customHeight="1" x14ac:dyDescent="0.3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7"/>
    </row>
    <row r="580" spans="1:26" ht="12.75" customHeight="1" x14ac:dyDescent="0.3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7"/>
    </row>
    <row r="581" spans="1:26" ht="12.75" customHeight="1" x14ac:dyDescent="0.3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7"/>
    </row>
    <row r="582" spans="1:26" ht="12.75" customHeight="1" x14ac:dyDescent="0.3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7"/>
    </row>
    <row r="583" spans="1:26" ht="12.75" customHeight="1" x14ac:dyDescent="0.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7"/>
    </row>
    <row r="584" spans="1:26" ht="12.75" customHeight="1" x14ac:dyDescent="0.3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7"/>
    </row>
    <row r="585" spans="1:26" ht="12.75" customHeight="1" x14ac:dyDescent="0.3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7"/>
    </row>
    <row r="586" spans="1:26" ht="12.75" customHeight="1" x14ac:dyDescent="0.3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7"/>
    </row>
    <row r="587" spans="1:26" ht="12.75" customHeight="1" x14ac:dyDescent="0.3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7"/>
    </row>
    <row r="588" spans="1:26" ht="12.75" customHeight="1" x14ac:dyDescent="0.3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7"/>
    </row>
    <row r="589" spans="1:26" ht="12.75" customHeight="1" x14ac:dyDescent="0.3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7"/>
    </row>
    <row r="590" spans="1:26" ht="12.75" customHeight="1" x14ac:dyDescent="0.3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7"/>
    </row>
    <row r="591" spans="1:26" ht="12.75" customHeight="1" x14ac:dyDescent="0.3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7"/>
    </row>
    <row r="592" spans="1:26" ht="12.75" customHeight="1" x14ac:dyDescent="0.3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7"/>
    </row>
    <row r="593" spans="1:26" ht="12.75" customHeight="1" x14ac:dyDescent="0.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7"/>
    </row>
    <row r="594" spans="1:26" ht="12.75" customHeight="1" x14ac:dyDescent="0.3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7"/>
    </row>
    <row r="595" spans="1:26" ht="12.75" customHeight="1" x14ac:dyDescent="0.3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7"/>
    </row>
    <row r="596" spans="1:26" ht="12.75" customHeight="1" x14ac:dyDescent="0.3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7"/>
    </row>
    <row r="597" spans="1:26" ht="12.75" customHeight="1" x14ac:dyDescent="0.3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7"/>
    </row>
    <row r="598" spans="1:26" ht="12.75" customHeight="1" x14ac:dyDescent="0.3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7"/>
    </row>
    <row r="599" spans="1:26" ht="12.75" customHeight="1" x14ac:dyDescent="0.3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7"/>
    </row>
    <row r="600" spans="1:26" ht="12.75" customHeight="1" x14ac:dyDescent="0.3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7"/>
    </row>
    <row r="601" spans="1:26" ht="12.75" customHeight="1" x14ac:dyDescent="0.3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7"/>
    </row>
    <row r="602" spans="1:26" ht="12.75" customHeight="1" x14ac:dyDescent="0.3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7"/>
    </row>
    <row r="603" spans="1:26" ht="12.75" customHeight="1" x14ac:dyDescent="0.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7"/>
    </row>
    <row r="604" spans="1:26" ht="12.75" customHeight="1" x14ac:dyDescent="0.3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7"/>
    </row>
    <row r="605" spans="1:26" ht="12.75" customHeight="1" x14ac:dyDescent="0.3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7"/>
    </row>
    <row r="606" spans="1:26" ht="12.75" customHeight="1" x14ac:dyDescent="0.3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7"/>
    </row>
    <row r="607" spans="1:26" ht="12.75" customHeight="1" x14ac:dyDescent="0.3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7"/>
    </row>
    <row r="608" spans="1:26" ht="12.75" customHeight="1" x14ac:dyDescent="0.3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7"/>
    </row>
    <row r="609" spans="1:26" ht="12.75" customHeight="1" x14ac:dyDescent="0.3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7"/>
    </row>
    <row r="610" spans="1:26" ht="12.75" customHeight="1" x14ac:dyDescent="0.3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7"/>
    </row>
    <row r="611" spans="1:26" ht="12.75" customHeight="1" x14ac:dyDescent="0.3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7"/>
    </row>
    <row r="612" spans="1:26" ht="12.75" customHeight="1" x14ac:dyDescent="0.3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7"/>
    </row>
    <row r="613" spans="1:26" ht="12.75" customHeight="1" x14ac:dyDescent="0.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7"/>
    </row>
    <row r="614" spans="1:26" ht="12.75" customHeight="1" x14ac:dyDescent="0.3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7"/>
    </row>
    <row r="615" spans="1:26" ht="12.75" customHeight="1" x14ac:dyDescent="0.3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7"/>
    </row>
    <row r="616" spans="1:26" ht="12.75" customHeight="1" x14ac:dyDescent="0.3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7"/>
    </row>
    <row r="617" spans="1:26" ht="12.75" customHeight="1" x14ac:dyDescent="0.3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7"/>
    </row>
    <row r="618" spans="1:26" ht="12.75" customHeight="1" x14ac:dyDescent="0.3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7"/>
    </row>
    <row r="619" spans="1:26" ht="12.75" customHeight="1" x14ac:dyDescent="0.3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7"/>
    </row>
    <row r="620" spans="1:26" ht="12.75" customHeight="1" x14ac:dyDescent="0.3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7"/>
    </row>
    <row r="621" spans="1:26" ht="12.75" customHeight="1" x14ac:dyDescent="0.3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7"/>
    </row>
    <row r="622" spans="1:26" ht="12.75" customHeight="1" x14ac:dyDescent="0.3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7"/>
    </row>
    <row r="623" spans="1:26" ht="12.75" customHeight="1" x14ac:dyDescent="0.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7"/>
    </row>
    <row r="624" spans="1:26" ht="12.75" customHeight="1" x14ac:dyDescent="0.3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7"/>
    </row>
    <row r="625" spans="1:26" ht="12.75" customHeight="1" x14ac:dyDescent="0.3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7"/>
    </row>
    <row r="626" spans="1:26" ht="12.75" customHeight="1" x14ac:dyDescent="0.3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7"/>
    </row>
    <row r="627" spans="1:26" ht="12.75" customHeight="1" x14ac:dyDescent="0.3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7"/>
    </row>
    <row r="628" spans="1:26" ht="12.75" customHeight="1" x14ac:dyDescent="0.3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7"/>
    </row>
    <row r="629" spans="1:26" ht="12.75" customHeight="1" x14ac:dyDescent="0.3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7"/>
    </row>
    <row r="630" spans="1:26" ht="12.75" customHeight="1" x14ac:dyDescent="0.3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7"/>
    </row>
    <row r="631" spans="1:26" ht="12.75" customHeight="1" x14ac:dyDescent="0.3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7"/>
    </row>
    <row r="632" spans="1:26" ht="12.75" customHeight="1" x14ac:dyDescent="0.3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7"/>
    </row>
    <row r="633" spans="1:26" ht="12.75" customHeight="1" x14ac:dyDescent="0.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7"/>
    </row>
    <row r="634" spans="1:26" ht="12.75" customHeight="1" x14ac:dyDescent="0.3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7"/>
    </row>
    <row r="635" spans="1:26" ht="12.75" customHeight="1" x14ac:dyDescent="0.3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7"/>
    </row>
    <row r="636" spans="1:26" ht="12.75" customHeight="1" x14ac:dyDescent="0.3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7"/>
    </row>
    <row r="637" spans="1:26" ht="12.75" customHeight="1" x14ac:dyDescent="0.3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7"/>
    </row>
    <row r="638" spans="1:26" ht="12.75" customHeight="1" x14ac:dyDescent="0.3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7"/>
    </row>
    <row r="639" spans="1:26" ht="12.75" customHeight="1" x14ac:dyDescent="0.3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7"/>
    </row>
    <row r="640" spans="1:26" ht="12.75" customHeight="1" x14ac:dyDescent="0.3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7"/>
    </row>
    <row r="641" spans="1:26" ht="12.75" customHeight="1" x14ac:dyDescent="0.3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7"/>
    </row>
    <row r="642" spans="1:26" ht="12.75" customHeight="1" x14ac:dyDescent="0.3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7"/>
    </row>
    <row r="643" spans="1:26" ht="12.75" customHeight="1" x14ac:dyDescent="0.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7"/>
    </row>
    <row r="644" spans="1:26" ht="12.75" customHeight="1" x14ac:dyDescent="0.3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7"/>
    </row>
    <row r="645" spans="1:26" ht="12.75" customHeight="1" x14ac:dyDescent="0.3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7"/>
    </row>
    <row r="646" spans="1:26" ht="12.75" customHeight="1" x14ac:dyDescent="0.3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7"/>
    </row>
    <row r="647" spans="1:26" ht="12.75" customHeight="1" x14ac:dyDescent="0.3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7"/>
    </row>
    <row r="648" spans="1:26" ht="12.75" customHeight="1" x14ac:dyDescent="0.3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7"/>
    </row>
    <row r="649" spans="1:26" ht="12.75" customHeight="1" x14ac:dyDescent="0.3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7"/>
    </row>
    <row r="650" spans="1:26" ht="12.75" customHeight="1" x14ac:dyDescent="0.3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7"/>
    </row>
    <row r="651" spans="1:26" ht="12.75" customHeight="1" x14ac:dyDescent="0.3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7"/>
    </row>
    <row r="652" spans="1:26" ht="12.75" customHeight="1" x14ac:dyDescent="0.3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7"/>
    </row>
    <row r="653" spans="1:26" ht="12.75" customHeight="1" x14ac:dyDescent="0.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7"/>
    </row>
    <row r="654" spans="1:26" ht="12.75" customHeight="1" x14ac:dyDescent="0.3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7"/>
    </row>
    <row r="655" spans="1:26" ht="12.75" customHeight="1" x14ac:dyDescent="0.3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7"/>
    </row>
    <row r="656" spans="1:26" ht="12.75" customHeight="1" x14ac:dyDescent="0.3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7"/>
    </row>
    <row r="657" spans="1:26" ht="12.75" customHeight="1" x14ac:dyDescent="0.3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7"/>
    </row>
    <row r="658" spans="1:26" ht="12.75" customHeight="1" x14ac:dyDescent="0.3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7"/>
    </row>
    <row r="659" spans="1:26" ht="12.75" customHeight="1" x14ac:dyDescent="0.3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7"/>
    </row>
    <row r="660" spans="1:26" ht="12.75" customHeight="1" x14ac:dyDescent="0.3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7"/>
    </row>
    <row r="661" spans="1:26" ht="12.75" customHeight="1" x14ac:dyDescent="0.3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7"/>
    </row>
    <row r="662" spans="1:26" ht="12.75" customHeight="1" x14ac:dyDescent="0.3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7"/>
    </row>
    <row r="663" spans="1:26" ht="12.75" customHeight="1" x14ac:dyDescent="0.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7"/>
    </row>
    <row r="664" spans="1:26" ht="12.75" customHeight="1" x14ac:dyDescent="0.3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7"/>
    </row>
    <row r="665" spans="1:26" ht="12.75" customHeight="1" x14ac:dyDescent="0.3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7"/>
    </row>
    <row r="666" spans="1:26" ht="12.75" customHeight="1" x14ac:dyDescent="0.3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7"/>
    </row>
    <row r="667" spans="1:26" ht="12.75" customHeight="1" x14ac:dyDescent="0.3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7"/>
    </row>
    <row r="668" spans="1:26" ht="12.75" customHeight="1" x14ac:dyDescent="0.3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7"/>
    </row>
    <row r="669" spans="1:26" ht="12.75" customHeight="1" x14ac:dyDescent="0.3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7"/>
    </row>
    <row r="670" spans="1:26" ht="12.75" customHeight="1" x14ac:dyDescent="0.3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7"/>
    </row>
    <row r="671" spans="1:26" ht="12.75" customHeight="1" x14ac:dyDescent="0.3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7"/>
    </row>
    <row r="672" spans="1:26" ht="12.75" customHeight="1" x14ac:dyDescent="0.3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7"/>
    </row>
    <row r="673" spans="1:26" ht="12.75" customHeight="1" x14ac:dyDescent="0.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7"/>
    </row>
    <row r="674" spans="1:26" ht="12.75" customHeight="1" x14ac:dyDescent="0.3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7"/>
    </row>
    <row r="675" spans="1:26" ht="12.75" customHeight="1" x14ac:dyDescent="0.3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7"/>
    </row>
    <row r="676" spans="1:26" ht="12.75" customHeight="1" x14ac:dyDescent="0.3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7"/>
    </row>
    <row r="677" spans="1:26" ht="12.75" customHeight="1" x14ac:dyDescent="0.3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7"/>
    </row>
    <row r="678" spans="1:26" ht="12.75" customHeight="1" x14ac:dyDescent="0.3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7"/>
    </row>
    <row r="679" spans="1:26" ht="12.75" customHeight="1" x14ac:dyDescent="0.3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7"/>
    </row>
    <row r="680" spans="1:26" ht="12.75" customHeight="1" x14ac:dyDescent="0.3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7"/>
    </row>
    <row r="681" spans="1:26" ht="12.75" customHeight="1" x14ac:dyDescent="0.3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7"/>
    </row>
    <row r="682" spans="1:26" ht="12.75" customHeight="1" x14ac:dyDescent="0.3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7"/>
    </row>
    <row r="683" spans="1:26" ht="12.75" customHeight="1" x14ac:dyDescent="0.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7"/>
    </row>
    <row r="684" spans="1:26" ht="12.75" customHeight="1" x14ac:dyDescent="0.3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7"/>
    </row>
    <row r="685" spans="1:26" ht="12.75" customHeight="1" x14ac:dyDescent="0.3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7"/>
    </row>
    <row r="686" spans="1:26" ht="12.75" customHeight="1" x14ac:dyDescent="0.3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7"/>
    </row>
    <row r="687" spans="1:26" ht="12.75" customHeight="1" x14ac:dyDescent="0.3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7"/>
    </row>
    <row r="688" spans="1:26" ht="12.75" customHeight="1" x14ac:dyDescent="0.3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7"/>
    </row>
    <row r="689" spans="1:26" ht="12.75" customHeight="1" x14ac:dyDescent="0.3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7"/>
    </row>
    <row r="690" spans="1:26" ht="12.75" customHeight="1" x14ac:dyDescent="0.3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7"/>
    </row>
    <row r="691" spans="1:26" ht="12.75" customHeight="1" x14ac:dyDescent="0.3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7"/>
    </row>
    <row r="692" spans="1:26" ht="12.75" customHeight="1" x14ac:dyDescent="0.3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7"/>
    </row>
    <row r="693" spans="1:26" ht="12.75" customHeight="1" x14ac:dyDescent="0.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7"/>
    </row>
    <row r="694" spans="1:26" ht="12.75" customHeight="1" x14ac:dyDescent="0.3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7"/>
    </row>
    <row r="695" spans="1:26" ht="12.75" customHeight="1" x14ac:dyDescent="0.3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7"/>
    </row>
    <row r="696" spans="1:26" ht="12.75" customHeight="1" x14ac:dyDescent="0.3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7"/>
    </row>
    <row r="697" spans="1:26" ht="12.75" customHeight="1" x14ac:dyDescent="0.3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7"/>
    </row>
    <row r="698" spans="1:26" ht="12.75" customHeight="1" x14ac:dyDescent="0.3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7"/>
    </row>
    <row r="699" spans="1:26" ht="12.75" customHeight="1" x14ac:dyDescent="0.3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7"/>
    </row>
    <row r="700" spans="1:26" ht="12.75" customHeight="1" x14ac:dyDescent="0.3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7"/>
    </row>
    <row r="701" spans="1:26" ht="12.75" customHeight="1" x14ac:dyDescent="0.3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7"/>
    </row>
    <row r="702" spans="1:26" ht="12.75" customHeight="1" x14ac:dyDescent="0.3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7"/>
    </row>
    <row r="703" spans="1:26" ht="12.75" customHeight="1" x14ac:dyDescent="0.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7"/>
    </row>
    <row r="704" spans="1:26" ht="12.75" customHeight="1" x14ac:dyDescent="0.3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7"/>
    </row>
    <row r="705" spans="1:26" ht="12.75" customHeight="1" x14ac:dyDescent="0.3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7"/>
    </row>
    <row r="706" spans="1:26" ht="12.75" customHeight="1" x14ac:dyDescent="0.3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7"/>
    </row>
    <row r="707" spans="1:26" ht="12.75" customHeight="1" x14ac:dyDescent="0.3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7"/>
    </row>
    <row r="708" spans="1:26" ht="12.75" customHeight="1" x14ac:dyDescent="0.3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7"/>
    </row>
    <row r="709" spans="1:26" ht="12.75" customHeight="1" x14ac:dyDescent="0.3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7"/>
    </row>
    <row r="710" spans="1:26" ht="12.75" customHeight="1" x14ac:dyDescent="0.3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7"/>
    </row>
    <row r="711" spans="1:26" ht="12.75" customHeight="1" x14ac:dyDescent="0.3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7"/>
    </row>
    <row r="712" spans="1:26" ht="12.75" customHeight="1" x14ac:dyDescent="0.3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7"/>
    </row>
    <row r="713" spans="1:26" ht="12.75" customHeight="1" x14ac:dyDescent="0.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7"/>
    </row>
    <row r="714" spans="1:26" ht="12.75" customHeight="1" x14ac:dyDescent="0.3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7"/>
    </row>
    <row r="715" spans="1:26" ht="12.75" customHeight="1" x14ac:dyDescent="0.3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7"/>
    </row>
    <row r="716" spans="1:26" ht="12.75" customHeight="1" x14ac:dyDescent="0.3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7"/>
    </row>
    <row r="717" spans="1:26" ht="12.75" customHeight="1" x14ac:dyDescent="0.3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7"/>
    </row>
    <row r="718" spans="1:26" ht="12.75" customHeight="1" x14ac:dyDescent="0.3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7"/>
    </row>
    <row r="719" spans="1:26" ht="12.75" customHeight="1" x14ac:dyDescent="0.3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7"/>
    </row>
    <row r="720" spans="1:26" ht="12.75" customHeight="1" x14ac:dyDescent="0.3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7"/>
    </row>
    <row r="721" spans="1:26" ht="12.75" customHeight="1" x14ac:dyDescent="0.3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7"/>
    </row>
    <row r="722" spans="1:26" ht="12.75" customHeight="1" x14ac:dyDescent="0.3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7"/>
    </row>
    <row r="723" spans="1:26" ht="12.75" customHeight="1" x14ac:dyDescent="0.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7"/>
    </row>
    <row r="724" spans="1:26" ht="12.75" customHeight="1" x14ac:dyDescent="0.3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7"/>
    </row>
    <row r="725" spans="1:26" ht="12.75" customHeight="1" x14ac:dyDescent="0.3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7"/>
    </row>
    <row r="726" spans="1:26" ht="12.75" customHeight="1" x14ac:dyDescent="0.3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7"/>
    </row>
    <row r="727" spans="1:26" ht="12.75" customHeight="1" x14ac:dyDescent="0.3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7"/>
    </row>
    <row r="728" spans="1:26" ht="12.75" customHeight="1" x14ac:dyDescent="0.3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7"/>
    </row>
    <row r="729" spans="1:26" ht="12.75" customHeight="1" x14ac:dyDescent="0.3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7"/>
    </row>
    <row r="730" spans="1:26" ht="12.75" customHeight="1" x14ac:dyDescent="0.3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7"/>
    </row>
    <row r="731" spans="1:26" ht="14.4" x14ac:dyDescent="0.3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4.4" x14ac:dyDescent="0.3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4.4" x14ac:dyDescent="0.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4.4" x14ac:dyDescent="0.3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4.4" x14ac:dyDescent="0.3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4.4" x14ac:dyDescent="0.3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4.4" x14ac:dyDescent="0.3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4.4" x14ac:dyDescent="0.3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4.4" x14ac:dyDescent="0.3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4.4" x14ac:dyDescent="0.3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4.4" x14ac:dyDescent="0.3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4.4" x14ac:dyDescent="0.3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4.4" x14ac:dyDescent="0.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4.4" x14ac:dyDescent="0.3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4.4" x14ac:dyDescent="0.3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4.4" x14ac:dyDescent="0.3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4.4" x14ac:dyDescent="0.3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4.4" x14ac:dyDescent="0.3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4.4" x14ac:dyDescent="0.3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4.4" x14ac:dyDescent="0.3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4.4" x14ac:dyDescent="0.3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4.4" x14ac:dyDescent="0.3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4.4" x14ac:dyDescent="0.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4.4" x14ac:dyDescent="0.3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4.4" x14ac:dyDescent="0.3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4.4" x14ac:dyDescent="0.3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4.4" x14ac:dyDescent="0.3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4.4" x14ac:dyDescent="0.3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4.4" x14ac:dyDescent="0.3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4.4" x14ac:dyDescent="0.3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4.4" x14ac:dyDescent="0.3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4.4" x14ac:dyDescent="0.3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4.4" x14ac:dyDescent="0.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4.4" x14ac:dyDescent="0.3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4.4" x14ac:dyDescent="0.3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4.4" x14ac:dyDescent="0.3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4.4" x14ac:dyDescent="0.3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4.4" x14ac:dyDescent="0.3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4.4" x14ac:dyDescent="0.3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4.4" x14ac:dyDescent="0.3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4.4" x14ac:dyDescent="0.3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4.4" x14ac:dyDescent="0.3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4.4" x14ac:dyDescent="0.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4.4" x14ac:dyDescent="0.3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4.4" x14ac:dyDescent="0.3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4.4" x14ac:dyDescent="0.3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4.4" x14ac:dyDescent="0.3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4.4" x14ac:dyDescent="0.3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4.4" x14ac:dyDescent="0.3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4.4" x14ac:dyDescent="0.3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4.4" x14ac:dyDescent="0.3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4.4" x14ac:dyDescent="0.3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4.4" x14ac:dyDescent="0.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4.4" x14ac:dyDescent="0.3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4.4" x14ac:dyDescent="0.3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4.4" x14ac:dyDescent="0.3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4.4" x14ac:dyDescent="0.3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4.4" x14ac:dyDescent="0.3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4.4" x14ac:dyDescent="0.3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4.4" x14ac:dyDescent="0.3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4.4" x14ac:dyDescent="0.3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4.4" x14ac:dyDescent="0.3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4.4" x14ac:dyDescent="0.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4.4" x14ac:dyDescent="0.3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4.4" x14ac:dyDescent="0.3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4.4" x14ac:dyDescent="0.3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4.4" x14ac:dyDescent="0.3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4.4" x14ac:dyDescent="0.3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4.4" x14ac:dyDescent="0.3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4.4" x14ac:dyDescent="0.3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4.4" x14ac:dyDescent="0.3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4.4" x14ac:dyDescent="0.3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4.4" x14ac:dyDescent="0.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4.4" x14ac:dyDescent="0.3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4.4" x14ac:dyDescent="0.3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4.4" x14ac:dyDescent="0.3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4.4" x14ac:dyDescent="0.3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4.4" x14ac:dyDescent="0.3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4.4" x14ac:dyDescent="0.3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4.4" x14ac:dyDescent="0.3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4.4" x14ac:dyDescent="0.3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4.4" x14ac:dyDescent="0.3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4.4" x14ac:dyDescent="0.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4.4" x14ac:dyDescent="0.3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4.4" x14ac:dyDescent="0.3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4.4" x14ac:dyDescent="0.3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4.4" x14ac:dyDescent="0.3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4.4" x14ac:dyDescent="0.3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4.4" x14ac:dyDescent="0.3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4.4" x14ac:dyDescent="0.3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4.4" x14ac:dyDescent="0.3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4.4" x14ac:dyDescent="0.3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4.4" x14ac:dyDescent="0.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4.4" x14ac:dyDescent="0.3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4.4" x14ac:dyDescent="0.3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4.4" x14ac:dyDescent="0.3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4.4" x14ac:dyDescent="0.3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4.4" x14ac:dyDescent="0.3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4.4" x14ac:dyDescent="0.3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4.4" x14ac:dyDescent="0.3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4.4" x14ac:dyDescent="0.3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4.4" x14ac:dyDescent="0.3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4.4" x14ac:dyDescent="0.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4.4" x14ac:dyDescent="0.3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4.4" x14ac:dyDescent="0.3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4.4" x14ac:dyDescent="0.3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4.4" x14ac:dyDescent="0.3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4.4" x14ac:dyDescent="0.3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4.4" x14ac:dyDescent="0.3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4.4" x14ac:dyDescent="0.3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4.4" x14ac:dyDescent="0.3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4.4" x14ac:dyDescent="0.3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4.4" x14ac:dyDescent="0.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4.4" x14ac:dyDescent="0.3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4.4" x14ac:dyDescent="0.3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4.4" x14ac:dyDescent="0.3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4.4" x14ac:dyDescent="0.3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4.4" x14ac:dyDescent="0.3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4.4" x14ac:dyDescent="0.3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4.4" x14ac:dyDescent="0.3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4.4" x14ac:dyDescent="0.3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4.4" x14ac:dyDescent="0.3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4.4" x14ac:dyDescent="0.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4.4" x14ac:dyDescent="0.3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4.4" x14ac:dyDescent="0.3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4.4" x14ac:dyDescent="0.3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4.4" x14ac:dyDescent="0.3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4.4" x14ac:dyDescent="0.3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4.4" x14ac:dyDescent="0.3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4.4" x14ac:dyDescent="0.3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4.4" x14ac:dyDescent="0.3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4.4" x14ac:dyDescent="0.3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4.4" x14ac:dyDescent="0.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4.4" x14ac:dyDescent="0.3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4.4" x14ac:dyDescent="0.3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4.4" x14ac:dyDescent="0.3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4.4" x14ac:dyDescent="0.3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4.4" x14ac:dyDescent="0.3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4.4" x14ac:dyDescent="0.3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4.4" x14ac:dyDescent="0.3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4.4" x14ac:dyDescent="0.3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4.4" x14ac:dyDescent="0.3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4.4" x14ac:dyDescent="0.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4.4" x14ac:dyDescent="0.3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4.4" x14ac:dyDescent="0.3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4.4" x14ac:dyDescent="0.3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4.4" x14ac:dyDescent="0.3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4.4" x14ac:dyDescent="0.3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4.4" x14ac:dyDescent="0.3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4.4" x14ac:dyDescent="0.3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4.4" x14ac:dyDescent="0.3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4.4" x14ac:dyDescent="0.3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4.4" x14ac:dyDescent="0.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4.4" x14ac:dyDescent="0.3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4.4" x14ac:dyDescent="0.3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4.4" x14ac:dyDescent="0.3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4.4" x14ac:dyDescent="0.3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4.4" x14ac:dyDescent="0.3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4.4" x14ac:dyDescent="0.3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4.4" x14ac:dyDescent="0.3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4.4" x14ac:dyDescent="0.3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4.4" x14ac:dyDescent="0.3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4.4" x14ac:dyDescent="0.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4.4" x14ac:dyDescent="0.3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4.4" x14ac:dyDescent="0.3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4.4" x14ac:dyDescent="0.3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4.4" x14ac:dyDescent="0.3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4.4" x14ac:dyDescent="0.3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4.4" x14ac:dyDescent="0.3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4.4" x14ac:dyDescent="0.3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4.4" x14ac:dyDescent="0.3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4.4" x14ac:dyDescent="0.3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4.4" x14ac:dyDescent="0.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4.4" x14ac:dyDescent="0.3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4.4" x14ac:dyDescent="0.3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4.4" x14ac:dyDescent="0.3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4.4" x14ac:dyDescent="0.3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4.4" x14ac:dyDescent="0.3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4.4" x14ac:dyDescent="0.3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4.4" x14ac:dyDescent="0.3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4.4" x14ac:dyDescent="0.3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4.4" x14ac:dyDescent="0.3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4.4" x14ac:dyDescent="0.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4.4" x14ac:dyDescent="0.3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4.4" x14ac:dyDescent="0.3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4.4" x14ac:dyDescent="0.3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4.4" x14ac:dyDescent="0.3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4.4" x14ac:dyDescent="0.3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4.4" x14ac:dyDescent="0.3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4.4" x14ac:dyDescent="0.3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4.4" x14ac:dyDescent="0.3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4.4" x14ac:dyDescent="0.3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4.4" x14ac:dyDescent="0.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4.4" x14ac:dyDescent="0.3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4.4" x14ac:dyDescent="0.3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4.4" x14ac:dyDescent="0.3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4.4" x14ac:dyDescent="0.3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4.4" x14ac:dyDescent="0.3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4.4" x14ac:dyDescent="0.3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4.4" x14ac:dyDescent="0.3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4.4" x14ac:dyDescent="0.3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4.4" x14ac:dyDescent="0.3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4.4" x14ac:dyDescent="0.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4.4" x14ac:dyDescent="0.3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4.4" x14ac:dyDescent="0.3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4.4" x14ac:dyDescent="0.3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4.4" x14ac:dyDescent="0.3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4.4" x14ac:dyDescent="0.3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4.4" x14ac:dyDescent="0.3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4.4" x14ac:dyDescent="0.3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4.4" x14ac:dyDescent="0.3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4.4" x14ac:dyDescent="0.3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4.4" x14ac:dyDescent="0.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4.4" x14ac:dyDescent="0.3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4.4" x14ac:dyDescent="0.3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4.4" x14ac:dyDescent="0.3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4.4" x14ac:dyDescent="0.3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4.4" x14ac:dyDescent="0.3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4.4" x14ac:dyDescent="0.3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4.4" x14ac:dyDescent="0.3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4.4" x14ac:dyDescent="0.3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4.4" x14ac:dyDescent="0.3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4.4" x14ac:dyDescent="0.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4.4" x14ac:dyDescent="0.3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4.4" x14ac:dyDescent="0.3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4.4" x14ac:dyDescent="0.3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4.4" x14ac:dyDescent="0.3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4.4" x14ac:dyDescent="0.3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4.4" x14ac:dyDescent="0.3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4.4" x14ac:dyDescent="0.3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4.4" x14ac:dyDescent="0.3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4.4" x14ac:dyDescent="0.3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4.4" x14ac:dyDescent="0.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4.4" x14ac:dyDescent="0.3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4.4" x14ac:dyDescent="0.3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4.4" x14ac:dyDescent="0.3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4.4" x14ac:dyDescent="0.3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4.4" x14ac:dyDescent="0.3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4.4" x14ac:dyDescent="0.3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4.4" x14ac:dyDescent="0.3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4.4" x14ac:dyDescent="0.3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4.4" x14ac:dyDescent="0.3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4.4" x14ac:dyDescent="0.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4.4" x14ac:dyDescent="0.3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4.4" x14ac:dyDescent="0.3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4.4" x14ac:dyDescent="0.3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4.4" x14ac:dyDescent="0.3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4.4" x14ac:dyDescent="0.3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4.4" x14ac:dyDescent="0.3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4.4" x14ac:dyDescent="0.3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4.4" x14ac:dyDescent="0.3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4.4" x14ac:dyDescent="0.3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</sheetData>
  <mergeCells count="2">
    <mergeCell ref="K2:L2"/>
    <mergeCell ref="A3:L3"/>
  </mergeCells>
  <pageMargins left="0.7" right="0.7" top="0.75" bottom="0.75" header="0" footer="0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9"/>
  <sheetViews>
    <sheetView workbookViewId="0">
      <selection activeCell="H10" sqref="H10"/>
    </sheetView>
  </sheetViews>
  <sheetFormatPr defaultColWidth="14.44140625" defaultRowHeight="15" customHeight="1" x14ac:dyDescent="0.3"/>
  <cols>
    <col min="1" max="6" width="8.6640625" customWidth="1"/>
    <col min="7" max="7" width="7.109375" customWidth="1"/>
    <col min="8" max="13" width="8.6640625" customWidth="1"/>
  </cols>
  <sheetData>
    <row r="1" spans="1:26" ht="15" customHeight="1" x14ac:dyDescent="0.3">
      <c r="A1" s="118" t="s">
        <v>137</v>
      </c>
      <c r="B1" s="118"/>
      <c r="C1" s="118"/>
      <c r="D1" s="118"/>
      <c r="E1" s="118"/>
      <c r="F1" s="118">
        <v>2025</v>
      </c>
      <c r="G1" s="118"/>
      <c r="H1" s="118" t="s">
        <v>138</v>
      </c>
      <c r="I1" s="118"/>
      <c r="J1" s="118"/>
      <c r="K1" s="118"/>
      <c r="L1" s="118"/>
      <c r="M1" s="118">
        <v>2024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426" t="s">
        <v>139</v>
      </c>
      <c r="B2" s="404"/>
      <c r="C2" s="119" t="s">
        <v>140</v>
      </c>
      <c r="D2" s="120"/>
      <c r="E2" s="426" t="s">
        <v>122</v>
      </c>
      <c r="F2" s="404"/>
      <c r="G2" s="118"/>
      <c r="H2" s="427" t="s">
        <v>141</v>
      </c>
      <c r="I2" s="397"/>
      <c r="J2" s="427" t="s">
        <v>140</v>
      </c>
      <c r="K2" s="397"/>
      <c r="L2" s="427" t="s">
        <v>122</v>
      </c>
      <c r="M2" s="39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5.2" x14ac:dyDescent="0.3">
      <c r="A3" s="121" t="s">
        <v>142</v>
      </c>
      <c r="B3" s="121" t="s">
        <v>143</v>
      </c>
      <c r="C3" s="121" t="s">
        <v>142</v>
      </c>
      <c r="D3" s="122" t="s">
        <v>143</v>
      </c>
      <c r="E3" s="121" t="s">
        <v>141</v>
      </c>
      <c r="F3" s="121" t="s">
        <v>144</v>
      </c>
      <c r="G3" s="118"/>
      <c r="H3" s="121" t="s">
        <v>142</v>
      </c>
      <c r="I3" s="121" t="s">
        <v>143</v>
      </c>
      <c r="J3" s="121" t="s">
        <v>142</v>
      </c>
      <c r="K3" s="121" t="s">
        <v>143</v>
      </c>
      <c r="L3" s="121" t="s">
        <v>141</v>
      </c>
      <c r="M3" s="121" t="s">
        <v>144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123">
        <v>19.679720279720279</v>
      </c>
      <c r="B4" s="123">
        <v>0.3201397202797196</v>
      </c>
      <c r="C4" s="123">
        <v>40.700000000000003</v>
      </c>
      <c r="D4" s="124">
        <v>-0.70409999999999684</v>
      </c>
      <c r="E4" s="123">
        <v>2</v>
      </c>
      <c r="F4" s="123">
        <v>2.5130802694165433</v>
      </c>
      <c r="G4" s="118"/>
      <c r="H4" s="125">
        <v>19.2</v>
      </c>
      <c r="I4" s="125">
        <v>0.8</v>
      </c>
      <c r="J4" s="126">
        <v>42</v>
      </c>
      <c r="K4" s="126">
        <v>-2</v>
      </c>
      <c r="L4" s="126">
        <v>2</v>
      </c>
      <c r="M4" s="125">
        <v>2.6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23">
        <v>24.8</v>
      </c>
      <c r="B5" s="123">
        <v>0.19984000000000179</v>
      </c>
      <c r="C5" s="123">
        <v>50.750222222222234</v>
      </c>
      <c r="D5" s="124">
        <v>-0.75254222222223177</v>
      </c>
      <c r="E5" s="123">
        <v>2</v>
      </c>
      <c r="F5" s="123">
        <v>2.8377376435342865</v>
      </c>
      <c r="G5" s="118"/>
      <c r="H5" s="126">
        <v>25</v>
      </c>
      <c r="I5" s="126">
        <v>0</v>
      </c>
      <c r="J5" s="125">
        <v>51.5</v>
      </c>
      <c r="K5" s="125">
        <v>-1.5</v>
      </c>
      <c r="L5" s="126">
        <v>2</v>
      </c>
      <c r="M5" s="125">
        <v>2.9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123">
        <v>29.7</v>
      </c>
      <c r="B6" s="123">
        <v>0.29982000000000397</v>
      </c>
      <c r="C6" s="123">
        <v>60.6</v>
      </c>
      <c r="D6" s="124">
        <v>-0.59779999999999944</v>
      </c>
      <c r="E6" s="123">
        <v>2</v>
      </c>
      <c r="F6" s="123">
        <v>3.2141532553348626</v>
      </c>
      <c r="G6" s="118"/>
      <c r="H6" s="125">
        <v>30.8</v>
      </c>
      <c r="I6" s="125">
        <v>-0.8</v>
      </c>
      <c r="J6" s="126">
        <v>61</v>
      </c>
      <c r="K6" s="126">
        <v>-1</v>
      </c>
      <c r="L6" s="126">
        <v>2</v>
      </c>
      <c r="M6" s="125">
        <v>3.3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123">
        <v>35.1</v>
      </c>
      <c r="B7" s="123">
        <v>-0.10000000000000142</v>
      </c>
      <c r="C7" s="123">
        <v>69.989999999999995</v>
      </c>
      <c r="D7" s="124">
        <v>7.7399999999983038E-3</v>
      </c>
      <c r="E7" s="123">
        <v>2</v>
      </c>
      <c r="F7" s="123">
        <v>1.9957614022387038</v>
      </c>
      <c r="G7" s="118"/>
      <c r="H7" s="125">
        <v>34.700000000000003</v>
      </c>
      <c r="I7" s="125">
        <v>0.3</v>
      </c>
      <c r="J7" s="125">
        <v>69.5</v>
      </c>
      <c r="K7" s="125">
        <v>0.5</v>
      </c>
      <c r="L7" s="126">
        <v>2</v>
      </c>
      <c r="M7" s="125">
        <v>2.1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123">
        <v>40</v>
      </c>
      <c r="B8" s="123">
        <v>4.909999999995307E-3</v>
      </c>
      <c r="C8" s="123">
        <v>79.7</v>
      </c>
      <c r="D8" s="124">
        <v>0.30301000000000045</v>
      </c>
      <c r="E8" s="123">
        <v>2</v>
      </c>
      <c r="F8" s="123">
        <v>2.5974370937004476</v>
      </c>
      <c r="G8" s="118"/>
      <c r="H8" s="125">
        <v>40.5</v>
      </c>
      <c r="I8" s="125">
        <v>-0.5</v>
      </c>
      <c r="J8" s="125">
        <v>73.5</v>
      </c>
      <c r="K8" s="125">
        <v>6.5</v>
      </c>
      <c r="L8" s="126">
        <v>2</v>
      </c>
      <c r="M8" s="125">
        <v>2.7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118" t="s">
        <v>137</v>
      </c>
      <c r="B10" s="118"/>
      <c r="C10" s="118"/>
      <c r="D10" s="118"/>
      <c r="E10" s="118"/>
      <c r="F10" s="118">
        <v>2024</v>
      </c>
      <c r="G10" s="118"/>
      <c r="H10" s="118" t="s">
        <v>138</v>
      </c>
      <c r="I10" s="118"/>
      <c r="J10" s="118"/>
      <c r="K10" s="118"/>
      <c r="L10" s="118"/>
      <c r="M10" s="118">
        <v>2023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426" t="s">
        <v>139</v>
      </c>
      <c r="B11" s="404"/>
      <c r="C11" s="119" t="s">
        <v>140</v>
      </c>
      <c r="D11" s="120"/>
      <c r="E11" s="426" t="s">
        <v>122</v>
      </c>
      <c r="F11" s="404"/>
      <c r="G11" s="118"/>
      <c r="H11" s="427" t="s">
        <v>141</v>
      </c>
      <c r="I11" s="397"/>
      <c r="J11" s="427" t="s">
        <v>140</v>
      </c>
      <c r="K11" s="397"/>
      <c r="L11" s="427" t="s">
        <v>122</v>
      </c>
      <c r="M11" s="39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5.2" x14ac:dyDescent="0.3">
      <c r="A12" s="121" t="s">
        <v>142</v>
      </c>
      <c r="B12" s="121" t="s">
        <v>143</v>
      </c>
      <c r="C12" s="121" t="s">
        <v>142</v>
      </c>
      <c r="D12" s="122" t="s">
        <v>143</v>
      </c>
      <c r="E12" s="121" t="s">
        <v>141</v>
      </c>
      <c r="F12" s="121" t="s">
        <v>144</v>
      </c>
      <c r="G12" s="118"/>
      <c r="H12" s="121" t="s">
        <v>142</v>
      </c>
      <c r="I12" s="121" t="s">
        <v>143</v>
      </c>
      <c r="J12" s="121" t="s">
        <v>142</v>
      </c>
      <c r="K12" s="121" t="s">
        <v>143</v>
      </c>
      <c r="L12" s="121" t="s">
        <v>141</v>
      </c>
      <c r="M12" s="121" t="s">
        <v>144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123">
        <v>19.7</v>
      </c>
      <c r="B13" s="123">
        <v>0.3</v>
      </c>
      <c r="C13" s="123">
        <v>40.4</v>
      </c>
      <c r="D13" s="124">
        <v>-0.4</v>
      </c>
      <c r="E13" s="123">
        <v>2</v>
      </c>
      <c r="F13" s="123">
        <v>2.5</v>
      </c>
      <c r="G13" s="118"/>
      <c r="H13" s="125">
        <v>19.2</v>
      </c>
      <c r="I13" s="125">
        <v>0.8</v>
      </c>
      <c r="J13" s="125">
        <v>79</v>
      </c>
      <c r="K13" s="125">
        <v>-2</v>
      </c>
      <c r="L13" s="126">
        <v>2</v>
      </c>
      <c r="M13" s="125">
        <v>2.9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23">
        <v>25</v>
      </c>
      <c r="B14" s="123">
        <v>0</v>
      </c>
      <c r="C14" s="123">
        <v>49.7</v>
      </c>
      <c r="D14" s="124">
        <v>0.3</v>
      </c>
      <c r="E14" s="123">
        <v>2</v>
      </c>
      <c r="F14" s="123">
        <v>2.8</v>
      </c>
      <c r="G14" s="118"/>
      <c r="H14" s="125">
        <v>24.3</v>
      </c>
      <c r="I14" s="125">
        <v>0.8</v>
      </c>
      <c r="J14" s="125">
        <v>70.5</v>
      </c>
      <c r="K14" s="125">
        <v>-0.5</v>
      </c>
      <c r="L14" s="126">
        <v>2</v>
      </c>
      <c r="M14" s="125">
        <v>2.4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3">
        <v>30.4</v>
      </c>
      <c r="B15" s="123">
        <v>-0.4</v>
      </c>
      <c r="C15" s="123">
        <v>59.9</v>
      </c>
      <c r="D15" s="124">
        <v>0.1</v>
      </c>
      <c r="E15" s="123">
        <v>2</v>
      </c>
      <c r="F15" s="123">
        <v>3.2</v>
      </c>
      <c r="G15" s="118"/>
      <c r="H15" s="125">
        <v>29.5</v>
      </c>
      <c r="I15" s="125">
        <v>0.5</v>
      </c>
      <c r="J15" s="125">
        <v>61</v>
      </c>
      <c r="K15" s="125">
        <v>-1</v>
      </c>
      <c r="L15" s="126">
        <v>2</v>
      </c>
      <c r="M15" s="125">
        <v>3.5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23">
        <v>35.1</v>
      </c>
      <c r="B16" s="123">
        <v>-0.1</v>
      </c>
      <c r="C16" s="123">
        <v>69.7</v>
      </c>
      <c r="D16" s="124">
        <v>0.3</v>
      </c>
      <c r="E16" s="123">
        <v>2</v>
      </c>
      <c r="F16" s="123">
        <v>2</v>
      </c>
      <c r="G16" s="118"/>
      <c r="H16" s="125">
        <v>35</v>
      </c>
      <c r="I16" s="125">
        <v>0</v>
      </c>
      <c r="J16" s="125">
        <v>48</v>
      </c>
      <c r="K16" s="125">
        <v>2</v>
      </c>
      <c r="L16" s="126">
        <v>2</v>
      </c>
      <c r="M16" s="125">
        <v>3.1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23">
        <v>40.6</v>
      </c>
      <c r="B17" s="123">
        <v>-0.6</v>
      </c>
      <c r="C17" s="123">
        <v>78.8</v>
      </c>
      <c r="D17" s="124">
        <v>1.2</v>
      </c>
      <c r="E17" s="123">
        <v>2</v>
      </c>
      <c r="F17" s="123">
        <v>2.6</v>
      </c>
      <c r="G17" s="118"/>
      <c r="H17" s="125">
        <v>40.299999999999997</v>
      </c>
      <c r="I17" s="125">
        <v>-0.2</v>
      </c>
      <c r="J17" s="125">
        <v>44</v>
      </c>
      <c r="K17" s="125">
        <v>0</v>
      </c>
      <c r="L17" s="126">
        <v>2</v>
      </c>
      <c r="M17" s="125">
        <v>2.8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18" t="s">
        <v>137</v>
      </c>
      <c r="B19" s="118"/>
      <c r="C19" s="118"/>
      <c r="D19" s="118"/>
      <c r="E19" s="118"/>
      <c r="F19" s="118">
        <v>2023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293" t="s">
        <v>139</v>
      </c>
      <c r="B20" s="150"/>
      <c r="C20" s="119" t="s">
        <v>140</v>
      </c>
      <c r="D20" s="120"/>
      <c r="E20" s="293" t="s">
        <v>122</v>
      </c>
      <c r="F20" s="15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5.2" x14ac:dyDescent="0.3">
      <c r="A21" s="121" t="s">
        <v>142</v>
      </c>
      <c r="B21" s="121" t="s">
        <v>143</v>
      </c>
      <c r="C21" s="121" t="s">
        <v>142</v>
      </c>
      <c r="D21" s="122" t="s">
        <v>143</v>
      </c>
      <c r="E21" s="121" t="s">
        <v>141</v>
      </c>
      <c r="F21" s="121" t="s">
        <v>144</v>
      </c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4.4" x14ac:dyDescent="0.3">
      <c r="A22" s="123">
        <v>19.7</v>
      </c>
      <c r="B22" s="123">
        <v>0.3</v>
      </c>
      <c r="C22" s="123">
        <v>80</v>
      </c>
      <c r="D22" s="124">
        <v>0</v>
      </c>
      <c r="E22" s="123">
        <v>2</v>
      </c>
      <c r="F22" s="123">
        <v>2.6</v>
      </c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4.4" x14ac:dyDescent="0.3">
      <c r="A23" s="123">
        <v>24.6</v>
      </c>
      <c r="B23" s="123">
        <v>0.3</v>
      </c>
      <c r="C23" s="123">
        <v>70.900000000000006</v>
      </c>
      <c r="D23" s="124">
        <v>-0.7</v>
      </c>
      <c r="E23" s="123">
        <v>2</v>
      </c>
      <c r="F23" s="123">
        <v>2.1</v>
      </c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4.4" x14ac:dyDescent="0.3">
      <c r="A24" s="123">
        <v>29.7</v>
      </c>
      <c r="B24" s="123">
        <v>-0.1</v>
      </c>
      <c r="C24" s="123">
        <v>64.8</v>
      </c>
      <c r="D24" s="124">
        <v>0.3</v>
      </c>
      <c r="E24" s="123">
        <v>2</v>
      </c>
      <c r="F24" s="123">
        <v>3.3</v>
      </c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4.4" x14ac:dyDescent="0.3">
      <c r="A25" s="123">
        <v>34.9</v>
      </c>
      <c r="B25" s="123">
        <v>0.1</v>
      </c>
      <c r="C25" s="123">
        <v>55</v>
      </c>
      <c r="D25" s="124">
        <v>-1.1000000000000001</v>
      </c>
      <c r="E25" s="123">
        <v>2</v>
      </c>
      <c r="F25" s="123">
        <v>2.9</v>
      </c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4.4" x14ac:dyDescent="0.3">
      <c r="A26" s="123">
        <v>40.1</v>
      </c>
      <c r="B26" s="123">
        <v>-0.1</v>
      </c>
      <c r="C26" s="123">
        <v>42.5</v>
      </c>
      <c r="D26" s="124">
        <v>-1.1000000000000001</v>
      </c>
      <c r="E26" s="123">
        <v>2</v>
      </c>
      <c r="F26" s="123">
        <v>2.6</v>
      </c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4.4" x14ac:dyDescent="0.3">
      <c r="A27" s="118"/>
      <c r="B27" s="118"/>
      <c r="C27" s="118"/>
      <c r="D27" s="118"/>
      <c r="E27" s="118"/>
      <c r="F27" s="118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4.4" x14ac:dyDescent="0.3">
      <c r="A28" s="118"/>
      <c r="B28" s="118"/>
      <c r="C28" s="118"/>
      <c r="D28" s="118"/>
      <c r="E28" s="118"/>
      <c r="F28" s="118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4.4" x14ac:dyDescent="0.3">
      <c r="A29" s="426"/>
      <c r="B29" s="404"/>
      <c r="C29" s="119"/>
      <c r="D29" s="120"/>
      <c r="E29" s="426"/>
      <c r="F29" s="404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 x14ac:dyDescent="0.3">
      <c r="A30" s="121"/>
      <c r="B30" s="121"/>
      <c r="C30" s="121"/>
      <c r="D30" s="122"/>
      <c r="E30" s="121"/>
      <c r="F30" s="121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 x14ac:dyDescent="0.3">
      <c r="A31" s="123"/>
      <c r="B31" s="123"/>
      <c r="C31" s="123"/>
      <c r="D31" s="124"/>
      <c r="E31" s="123"/>
      <c r="F31" s="123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 x14ac:dyDescent="0.3">
      <c r="A32" s="123"/>
      <c r="B32" s="123"/>
      <c r="C32" s="123"/>
      <c r="D32" s="124"/>
      <c r="E32" s="123"/>
      <c r="F32" s="123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 x14ac:dyDescent="0.3">
      <c r="A33" s="123"/>
      <c r="B33" s="123"/>
      <c r="C33" s="123"/>
      <c r="D33" s="124"/>
      <c r="E33" s="123"/>
      <c r="F33" s="123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 x14ac:dyDescent="0.3">
      <c r="A34" s="123"/>
      <c r="B34" s="123"/>
      <c r="C34" s="123"/>
      <c r="D34" s="124"/>
      <c r="E34" s="123"/>
      <c r="F34" s="123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 x14ac:dyDescent="0.3">
      <c r="A35" s="123"/>
      <c r="B35" s="123"/>
      <c r="C35" s="123"/>
      <c r="D35" s="124"/>
      <c r="E35" s="123"/>
      <c r="F35" s="123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 x14ac:dyDescent="0.3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 x14ac:dyDescent="0.3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 x14ac:dyDescent="0.3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 x14ac:dyDescent="0.3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 x14ac:dyDescent="0.3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 x14ac:dyDescent="0.3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 x14ac:dyDescent="0.3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 x14ac:dyDescent="0.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 x14ac:dyDescent="0.3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 x14ac:dyDescent="0.3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 x14ac:dyDescent="0.3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 x14ac:dyDescent="0.3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 x14ac:dyDescent="0.3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 x14ac:dyDescent="0.3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 x14ac:dyDescent="0.3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 x14ac:dyDescent="0.3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 x14ac:dyDescent="0.3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 x14ac:dyDescent="0.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 x14ac:dyDescent="0.3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 x14ac:dyDescent="0.3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 x14ac:dyDescent="0.3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 x14ac:dyDescent="0.3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 x14ac:dyDescent="0.3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 x14ac:dyDescent="0.3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 x14ac:dyDescent="0.3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 x14ac:dyDescent="0.3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 x14ac:dyDescent="0.3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 x14ac:dyDescent="0.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 x14ac:dyDescent="0.3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 x14ac:dyDescent="0.3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 x14ac:dyDescent="0.3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 x14ac:dyDescent="0.3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 x14ac:dyDescent="0.3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 x14ac:dyDescent="0.3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 x14ac:dyDescent="0.3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 x14ac:dyDescent="0.3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 x14ac:dyDescent="0.3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 x14ac:dyDescent="0.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 x14ac:dyDescent="0.3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 x14ac:dyDescent="0.3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 x14ac:dyDescent="0.3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 x14ac:dyDescent="0.3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 x14ac:dyDescent="0.3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 x14ac:dyDescent="0.3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 x14ac:dyDescent="0.3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 x14ac:dyDescent="0.3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 x14ac:dyDescent="0.3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 x14ac:dyDescent="0.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 x14ac:dyDescent="0.3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 x14ac:dyDescent="0.3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 x14ac:dyDescent="0.3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 x14ac:dyDescent="0.3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 x14ac:dyDescent="0.3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 x14ac:dyDescent="0.3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 x14ac:dyDescent="0.3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 x14ac:dyDescent="0.3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 x14ac:dyDescent="0.3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 x14ac:dyDescent="0.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 x14ac:dyDescent="0.3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 x14ac:dyDescent="0.3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 x14ac:dyDescent="0.3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 x14ac:dyDescent="0.3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 x14ac:dyDescent="0.3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 x14ac:dyDescent="0.3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 x14ac:dyDescent="0.3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 x14ac:dyDescent="0.3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 x14ac:dyDescent="0.3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 x14ac:dyDescent="0.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 x14ac:dyDescent="0.3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 x14ac:dyDescent="0.3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 x14ac:dyDescent="0.3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 x14ac:dyDescent="0.3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 x14ac:dyDescent="0.3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 x14ac:dyDescent="0.3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 x14ac:dyDescent="0.3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 x14ac:dyDescent="0.3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 x14ac:dyDescent="0.3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 x14ac:dyDescent="0.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 x14ac:dyDescent="0.3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 x14ac:dyDescent="0.3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 x14ac:dyDescent="0.3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 x14ac:dyDescent="0.3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 x14ac:dyDescent="0.3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 x14ac:dyDescent="0.3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 x14ac:dyDescent="0.3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 x14ac:dyDescent="0.3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 x14ac:dyDescent="0.3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 x14ac:dyDescent="0.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 x14ac:dyDescent="0.3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 x14ac:dyDescent="0.3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 x14ac:dyDescent="0.3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 x14ac:dyDescent="0.3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 x14ac:dyDescent="0.3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 x14ac:dyDescent="0.3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 x14ac:dyDescent="0.3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 x14ac:dyDescent="0.3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 x14ac:dyDescent="0.3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 x14ac:dyDescent="0.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 x14ac:dyDescent="0.3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 x14ac:dyDescent="0.3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 x14ac:dyDescent="0.3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 x14ac:dyDescent="0.3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 x14ac:dyDescent="0.3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 x14ac:dyDescent="0.3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 x14ac:dyDescent="0.3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 x14ac:dyDescent="0.3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 x14ac:dyDescent="0.3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 x14ac:dyDescent="0.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 x14ac:dyDescent="0.3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 x14ac:dyDescent="0.3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 x14ac:dyDescent="0.3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 x14ac:dyDescent="0.3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 x14ac:dyDescent="0.3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 x14ac:dyDescent="0.3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 x14ac:dyDescent="0.3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 x14ac:dyDescent="0.3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 x14ac:dyDescent="0.3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 x14ac:dyDescent="0.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 x14ac:dyDescent="0.3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 x14ac:dyDescent="0.3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 x14ac:dyDescent="0.3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 x14ac:dyDescent="0.3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 x14ac:dyDescent="0.3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 x14ac:dyDescent="0.3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 x14ac:dyDescent="0.3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 x14ac:dyDescent="0.3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 x14ac:dyDescent="0.3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 x14ac:dyDescent="0.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 x14ac:dyDescent="0.3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 x14ac:dyDescent="0.3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 x14ac:dyDescent="0.3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 x14ac:dyDescent="0.3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 x14ac:dyDescent="0.3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 x14ac:dyDescent="0.3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 x14ac:dyDescent="0.3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 x14ac:dyDescent="0.3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 x14ac:dyDescent="0.3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 x14ac:dyDescent="0.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 x14ac:dyDescent="0.3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 x14ac:dyDescent="0.3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 x14ac:dyDescent="0.3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 x14ac:dyDescent="0.3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 x14ac:dyDescent="0.3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 x14ac:dyDescent="0.3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 x14ac:dyDescent="0.3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 x14ac:dyDescent="0.3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 x14ac:dyDescent="0.3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 x14ac:dyDescent="0.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 x14ac:dyDescent="0.3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 x14ac:dyDescent="0.3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 x14ac:dyDescent="0.3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 x14ac:dyDescent="0.3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 x14ac:dyDescent="0.3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 x14ac:dyDescent="0.3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 x14ac:dyDescent="0.3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 x14ac:dyDescent="0.3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 x14ac:dyDescent="0.3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 x14ac:dyDescent="0.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 x14ac:dyDescent="0.3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 x14ac:dyDescent="0.3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 x14ac:dyDescent="0.3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 x14ac:dyDescent="0.3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 x14ac:dyDescent="0.3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 x14ac:dyDescent="0.3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 x14ac:dyDescent="0.3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 x14ac:dyDescent="0.3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 x14ac:dyDescent="0.3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 x14ac:dyDescent="0.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 x14ac:dyDescent="0.3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 x14ac:dyDescent="0.3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 x14ac:dyDescent="0.3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 x14ac:dyDescent="0.3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 x14ac:dyDescent="0.3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 x14ac:dyDescent="0.3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 x14ac:dyDescent="0.3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 x14ac:dyDescent="0.3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 x14ac:dyDescent="0.3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 x14ac:dyDescent="0.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 x14ac:dyDescent="0.3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 x14ac:dyDescent="0.3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 x14ac:dyDescent="0.3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 x14ac:dyDescent="0.3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 x14ac:dyDescent="0.3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 x14ac:dyDescent="0.3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 x14ac:dyDescent="0.3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 x14ac:dyDescent="0.3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5.75" customHeight="1" x14ac:dyDescent="0.3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5.75" customHeight="1" x14ac:dyDescent="0.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5.75" customHeight="1" x14ac:dyDescent="0.3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5.75" customHeight="1" x14ac:dyDescent="0.3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5.75" customHeight="1" x14ac:dyDescent="0.3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5.75" customHeight="1" x14ac:dyDescent="0.3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5.75" customHeight="1" x14ac:dyDescent="0.3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5.75" customHeight="1" x14ac:dyDescent="0.3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5.75" customHeight="1" x14ac:dyDescent="0.3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5.75" customHeight="1" x14ac:dyDescent="0.3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5.75" customHeight="1" x14ac:dyDescent="0.3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 x14ac:dyDescent="0.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5.75" customHeight="1" x14ac:dyDescent="0.3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spans="1:26" ht="15.75" customHeight="1" x14ac:dyDescent="0.3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spans="1:26" ht="15.75" customHeight="1" x14ac:dyDescent="0.3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spans="1:26" ht="15.75" customHeight="1" x14ac:dyDescent="0.3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spans="1:26" ht="15.75" customHeight="1" x14ac:dyDescent="0.3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spans="1:26" ht="15.75" customHeight="1" x14ac:dyDescent="0.3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spans="1:26" ht="15.75" customHeight="1" x14ac:dyDescent="0.3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spans="1:26" ht="15.75" customHeight="1" x14ac:dyDescent="0.3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spans="1:26" ht="15.75" customHeight="1" x14ac:dyDescent="0.3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spans="1:26" ht="15.75" customHeight="1" x14ac:dyDescent="0.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spans="1:26" ht="15.75" customHeight="1" x14ac:dyDescent="0.3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spans="1:26" ht="15.75" customHeight="1" x14ac:dyDescent="0.3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spans="1:26" ht="15.75" customHeight="1" x14ac:dyDescent="0.3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spans="1:26" ht="15.75" customHeight="1" x14ac:dyDescent="0.3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spans="1:26" ht="15.75" customHeight="1" x14ac:dyDescent="0.3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spans="1:26" ht="15.75" customHeight="1" x14ac:dyDescent="0.3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spans="1:26" ht="15.75" customHeight="1" x14ac:dyDescent="0.3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spans="1:26" ht="15.75" customHeight="1" x14ac:dyDescent="0.3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spans="1:26" ht="15.75" customHeight="1" x14ac:dyDescent="0.3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spans="1:26" ht="15.75" customHeight="1" x14ac:dyDescent="0.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spans="1:26" ht="15.75" customHeight="1" x14ac:dyDescent="0.3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spans="1:26" ht="15.75" customHeight="1" x14ac:dyDescent="0.3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spans="1:26" ht="15.75" customHeight="1" x14ac:dyDescent="0.3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spans="1:26" ht="15.75" customHeight="1" x14ac:dyDescent="0.3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spans="1:26" ht="15.75" customHeight="1" x14ac:dyDescent="0.3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spans="1:26" ht="15.75" customHeight="1" x14ac:dyDescent="0.3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spans="1:26" ht="15.75" customHeight="1" x14ac:dyDescent="0.3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spans="1:26" ht="15.75" customHeight="1" x14ac:dyDescent="0.3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spans="1:26" ht="15.75" customHeight="1" x14ac:dyDescent="0.3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spans="1:26" ht="15.75" customHeight="1" x14ac:dyDescent="0.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spans="1:26" ht="15.75" customHeight="1" x14ac:dyDescent="0.3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spans="1:26" ht="15.75" customHeight="1" x14ac:dyDescent="0.3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spans="1:26" ht="15.75" customHeight="1" x14ac:dyDescent="0.3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spans="1:26" ht="15.75" customHeight="1" x14ac:dyDescent="0.3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spans="1:26" ht="15.75" customHeight="1" x14ac:dyDescent="0.3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spans="1:26" ht="15.75" customHeight="1" x14ac:dyDescent="0.3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spans="1:26" ht="15.75" customHeight="1" x14ac:dyDescent="0.3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spans="1:26" ht="15.75" customHeight="1" x14ac:dyDescent="0.3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spans="1:26" ht="15.75" customHeight="1" x14ac:dyDescent="0.3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spans="1:26" ht="15.75" customHeight="1" x14ac:dyDescent="0.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spans="1:26" ht="15.75" customHeight="1" x14ac:dyDescent="0.3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spans="1:26" ht="15.75" customHeight="1" x14ac:dyDescent="0.3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spans="1:26" ht="15.75" customHeight="1" x14ac:dyDescent="0.3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spans="1:26" ht="15.75" customHeight="1" x14ac:dyDescent="0.3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spans="1:26" ht="15.75" customHeight="1" x14ac:dyDescent="0.3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spans="1:26" ht="15.75" customHeight="1" x14ac:dyDescent="0.3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spans="1:26" ht="15.75" customHeight="1" x14ac:dyDescent="0.3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spans="1:26" ht="15.75" customHeight="1" x14ac:dyDescent="0.3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spans="1:26" ht="15.75" customHeight="1" x14ac:dyDescent="0.3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spans="1:26" ht="15.75" customHeight="1" x14ac:dyDescent="0.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spans="1:26" ht="15.75" customHeight="1" x14ac:dyDescent="0.3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spans="1:26" ht="15.75" customHeight="1" x14ac:dyDescent="0.3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spans="1:26" ht="15.75" customHeight="1" x14ac:dyDescent="0.3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spans="1:26" ht="15.75" customHeight="1" x14ac:dyDescent="0.3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spans="1:26" ht="15.75" customHeight="1" x14ac:dyDescent="0.3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spans="1:26" ht="15.75" customHeight="1" x14ac:dyDescent="0.3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spans="1:26" ht="15.75" customHeight="1" x14ac:dyDescent="0.3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spans="1:26" ht="15.75" customHeight="1" x14ac:dyDescent="0.3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spans="1:26" ht="15.75" customHeight="1" x14ac:dyDescent="0.3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5.75" customHeight="1" x14ac:dyDescent="0.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spans="1:26" ht="15.75" customHeight="1" x14ac:dyDescent="0.3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spans="1:26" ht="15.75" customHeight="1" x14ac:dyDescent="0.3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spans="1:26" ht="15.75" customHeight="1" x14ac:dyDescent="0.3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spans="1:26" ht="15.75" customHeight="1" x14ac:dyDescent="0.3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spans="1:26" ht="15.75" customHeight="1" x14ac:dyDescent="0.3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spans="1:26" ht="15.75" customHeight="1" x14ac:dyDescent="0.3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spans="1:26" ht="15.75" customHeight="1" x14ac:dyDescent="0.3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spans="1:26" ht="15.75" customHeight="1" x14ac:dyDescent="0.3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spans="1:26" ht="15.75" customHeight="1" x14ac:dyDescent="0.3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spans="1:26" ht="15.75" customHeight="1" x14ac:dyDescent="0.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spans="1:26" ht="15.75" customHeight="1" x14ac:dyDescent="0.3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spans="1:26" ht="15.75" customHeight="1" x14ac:dyDescent="0.3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spans="1:26" ht="15.75" customHeight="1" x14ac:dyDescent="0.3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spans="1:26" ht="15.75" customHeight="1" x14ac:dyDescent="0.3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spans="1:26" ht="15.75" customHeight="1" x14ac:dyDescent="0.3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spans="1:26" ht="15.75" customHeight="1" x14ac:dyDescent="0.3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spans="1:26" ht="15.75" customHeight="1" x14ac:dyDescent="0.3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spans="1:26" ht="15.75" customHeight="1" x14ac:dyDescent="0.3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spans="1:26" ht="15.75" customHeight="1" x14ac:dyDescent="0.3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spans="1:26" ht="15.75" customHeight="1" x14ac:dyDescent="0.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spans="1:26" ht="15.75" customHeight="1" x14ac:dyDescent="0.3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spans="1:26" ht="15.75" customHeight="1" x14ac:dyDescent="0.3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spans="1:26" ht="15.75" customHeight="1" x14ac:dyDescent="0.3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spans="1:26" ht="15.75" customHeight="1" x14ac:dyDescent="0.3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spans="1:26" ht="15.75" customHeight="1" x14ac:dyDescent="0.3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spans="1:26" ht="15.75" customHeight="1" x14ac:dyDescent="0.3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spans="1:26" ht="15.75" customHeight="1" x14ac:dyDescent="0.3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spans="1:26" ht="15.75" customHeight="1" x14ac:dyDescent="0.3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spans="1:26" ht="15.75" customHeight="1" x14ac:dyDescent="0.3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spans="1:26" ht="15.75" customHeight="1" x14ac:dyDescent="0.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spans="1:26" ht="15.75" customHeight="1" x14ac:dyDescent="0.3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spans="1:26" ht="15.75" customHeight="1" x14ac:dyDescent="0.3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spans="1:26" ht="15.75" customHeight="1" x14ac:dyDescent="0.3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spans="1:26" ht="15.75" customHeight="1" x14ac:dyDescent="0.3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spans="1:26" ht="15.75" customHeight="1" x14ac:dyDescent="0.3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spans="1:26" ht="15.75" customHeight="1" x14ac:dyDescent="0.3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spans="1:26" ht="15.75" customHeight="1" x14ac:dyDescent="0.3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spans="1:26" ht="15.75" customHeight="1" x14ac:dyDescent="0.3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spans="1:26" ht="15.75" customHeight="1" x14ac:dyDescent="0.3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spans="1:26" ht="15.75" customHeight="1" x14ac:dyDescent="0.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spans="1:26" ht="15.75" customHeight="1" x14ac:dyDescent="0.3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spans="1:26" ht="15.75" customHeight="1" x14ac:dyDescent="0.3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spans="1:26" ht="15.75" customHeight="1" x14ac:dyDescent="0.3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spans="1:26" ht="15.75" customHeight="1" x14ac:dyDescent="0.3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spans="1:26" ht="15.75" customHeight="1" x14ac:dyDescent="0.3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spans="1:26" ht="15.75" customHeight="1" x14ac:dyDescent="0.3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spans="1:26" ht="15.75" customHeight="1" x14ac:dyDescent="0.3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spans="1:26" ht="15.75" customHeight="1" x14ac:dyDescent="0.3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spans="1:26" ht="15.75" customHeight="1" x14ac:dyDescent="0.3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spans="1:26" ht="15.75" customHeight="1" x14ac:dyDescent="0.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spans="1:26" ht="15.75" customHeight="1" x14ac:dyDescent="0.3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spans="1:26" ht="15.75" customHeight="1" x14ac:dyDescent="0.3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spans="1:26" ht="15.75" customHeight="1" x14ac:dyDescent="0.3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spans="1:26" ht="15.75" customHeight="1" x14ac:dyDescent="0.3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spans="1:26" ht="15.75" customHeight="1" x14ac:dyDescent="0.3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spans="1:26" ht="15.75" customHeight="1" x14ac:dyDescent="0.3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spans="1:26" ht="15.75" customHeight="1" x14ac:dyDescent="0.3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spans="1:26" ht="15.75" customHeight="1" x14ac:dyDescent="0.3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spans="1:26" ht="15.75" customHeight="1" x14ac:dyDescent="0.3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spans="1:26" ht="15.75" customHeight="1" x14ac:dyDescent="0.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spans="1:26" ht="15.75" customHeight="1" x14ac:dyDescent="0.3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spans="1:26" ht="15.75" customHeight="1" x14ac:dyDescent="0.3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spans="1:26" ht="15.75" customHeight="1" x14ac:dyDescent="0.3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spans="1:26" ht="15.75" customHeight="1" x14ac:dyDescent="0.3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spans="1:26" ht="15.75" customHeight="1" x14ac:dyDescent="0.3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spans="1:26" ht="15.75" customHeight="1" x14ac:dyDescent="0.3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spans="1:26" ht="15.75" customHeight="1" x14ac:dyDescent="0.3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spans="1:26" ht="15.75" customHeight="1" x14ac:dyDescent="0.3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spans="1:26" ht="15.75" customHeight="1" x14ac:dyDescent="0.3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spans="1:26" ht="15.75" customHeight="1" x14ac:dyDescent="0.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spans="1:26" ht="15.75" customHeight="1" x14ac:dyDescent="0.3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spans="1:26" ht="15.75" customHeight="1" x14ac:dyDescent="0.3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spans="1:26" ht="15.75" customHeight="1" x14ac:dyDescent="0.3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spans="1:26" ht="15.75" customHeight="1" x14ac:dyDescent="0.3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spans="1:26" ht="15.75" customHeight="1" x14ac:dyDescent="0.3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spans="1:26" ht="15.75" customHeight="1" x14ac:dyDescent="0.3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spans="1:26" ht="15.75" customHeight="1" x14ac:dyDescent="0.3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spans="1:26" ht="15.75" customHeight="1" x14ac:dyDescent="0.3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spans="1:26" ht="15.75" customHeight="1" x14ac:dyDescent="0.3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spans="1:26" ht="15.75" customHeight="1" x14ac:dyDescent="0.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spans="1:26" ht="15.75" customHeight="1" x14ac:dyDescent="0.3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spans="1:26" ht="15.75" customHeight="1" x14ac:dyDescent="0.3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spans="1:26" ht="15.75" customHeight="1" x14ac:dyDescent="0.3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spans="1:26" ht="15.75" customHeight="1" x14ac:dyDescent="0.3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spans="1:26" ht="15.75" customHeight="1" x14ac:dyDescent="0.3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spans="1:26" ht="15.75" customHeight="1" x14ac:dyDescent="0.3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spans="1:26" ht="15.75" customHeight="1" x14ac:dyDescent="0.3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spans="1:26" ht="15.75" customHeight="1" x14ac:dyDescent="0.3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spans="1:26" ht="15.75" customHeight="1" x14ac:dyDescent="0.3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spans="1:26" ht="15.75" customHeight="1" x14ac:dyDescent="0.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spans="1:26" ht="15.75" customHeight="1" x14ac:dyDescent="0.3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spans="1:26" ht="15.75" customHeight="1" x14ac:dyDescent="0.3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spans="1:26" ht="15.75" customHeight="1" x14ac:dyDescent="0.3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spans="1:26" ht="15.75" customHeight="1" x14ac:dyDescent="0.3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spans="1:26" ht="15.75" customHeight="1" x14ac:dyDescent="0.3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spans="1:26" ht="15.75" customHeight="1" x14ac:dyDescent="0.3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spans="1:26" ht="15.75" customHeight="1" x14ac:dyDescent="0.3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spans="1:26" ht="15.75" customHeight="1" x14ac:dyDescent="0.3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spans="1:26" ht="15.75" customHeight="1" x14ac:dyDescent="0.3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spans="1:26" ht="15.75" customHeight="1" x14ac:dyDescent="0.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spans="1:26" ht="15.75" customHeight="1" x14ac:dyDescent="0.3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spans="1:26" ht="15.75" customHeight="1" x14ac:dyDescent="0.3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spans="1:26" ht="15.75" customHeight="1" x14ac:dyDescent="0.3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spans="1:26" ht="15.75" customHeight="1" x14ac:dyDescent="0.3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spans="1:26" ht="15.75" customHeight="1" x14ac:dyDescent="0.3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spans="1:26" ht="15.75" customHeight="1" x14ac:dyDescent="0.3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spans="1:26" ht="15.75" customHeight="1" x14ac:dyDescent="0.3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spans="1:26" ht="15.75" customHeight="1" x14ac:dyDescent="0.3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spans="1:26" ht="15.75" customHeight="1" x14ac:dyDescent="0.3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spans="1:26" ht="15.75" customHeight="1" x14ac:dyDescent="0.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spans="1:26" ht="15.75" customHeight="1" x14ac:dyDescent="0.3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spans="1:26" ht="15.75" customHeight="1" x14ac:dyDescent="0.3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spans="1:26" ht="15.75" customHeight="1" x14ac:dyDescent="0.3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spans="1:26" ht="15.75" customHeight="1" x14ac:dyDescent="0.3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spans="1:26" ht="15.75" customHeight="1" x14ac:dyDescent="0.3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spans="1:26" ht="15.75" customHeight="1" x14ac:dyDescent="0.3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spans="1:26" ht="15.75" customHeight="1" x14ac:dyDescent="0.3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spans="1:26" ht="15.75" customHeight="1" x14ac:dyDescent="0.3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spans="1:26" ht="15.75" customHeight="1" x14ac:dyDescent="0.3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spans="1:26" ht="15.75" customHeight="1" x14ac:dyDescent="0.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spans="1:26" ht="15.75" customHeight="1" x14ac:dyDescent="0.3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spans="1:26" ht="15.75" customHeight="1" x14ac:dyDescent="0.3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spans="1:26" ht="15.75" customHeight="1" x14ac:dyDescent="0.3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spans="1:26" ht="15.75" customHeight="1" x14ac:dyDescent="0.3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spans="1:26" ht="15.75" customHeight="1" x14ac:dyDescent="0.3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spans="1:26" ht="15.75" customHeight="1" x14ac:dyDescent="0.3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spans="1:26" ht="15.75" customHeight="1" x14ac:dyDescent="0.3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spans="1:26" ht="15.75" customHeight="1" x14ac:dyDescent="0.3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spans="1:26" ht="15.75" customHeight="1" x14ac:dyDescent="0.3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spans="1:26" ht="15.75" customHeight="1" x14ac:dyDescent="0.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spans="1:26" ht="15.75" customHeight="1" x14ac:dyDescent="0.3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spans="1:26" ht="15.75" customHeight="1" x14ac:dyDescent="0.3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spans="1:26" ht="15.75" customHeight="1" x14ac:dyDescent="0.3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spans="1:26" ht="15.75" customHeight="1" x14ac:dyDescent="0.3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spans="1:26" ht="15.75" customHeight="1" x14ac:dyDescent="0.3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spans="1:26" ht="15.75" customHeight="1" x14ac:dyDescent="0.3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spans="1:26" ht="15.75" customHeight="1" x14ac:dyDescent="0.3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spans="1:26" ht="15.75" customHeight="1" x14ac:dyDescent="0.3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spans="1:26" ht="15.75" customHeight="1" x14ac:dyDescent="0.3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spans="1:26" ht="15.75" customHeight="1" x14ac:dyDescent="0.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spans="1:26" ht="15.75" customHeight="1" x14ac:dyDescent="0.3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spans="1:26" ht="15.75" customHeight="1" x14ac:dyDescent="0.3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spans="1:26" ht="15.75" customHeight="1" x14ac:dyDescent="0.3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spans="1:26" ht="15.75" customHeight="1" x14ac:dyDescent="0.3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spans="1:26" ht="15.75" customHeight="1" x14ac:dyDescent="0.3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spans="1:26" ht="15.75" customHeight="1" x14ac:dyDescent="0.3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spans="1:26" ht="15.75" customHeight="1" x14ac:dyDescent="0.3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spans="1:26" ht="15.75" customHeight="1" x14ac:dyDescent="0.3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spans="1:26" ht="15.75" customHeight="1" x14ac:dyDescent="0.3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spans="1:26" ht="15.75" customHeight="1" x14ac:dyDescent="0.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spans="1:26" ht="15.75" customHeight="1" x14ac:dyDescent="0.3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spans="1:26" ht="15.75" customHeight="1" x14ac:dyDescent="0.3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spans="1:26" ht="15.75" customHeight="1" x14ac:dyDescent="0.3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spans="1:26" ht="15.75" customHeight="1" x14ac:dyDescent="0.3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spans="1:26" ht="15.75" customHeight="1" x14ac:dyDescent="0.3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spans="1:26" ht="15.75" customHeight="1" x14ac:dyDescent="0.3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spans="1:26" ht="15.75" customHeight="1" x14ac:dyDescent="0.3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spans="1:26" ht="15.75" customHeight="1" x14ac:dyDescent="0.3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spans="1:26" ht="15.75" customHeight="1" x14ac:dyDescent="0.3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spans="1:26" ht="15.75" customHeight="1" x14ac:dyDescent="0.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spans="1:26" ht="15.75" customHeight="1" x14ac:dyDescent="0.3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spans="1:26" ht="15.75" customHeight="1" x14ac:dyDescent="0.3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spans="1:26" ht="15.75" customHeight="1" x14ac:dyDescent="0.3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spans="1:26" ht="15.75" customHeight="1" x14ac:dyDescent="0.3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spans="1:26" ht="15.75" customHeight="1" x14ac:dyDescent="0.3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spans="1:26" ht="15.75" customHeight="1" x14ac:dyDescent="0.3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spans="1:26" ht="15.75" customHeight="1" x14ac:dyDescent="0.3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spans="1:26" ht="15.75" customHeight="1" x14ac:dyDescent="0.3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spans="1:26" ht="15.75" customHeight="1" x14ac:dyDescent="0.3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spans="1:26" ht="15.75" customHeight="1" x14ac:dyDescent="0.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spans="1:26" ht="15.75" customHeight="1" x14ac:dyDescent="0.3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spans="1:26" ht="15.75" customHeight="1" x14ac:dyDescent="0.3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spans="1:26" ht="15.75" customHeight="1" x14ac:dyDescent="0.3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spans="1:26" ht="15.75" customHeight="1" x14ac:dyDescent="0.3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spans="1:26" ht="15.75" customHeight="1" x14ac:dyDescent="0.3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spans="1:26" ht="15.75" customHeight="1" x14ac:dyDescent="0.3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spans="1:26" ht="15.75" customHeight="1" x14ac:dyDescent="0.3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spans="1:26" ht="15.75" customHeight="1" x14ac:dyDescent="0.3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spans="1:26" ht="15.75" customHeight="1" x14ac:dyDescent="0.3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spans="1:26" ht="15.75" customHeight="1" x14ac:dyDescent="0.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spans="1:26" ht="15.75" customHeight="1" x14ac:dyDescent="0.3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spans="1:26" ht="15.75" customHeight="1" x14ac:dyDescent="0.3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spans="1:26" ht="15.75" customHeight="1" x14ac:dyDescent="0.3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spans="1:26" ht="15.75" customHeight="1" x14ac:dyDescent="0.3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spans="1:26" ht="15.75" customHeight="1" x14ac:dyDescent="0.3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spans="1:26" ht="15.75" customHeight="1" x14ac:dyDescent="0.3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spans="1:26" ht="15.75" customHeight="1" x14ac:dyDescent="0.3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spans="1:26" ht="15.75" customHeight="1" x14ac:dyDescent="0.3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spans="1:26" ht="15.75" customHeight="1" x14ac:dyDescent="0.3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spans="1:26" ht="15.75" customHeight="1" x14ac:dyDescent="0.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spans="1:26" ht="15.75" customHeight="1" x14ac:dyDescent="0.3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spans="1:26" ht="15.75" customHeight="1" x14ac:dyDescent="0.3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spans="1:26" ht="15.75" customHeight="1" x14ac:dyDescent="0.3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spans="1:26" ht="15.75" customHeight="1" x14ac:dyDescent="0.3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spans="1:26" ht="15.75" customHeight="1" x14ac:dyDescent="0.3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spans="1:26" ht="15.75" customHeight="1" x14ac:dyDescent="0.3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spans="1:26" ht="15.75" customHeight="1" x14ac:dyDescent="0.3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spans="1:26" ht="15.75" customHeight="1" x14ac:dyDescent="0.3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spans="1:26" ht="15.75" customHeight="1" x14ac:dyDescent="0.3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spans="1:26" ht="15.75" customHeight="1" x14ac:dyDescent="0.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spans="1:26" ht="15.75" customHeight="1" x14ac:dyDescent="0.3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spans="1:26" ht="15.75" customHeight="1" x14ac:dyDescent="0.3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spans="1:26" ht="15.75" customHeight="1" x14ac:dyDescent="0.3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spans="1:26" ht="15.75" customHeight="1" x14ac:dyDescent="0.3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spans="1:26" ht="15.75" customHeight="1" x14ac:dyDescent="0.3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spans="1:26" ht="15.75" customHeight="1" x14ac:dyDescent="0.3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spans="1:26" ht="15.75" customHeight="1" x14ac:dyDescent="0.3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spans="1:26" ht="15.75" customHeight="1" x14ac:dyDescent="0.3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spans="1:26" ht="15.75" customHeight="1" x14ac:dyDescent="0.3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spans="1:26" ht="15.75" customHeight="1" x14ac:dyDescent="0.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spans="1:26" ht="15.75" customHeight="1" x14ac:dyDescent="0.3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spans="1:26" ht="15.75" customHeight="1" x14ac:dyDescent="0.3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spans="1:26" ht="15.75" customHeight="1" x14ac:dyDescent="0.3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spans="1:26" ht="15.75" customHeight="1" x14ac:dyDescent="0.3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spans="1:26" ht="15.75" customHeight="1" x14ac:dyDescent="0.3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spans="1:26" ht="15.75" customHeight="1" x14ac:dyDescent="0.3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spans="1:26" ht="15.75" customHeight="1" x14ac:dyDescent="0.3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spans="1:26" ht="15.75" customHeight="1" x14ac:dyDescent="0.3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spans="1:26" ht="15.75" customHeight="1" x14ac:dyDescent="0.3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spans="1:26" ht="15.75" customHeight="1" x14ac:dyDescent="0.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spans="1:26" ht="15.75" customHeight="1" x14ac:dyDescent="0.3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spans="1:26" ht="15.75" customHeight="1" x14ac:dyDescent="0.3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spans="1:26" ht="15.75" customHeight="1" x14ac:dyDescent="0.3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spans="1:26" ht="15.75" customHeight="1" x14ac:dyDescent="0.3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spans="1:26" ht="15.75" customHeight="1" x14ac:dyDescent="0.3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spans="1:26" ht="15.75" customHeight="1" x14ac:dyDescent="0.3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spans="1:26" ht="15.75" customHeight="1" x14ac:dyDescent="0.3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spans="1:26" ht="15.75" customHeight="1" x14ac:dyDescent="0.3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spans="1:26" ht="15.75" customHeight="1" x14ac:dyDescent="0.3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spans="1:26" ht="15.75" customHeight="1" x14ac:dyDescent="0.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spans="1:26" ht="15.75" customHeight="1" x14ac:dyDescent="0.3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spans="1:26" ht="15.75" customHeight="1" x14ac:dyDescent="0.3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spans="1:26" ht="15.75" customHeight="1" x14ac:dyDescent="0.3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spans="1:26" ht="15.75" customHeight="1" x14ac:dyDescent="0.3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spans="1:26" ht="15.75" customHeight="1" x14ac:dyDescent="0.3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spans="1:26" ht="15.75" customHeight="1" x14ac:dyDescent="0.3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spans="1:26" ht="15.75" customHeight="1" x14ac:dyDescent="0.3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spans="1:26" ht="15.75" customHeight="1" x14ac:dyDescent="0.3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spans="1:26" ht="15.75" customHeight="1" x14ac:dyDescent="0.3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spans="1:26" ht="15.75" customHeight="1" x14ac:dyDescent="0.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spans="1:26" ht="15.75" customHeight="1" x14ac:dyDescent="0.3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spans="1:26" ht="15.75" customHeight="1" x14ac:dyDescent="0.3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spans="1:26" ht="15.75" customHeight="1" x14ac:dyDescent="0.3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spans="1:26" ht="15.75" customHeight="1" x14ac:dyDescent="0.3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spans="1:26" ht="15.75" customHeight="1" x14ac:dyDescent="0.3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spans="1:26" ht="15.75" customHeight="1" x14ac:dyDescent="0.3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spans="1:26" ht="15.75" customHeight="1" x14ac:dyDescent="0.3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spans="1:26" ht="15.75" customHeight="1" x14ac:dyDescent="0.3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spans="1:26" ht="15.75" customHeight="1" x14ac:dyDescent="0.3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spans="1:26" ht="15.75" customHeight="1" x14ac:dyDescent="0.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spans="1:26" ht="15.75" customHeight="1" x14ac:dyDescent="0.3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spans="1:26" ht="15.75" customHeight="1" x14ac:dyDescent="0.3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spans="1:26" ht="15.75" customHeight="1" x14ac:dyDescent="0.3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spans="1:26" ht="15.75" customHeight="1" x14ac:dyDescent="0.3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spans="1:26" ht="15.75" customHeight="1" x14ac:dyDescent="0.3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spans="1:26" ht="15.75" customHeight="1" x14ac:dyDescent="0.3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spans="1:26" ht="15.75" customHeight="1" x14ac:dyDescent="0.3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spans="1:26" ht="15.75" customHeight="1" x14ac:dyDescent="0.3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spans="1:26" ht="15.75" customHeight="1" x14ac:dyDescent="0.3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spans="1:26" ht="15.75" customHeight="1" x14ac:dyDescent="0.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spans="1:26" ht="15.75" customHeight="1" x14ac:dyDescent="0.3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spans="1:26" ht="15.75" customHeight="1" x14ac:dyDescent="0.3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spans="1:26" ht="15.75" customHeight="1" x14ac:dyDescent="0.3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spans="1:26" ht="15.75" customHeight="1" x14ac:dyDescent="0.3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spans="1:26" ht="15.75" customHeight="1" x14ac:dyDescent="0.3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spans="1:26" ht="15.75" customHeight="1" x14ac:dyDescent="0.3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spans="1:26" ht="15.75" customHeight="1" x14ac:dyDescent="0.3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spans="1:26" ht="15.75" customHeight="1" x14ac:dyDescent="0.3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spans="1:26" ht="15.75" customHeight="1" x14ac:dyDescent="0.3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spans="1:26" ht="15.75" customHeight="1" x14ac:dyDescent="0.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spans="1:26" ht="15.75" customHeight="1" x14ac:dyDescent="0.3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spans="1:26" ht="15.75" customHeight="1" x14ac:dyDescent="0.3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spans="1:26" ht="15.75" customHeight="1" x14ac:dyDescent="0.3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spans="1:26" ht="15.75" customHeight="1" x14ac:dyDescent="0.3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spans="1:26" ht="15.75" customHeight="1" x14ac:dyDescent="0.3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spans="1:26" ht="15.75" customHeight="1" x14ac:dyDescent="0.3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spans="1:26" ht="15.75" customHeight="1" x14ac:dyDescent="0.3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spans="1:26" ht="15.75" customHeight="1" x14ac:dyDescent="0.3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spans="1:26" ht="15.75" customHeight="1" x14ac:dyDescent="0.3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spans="1:26" ht="15.75" customHeight="1" x14ac:dyDescent="0.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spans="1:26" ht="15.75" customHeight="1" x14ac:dyDescent="0.3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spans="1:26" ht="15.75" customHeight="1" x14ac:dyDescent="0.3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spans="1:26" ht="15.75" customHeight="1" x14ac:dyDescent="0.3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spans="1:26" ht="15.75" customHeight="1" x14ac:dyDescent="0.3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spans="1:26" ht="15.75" customHeight="1" x14ac:dyDescent="0.3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spans="1:26" ht="15.75" customHeight="1" x14ac:dyDescent="0.3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spans="1:26" ht="15.75" customHeight="1" x14ac:dyDescent="0.3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spans="1:26" ht="15.75" customHeight="1" x14ac:dyDescent="0.3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spans="1:26" ht="15.75" customHeight="1" x14ac:dyDescent="0.3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spans="1:26" ht="15.75" customHeight="1" x14ac:dyDescent="0.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spans="1:26" ht="15.75" customHeight="1" x14ac:dyDescent="0.3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spans="1:26" ht="15.75" customHeight="1" x14ac:dyDescent="0.3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spans="1:26" ht="15.75" customHeight="1" x14ac:dyDescent="0.3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spans="1:26" ht="15.75" customHeight="1" x14ac:dyDescent="0.3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spans="1:26" ht="15.75" customHeight="1" x14ac:dyDescent="0.3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spans="1:26" ht="15.75" customHeight="1" x14ac:dyDescent="0.3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spans="1:26" ht="15.75" customHeight="1" x14ac:dyDescent="0.3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spans="1:26" ht="15.75" customHeight="1" x14ac:dyDescent="0.3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spans="1:26" ht="15.75" customHeight="1" x14ac:dyDescent="0.3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spans="1:26" ht="15.75" customHeight="1" x14ac:dyDescent="0.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spans="1:26" ht="15.75" customHeight="1" x14ac:dyDescent="0.3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spans="1:26" ht="15.75" customHeight="1" x14ac:dyDescent="0.3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spans="1:26" ht="15.75" customHeight="1" x14ac:dyDescent="0.3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spans="1:26" ht="15.75" customHeight="1" x14ac:dyDescent="0.3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spans="1:26" ht="15.75" customHeight="1" x14ac:dyDescent="0.3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spans="1:26" ht="15.75" customHeight="1" x14ac:dyDescent="0.3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spans="1:26" ht="15.75" customHeight="1" x14ac:dyDescent="0.3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spans="1:26" ht="15.75" customHeight="1" x14ac:dyDescent="0.3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spans="1:26" ht="15.75" customHeight="1" x14ac:dyDescent="0.3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spans="1:26" ht="15.75" customHeight="1" x14ac:dyDescent="0.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spans="1:26" ht="15.75" customHeight="1" x14ac:dyDescent="0.3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spans="1:26" ht="15.75" customHeight="1" x14ac:dyDescent="0.3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spans="1:26" ht="15.75" customHeight="1" x14ac:dyDescent="0.3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spans="1:26" ht="15.75" customHeight="1" x14ac:dyDescent="0.3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spans="1:26" ht="15.75" customHeight="1" x14ac:dyDescent="0.3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spans="1:26" ht="15.75" customHeight="1" x14ac:dyDescent="0.3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spans="1:26" ht="15.75" customHeight="1" x14ac:dyDescent="0.3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spans="1:26" ht="15.75" customHeight="1" x14ac:dyDescent="0.3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spans="1:26" ht="15.75" customHeight="1" x14ac:dyDescent="0.3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spans="1:26" ht="15.75" customHeight="1" x14ac:dyDescent="0.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spans="1:26" ht="15.75" customHeight="1" x14ac:dyDescent="0.3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spans="1:26" ht="15.75" customHeight="1" x14ac:dyDescent="0.3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spans="1:26" ht="15.75" customHeight="1" x14ac:dyDescent="0.3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spans="1:26" ht="15.75" customHeight="1" x14ac:dyDescent="0.3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spans="1:26" ht="15.75" customHeight="1" x14ac:dyDescent="0.3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spans="1:26" ht="15.75" customHeight="1" x14ac:dyDescent="0.3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spans="1:26" ht="15.75" customHeight="1" x14ac:dyDescent="0.3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spans="1:26" ht="15.75" customHeight="1" x14ac:dyDescent="0.3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spans="1:26" ht="15.75" customHeight="1" x14ac:dyDescent="0.3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spans="1:26" ht="15.75" customHeight="1" x14ac:dyDescent="0.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spans="1:26" ht="15.75" customHeight="1" x14ac:dyDescent="0.3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spans="1:26" ht="15.75" customHeight="1" x14ac:dyDescent="0.3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spans="1:26" ht="15.75" customHeight="1" x14ac:dyDescent="0.3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spans="1:26" ht="15.75" customHeight="1" x14ac:dyDescent="0.3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spans="1:26" ht="15.75" customHeight="1" x14ac:dyDescent="0.3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spans="1:26" ht="15.75" customHeight="1" x14ac:dyDescent="0.3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spans="1:26" ht="15.75" customHeight="1" x14ac:dyDescent="0.3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spans="1:26" ht="15.75" customHeight="1" x14ac:dyDescent="0.3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spans="1:26" ht="15.75" customHeight="1" x14ac:dyDescent="0.3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spans="1:26" ht="15.75" customHeight="1" x14ac:dyDescent="0.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spans="1:26" ht="15.75" customHeight="1" x14ac:dyDescent="0.3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spans="1:26" ht="15.75" customHeight="1" x14ac:dyDescent="0.3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spans="1:26" ht="15.75" customHeight="1" x14ac:dyDescent="0.3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spans="1:26" ht="15.75" customHeight="1" x14ac:dyDescent="0.3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spans="1:26" ht="15.75" customHeight="1" x14ac:dyDescent="0.3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spans="1:26" ht="15.75" customHeight="1" x14ac:dyDescent="0.3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spans="1:26" ht="15.75" customHeight="1" x14ac:dyDescent="0.3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spans="1:26" ht="15.75" customHeight="1" x14ac:dyDescent="0.3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spans="1:26" ht="15.75" customHeight="1" x14ac:dyDescent="0.3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spans="1:26" ht="15.75" customHeight="1" x14ac:dyDescent="0.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spans="1:26" ht="15.75" customHeight="1" x14ac:dyDescent="0.3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spans="1:26" ht="15.75" customHeight="1" x14ac:dyDescent="0.3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spans="1:26" ht="15.75" customHeight="1" x14ac:dyDescent="0.3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spans="1:26" ht="15.75" customHeight="1" x14ac:dyDescent="0.3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spans="1:26" ht="15.75" customHeight="1" x14ac:dyDescent="0.3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spans="1:26" ht="15.75" customHeight="1" x14ac:dyDescent="0.3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spans="1:26" ht="15.75" customHeight="1" x14ac:dyDescent="0.3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spans="1:26" ht="15.75" customHeight="1" x14ac:dyDescent="0.3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spans="1:26" ht="15.75" customHeight="1" x14ac:dyDescent="0.3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spans="1:26" ht="15.75" customHeight="1" x14ac:dyDescent="0.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spans="1:26" ht="15.75" customHeight="1" x14ac:dyDescent="0.3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spans="1:26" ht="15.75" customHeight="1" x14ac:dyDescent="0.3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spans="1:26" ht="15.75" customHeight="1" x14ac:dyDescent="0.3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spans="1:26" ht="15.75" customHeight="1" x14ac:dyDescent="0.3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spans="1:26" ht="15.75" customHeight="1" x14ac:dyDescent="0.3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spans="1:26" ht="15.75" customHeight="1" x14ac:dyDescent="0.3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spans="1:26" ht="15.75" customHeight="1" x14ac:dyDescent="0.3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spans="1:26" ht="15.75" customHeight="1" x14ac:dyDescent="0.3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spans="1:26" ht="15.75" customHeight="1" x14ac:dyDescent="0.3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spans="1:26" ht="15.75" customHeight="1" x14ac:dyDescent="0.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spans="1:26" ht="15.75" customHeight="1" x14ac:dyDescent="0.3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spans="1:26" ht="15.75" customHeight="1" x14ac:dyDescent="0.3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spans="1:26" ht="15.75" customHeight="1" x14ac:dyDescent="0.3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spans="1:26" ht="15.75" customHeight="1" x14ac:dyDescent="0.3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spans="1:26" ht="15.75" customHeight="1" x14ac:dyDescent="0.3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spans="1:26" ht="15.75" customHeight="1" x14ac:dyDescent="0.3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spans="1:26" ht="15.75" customHeight="1" x14ac:dyDescent="0.3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spans="1:26" ht="15.75" customHeight="1" x14ac:dyDescent="0.3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spans="1:26" ht="15.75" customHeight="1" x14ac:dyDescent="0.3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spans="1:26" ht="15.75" customHeight="1" x14ac:dyDescent="0.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spans="1:26" ht="15.75" customHeight="1" x14ac:dyDescent="0.3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spans="1:26" ht="15.75" customHeight="1" x14ac:dyDescent="0.3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spans="1:26" ht="15.75" customHeight="1" x14ac:dyDescent="0.3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spans="1:26" ht="15.75" customHeight="1" x14ac:dyDescent="0.3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spans="1:26" ht="15.75" customHeight="1" x14ac:dyDescent="0.3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spans="1:26" ht="15.75" customHeight="1" x14ac:dyDescent="0.3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spans="1:26" ht="15.75" customHeight="1" x14ac:dyDescent="0.3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spans="1:26" ht="15.75" customHeight="1" x14ac:dyDescent="0.3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spans="1:26" ht="15.75" customHeight="1" x14ac:dyDescent="0.3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spans="1:26" ht="15.75" customHeight="1" x14ac:dyDescent="0.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spans="1:26" ht="15.75" customHeight="1" x14ac:dyDescent="0.3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spans="1:26" ht="15.75" customHeight="1" x14ac:dyDescent="0.3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spans="1:26" ht="15.75" customHeight="1" x14ac:dyDescent="0.3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spans="1:26" ht="15.75" customHeight="1" x14ac:dyDescent="0.3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spans="1:26" ht="15.75" customHeight="1" x14ac:dyDescent="0.3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spans="1:26" ht="15.75" customHeight="1" x14ac:dyDescent="0.3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spans="1:26" ht="15.75" customHeight="1" x14ac:dyDescent="0.3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spans="1:26" ht="15.75" customHeight="1" x14ac:dyDescent="0.3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spans="1:26" ht="15.75" customHeight="1" x14ac:dyDescent="0.3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spans="1:26" ht="15.75" customHeight="1" x14ac:dyDescent="0.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spans="1:26" ht="15.75" customHeight="1" x14ac:dyDescent="0.3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spans="1:26" ht="15.75" customHeight="1" x14ac:dyDescent="0.3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spans="1:26" ht="15.75" customHeight="1" x14ac:dyDescent="0.3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spans="1:26" ht="15.75" customHeight="1" x14ac:dyDescent="0.3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spans="1:26" ht="15.75" customHeight="1" x14ac:dyDescent="0.3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spans="1:26" ht="15.75" customHeight="1" x14ac:dyDescent="0.3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spans="1:26" ht="15.75" customHeight="1" x14ac:dyDescent="0.3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spans="1:26" ht="15.75" customHeight="1" x14ac:dyDescent="0.3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spans="1:26" ht="15.75" customHeight="1" x14ac:dyDescent="0.3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spans="1:26" ht="15.75" customHeight="1" x14ac:dyDescent="0.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spans="1:26" ht="15.75" customHeight="1" x14ac:dyDescent="0.3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spans="1:26" ht="15.75" customHeight="1" x14ac:dyDescent="0.3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spans="1:26" ht="15.75" customHeight="1" x14ac:dyDescent="0.3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spans="1:26" ht="15.75" customHeight="1" x14ac:dyDescent="0.3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spans="1:26" ht="15.75" customHeight="1" x14ac:dyDescent="0.3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spans="1:26" ht="15.75" customHeight="1" x14ac:dyDescent="0.3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spans="1:26" ht="15.75" customHeight="1" x14ac:dyDescent="0.3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spans="1:26" ht="15.75" customHeight="1" x14ac:dyDescent="0.3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spans="1:26" ht="15.75" customHeight="1" x14ac:dyDescent="0.3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spans="1:26" ht="15.75" customHeight="1" x14ac:dyDescent="0.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spans="1:26" ht="15.75" customHeight="1" x14ac:dyDescent="0.3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spans="1:26" ht="15.75" customHeight="1" x14ac:dyDescent="0.3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spans="1:26" ht="15.75" customHeight="1" x14ac:dyDescent="0.3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spans="1:26" ht="15.75" customHeight="1" x14ac:dyDescent="0.3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spans="1:26" ht="15.75" customHeight="1" x14ac:dyDescent="0.3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spans="1:26" ht="15.75" customHeight="1" x14ac:dyDescent="0.3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spans="1:26" ht="15.75" customHeight="1" x14ac:dyDescent="0.3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spans="1:26" ht="15.75" customHeight="1" x14ac:dyDescent="0.3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spans="1:26" ht="15.75" customHeight="1" x14ac:dyDescent="0.3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spans="1:26" ht="15.75" customHeight="1" x14ac:dyDescent="0.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spans="1:26" ht="15.75" customHeight="1" x14ac:dyDescent="0.3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spans="1:26" ht="15.75" customHeight="1" x14ac:dyDescent="0.3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spans="1:26" ht="15.75" customHeight="1" x14ac:dyDescent="0.3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spans="1:26" ht="15.75" customHeight="1" x14ac:dyDescent="0.3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spans="1:26" ht="15.75" customHeight="1" x14ac:dyDescent="0.3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spans="1:26" ht="15.75" customHeight="1" x14ac:dyDescent="0.3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spans="1:26" ht="15.75" customHeight="1" x14ac:dyDescent="0.3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spans="1:26" ht="15.75" customHeight="1" x14ac:dyDescent="0.3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spans="1:26" ht="15.75" customHeight="1" x14ac:dyDescent="0.3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spans="1:26" ht="15.75" customHeight="1" x14ac:dyDescent="0.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spans="1:26" ht="15.75" customHeight="1" x14ac:dyDescent="0.3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spans="1:26" ht="15.75" customHeight="1" x14ac:dyDescent="0.3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spans="1:26" ht="15.75" customHeight="1" x14ac:dyDescent="0.3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spans="1:26" ht="15.75" customHeight="1" x14ac:dyDescent="0.3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spans="1:26" ht="15.75" customHeight="1" x14ac:dyDescent="0.3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spans="1:26" ht="15.75" customHeight="1" x14ac:dyDescent="0.3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spans="1:26" ht="15.75" customHeight="1" x14ac:dyDescent="0.3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spans="1:26" ht="15.75" customHeight="1" x14ac:dyDescent="0.3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spans="1:26" ht="15.75" customHeight="1" x14ac:dyDescent="0.3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spans="1:26" ht="15.75" customHeight="1" x14ac:dyDescent="0.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spans="1:26" ht="15.75" customHeight="1" x14ac:dyDescent="0.3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spans="1:26" ht="15.75" customHeight="1" x14ac:dyDescent="0.3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spans="1:26" ht="15.75" customHeight="1" x14ac:dyDescent="0.3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spans="1:26" ht="15.75" customHeight="1" x14ac:dyDescent="0.3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spans="1:26" ht="15.75" customHeight="1" x14ac:dyDescent="0.3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spans="1:26" ht="15.75" customHeight="1" x14ac:dyDescent="0.3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spans="1:26" ht="15.75" customHeight="1" x14ac:dyDescent="0.3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spans="1:26" ht="15.75" customHeight="1" x14ac:dyDescent="0.3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spans="1:26" ht="15.75" customHeight="1" x14ac:dyDescent="0.3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spans="1:26" ht="15.75" customHeight="1" x14ac:dyDescent="0.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spans="1:26" ht="15.75" customHeight="1" x14ac:dyDescent="0.3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spans="1:26" ht="15.75" customHeight="1" x14ac:dyDescent="0.3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spans="1:26" ht="15.75" customHeight="1" x14ac:dyDescent="0.3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spans="1:26" ht="15.75" customHeight="1" x14ac:dyDescent="0.3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spans="1:26" ht="15.75" customHeight="1" x14ac:dyDescent="0.3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spans="1:26" ht="15.75" customHeight="1" x14ac:dyDescent="0.3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spans="1:26" ht="15.75" customHeight="1" x14ac:dyDescent="0.3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spans="1:26" ht="15.75" customHeight="1" x14ac:dyDescent="0.3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spans="1:26" ht="15.75" customHeight="1" x14ac:dyDescent="0.3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spans="1:26" ht="15.75" customHeight="1" x14ac:dyDescent="0.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spans="1:26" ht="15.75" customHeight="1" x14ac:dyDescent="0.3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spans="1:26" ht="15.75" customHeight="1" x14ac:dyDescent="0.3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spans="1:26" ht="15.75" customHeight="1" x14ac:dyDescent="0.3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spans="1:26" ht="15.75" customHeight="1" x14ac:dyDescent="0.3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spans="1:26" ht="15.75" customHeight="1" x14ac:dyDescent="0.3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spans="1:26" ht="15.75" customHeight="1" x14ac:dyDescent="0.3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spans="1:26" ht="15.75" customHeight="1" x14ac:dyDescent="0.3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spans="1:26" ht="15.75" customHeight="1" x14ac:dyDescent="0.3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spans="1:26" ht="15.75" customHeight="1" x14ac:dyDescent="0.3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spans="1:26" ht="15.75" customHeight="1" x14ac:dyDescent="0.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spans="1:26" ht="15.75" customHeight="1" x14ac:dyDescent="0.3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spans="1:26" ht="15.75" customHeight="1" x14ac:dyDescent="0.3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spans="1:26" ht="15.75" customHeight="1" x14ac:dyDescent="0.3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spans="1:26" ht="15.75" customHeight="1" x14ac:dyDescent="0.3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spans="1:26" ht="15.75" customHeight="1" x14ac:dyDescent="0.3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spans="1:26" ht="15.75" customHeight="1" x14ac:dyDescent="0.3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spans="1:26" ht="15.75" customHeight="1" x14ac:dyDescent="0.3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spans="1:26" ht="15.75" customHeight="1" x14ac:dyDescent="0.3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spans="1:26" ht="15.75" customHeight="1" x14ac:dyDescent="0.3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spans="1:26" ht="15.75" customHeight="1" x14ac:dyDescent="0.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spans="1:26" ht="15.75" customHeight="1" x14ac:dyDescent="0.3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spans="1:26" ht="15.75" customHeight="1" x14ac:dyDescent="0.3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spans="1:26" ht="15.75" customHeight="1" x14ac:dyDescent="0.3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spans="1:26" ht="15.75" customHeight="1" x14ac:dyDescent="0.3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spans="1:26" ht="15.75" customHeight="1" x14ac:dyDescent="0.3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spans="1:26" ht="15.75" customHeight="1" x14ac:dyDescent="0.3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spans="1:26" ht="15.75" customHeight="1" x14ac:dyDescent="0.3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spans="1:26" ht="15.75" customHeight="1" x14ac:dyDescent="0.3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spans="1:26" ht="15.75" customHeight="1" x14ac:dyDescent="0.3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spans="1:26" ht="15.75" customHeight="1" x14ac:dyDescent="0.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spans="1:26" ht="15.75" customHeight="1" x14ac:dyDescent="0.3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spans="1:26" ht="15.75" customHeight="1" x14ac:dyDescent="0.3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spans="1:26" ht="15.75" customHeight="1" x14ac:dyDescent="0.3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spans="1:26" ht="15.75" customHeight="1" x14ac:dyDescent="0.3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spans="1:26" ht="15.75" customHeight="1" x14ac:dyDescent="0.3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spans="1:26" ht="15.75" customHeight="1" x14ac:dyDescent="0.3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spans="1:26" ht="15.75" customHeight="1" x14ac:dyDescent="0.3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spans="1:26" ht="15.75" customHeight="1" x14ac:dyDescent="0.3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spans="1:26" ht="15.75" customHeight="1" x14ac:dyDescent="0.3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spans="1:26" ht="15.75" customHeight="1" x14ac:dyDescent="0.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spans="1:26" ht="15.75" customHeight="1" x14ac:dyDescent="0.3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spans="1:26" ht="15.75" customHeight="1" x14ac:dyDescent="0.3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spans="1:26" ht="15.75" customHeight="1" x14ac:dyDescent="0.3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spans="1:26" ht="15.75" customHeight="1" x14ac:dyDescent="0.3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spans="1:26" ht="15.75" customHeight="1" x14ac:dyDescent="0.3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spans="1:26" ht="15.75" customHeight="1" x14ac:dyDescent="0.3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spans="1:26" ht="15.75" customHeight="1" x14ac:dyDescent="0.3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spans="1:26" ht="15.75" customHeight="1" x14ac:dyDescent="0.3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spans="1:26" ht="15.75" customHeight="1" x14ac:dyDescent="0.3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spans="1:26" ht="15.75" customHeight="1" x14ac:dyDescent="0.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spans="1:26" ht="15.75" customHeight="1" x14ac:dyDescent="0.3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spans="1:26" ht="15.75" customHeight="1" x14ac:dyDescent="0.3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spans="1:26" ht="15.75" customHeight="1" x14ac:dyDescent="0.3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spans="1:26" ht="15.75" customHeight="1" x14ac:dyDescent="0.3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spans="1:26" ht="15.75" customHeight="1" x14ac:dyDescent="0.3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spans="1:26" ht="15.75" customHeight="1" x14ac:dyDescent="0.3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spans="1:26" ht="15.75" customHeight="1" x14ac:dyDescent="0.3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spans="1:26" ht="15.75" customHeight="1" x14ac:dyDescent="0.3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spans="1:26" ht="15.75" customHeight="1" x14ac:dyDescent="0.3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spans="1:26" ht="15.75" customHeight="1" x14ac:dyDescent="0.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spans="1:26" ht="15.75" customHeight="1" x14ac:dyDescent="0.3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spans="1:26" ht="15.75" customHeight="1" x14ac:dyDescent="0.3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spans="1:26" ht="15.75" customHeight="1" x14ac:dyDescent="0.3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spans="1:26" ht="15.75" customHeight="1" x14ac:dyDescent="0.3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spans="1:26" ht="15.75" customHeight="1" x14ac:dyDescent="0.3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spans="1:26" ht="15.75" customHeight="1" x14ac:dyDescent="0.3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spans="1:26" ht="15.75" customHeight="1" x14ac:dyDescent="0.3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spans="1:26" ht="15.75" customHeight="1" x14ac:dyDescent="0.3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spans="1:26" ht="15.75" customHeight="1" x14ac:dyDescent="0.3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spans="1:26" ht="15.75" customHeight="1" x14ac:dyDescent="0.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spans="1:26" ht="15.75" customHeight="1" x14ac:dyDescent="0.3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spans="1:26" ht="15.75" customHeight="1" x14ac:dyDescent="0.3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spans="1:26" ht="15.75" customHeight="1" x14ac:dyDescent="0.3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spans="1:26" ht="15.75" customHeight="1" x14ac:dyDescent="0.3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spans="1:26" ht="15.75" customHeight="1" x14ac:dyDescent="0.3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spans="1:26" ht="15.75" customHeight="1" x14ac:dyDescent="0.3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spans="1:26" ht="15.75" customHeight="1" x14ac:dyDescent="0.3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spans="1:26" ht="15.75" customHeight="1" x14ac:dyDescent="0.3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spans="1:26" ht="15.75" customHeight="1" x14ac:dyDescent="0.3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spans="1:26" ht="15.75" customHeight="1" x14ac:dyDescent="0.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spans="1:26" ht="15.75" customHeight="1" x14ac:dyDescent="0.3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spans="1:26" ht="15.75" customHeight="1" x14ac:dyDescent="0.3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spans="1:26" ht="15.75" customHeight="1" x14ac:dyDescent="0.3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spans="1:26" ht="15.75" customHeight="1" x14ac:dyDescent="0.3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spans="1:26" ht="15.75" customHeight="1" x14ac:dyDescent="0.3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spans="1:26" ht="15.75" customHeight="1" x14ac:dyDescent="0.3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spans="1:26" ht="15.75" customHeight="1" x14ac:dyDescent="0.3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spans="1:26" ht="15.75" customHeight="1" x14ac:dyDescent="0.3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spans="1:26" ht="15.75" customHeight="1" x14ac:dyDescent="0.3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spans="1:26" ht="15.75" customHeight="1" x14ac:dyDescent="0.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spans="1:26" ht="15.75" customHeight="1" x14ac:dyDescent="0.3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spans="1:26" ht="15.75" customHeight="1" x14ac:dyDescent="0.3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spans="1:26" ht="15.75" customHeight="1" x14ac:dyDescent="0.3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spans="1:26" ht="15.75" customHeight="1" x14ac:dyDescent="0.3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spans="1:26" ht="15.75" customHeight="1" x14ac:dyDescent="0.3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spans="1:26" ht="15.75" customHeight="1" x14ac:dyDescent="0.3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spans="1:26" ht="15.75" customHeight="1" x14ac:dyDescent="0.3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spans="1:26" ht="15.75" customHeight="1" x14ac:dyDescent="0.3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spans="1:26" ht="15.75" customHeight="1" x14ac:dyDescent="0.3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spans="1:26" ht="15.75" customHeight="1" x14ac:dyDescent="0.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spans="1:26" ht="15.75" customHeight="1" x14ac:dyDescent="0.3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spans="1:26" ht="15.75" customHeight="1" x14ac:dyDescent="0.3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spans="1:26" ht="15.75" customHeight="1" x14ac:dyDescent="0.3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spans="1:26" ht="15.75" customHeight="1" x14ac:dyDescent="0.3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spans="1:26" ht="15.75" customHeight="1" x14ac:dyDescent="0.3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spans="1:26" ht="15.75" customHeight="1" x14ac:dyDescent="0.3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spans="1:26" ht="15.75" customHeight="1" x14ac:dyDescent="0.3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spans="1:26" ht="15.75" customHeight="1" x14ac:dyDescent="0.3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spans="1:26" ht="15.75" customHeight="1" x14ac:dyDescent="0.3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spans="1:26" ht="15.75" customHeight="1" x14ac:dyDescent="0.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spans="1:26" ht="15.75" customHeight="1" x14ac:dyDescent="0.3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spans="1:26" ht="15.75" customHeight="1" x14ac:dyDescent="0.3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spans="1:26" ht="15.75" customHeight="1" x14ac:dyDescent="0.3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spans="1:26" ht="15.75" customHeight="1" x14ac:dyDescent="0.3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spans="1:26" ht="15.75" customHeight="1" x14ac:dyDescent="0.3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spans="1:26" ht="15.75" customHeight="1" x14ac:dyDescent="0.3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spans="1:26" ht="15.75" customHeight="1" x14ac:dyDescent="0.3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spans="1:26" ht="15.75" customHeight="1" x14ac:dyDescent="0.3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spans="1:26" ht="15.75" customHeight="1" x14ac:dyDescent="0.3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spans="1:26" ht="15.75" customHeight="1" x14ac:dyDescent="0.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spans="1:26" ht="15.75" customHeight="1" x14ac:dyDescent="0.3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spans="1:26" ht="15.75" customHeight="1" x14ac:dyDescent="0.3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spans="1:26" ht="15.75" customHeight="1" x14ac:dyDescent="0.3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spans="1:26" ht="15.75" customHeight="1" x14ac:dyDescent="0.3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spans="1:26" ht="15.75" customHeight="1" x14ac:dyDescent="0.3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spans="1:26" ht="15.75" customHeight="1" x14ac:dyDescent="0.3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spans="1:26" ht="15.75" customHeight="1" x14ac:dyDescent="0.3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spans="1:26" ht="15.75" customHeight="1" x14ac:dyDescent="0.3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spans="1:26" ht="15.75" customHeight="1" x14ac:dyDescent="0.3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spans="1:26" ht="15.75" customHeight="1" x14ac:dyDescent="0.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spans="1:26" ht="15.75" customHeight="1" x14ac:dyDescent="0.3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spans="1:26" ht="15.75" customHeight="1" x14ac:dyDescent="0.3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spans="1:26" ht="15.75" customHeight="1" x14ac:dyDescent="0.3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spans="1:26" ht="15.75" customHeight="1" x14ac:dyDescent="0.3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spans="1:26" ht="15.75" customHeight="1" x14ac:dyDescent="0.3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spans="1:26" ht="15.75" customHeight="1" x14ac:dyDescent="0.3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spans="1:26" ht="15.75" customHeight="1" x14ac:dyDescent="0.3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spans="1:26" ht="15.75" customHeight="1" x14ac:dyDescent="0.3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spans="1:26" ht="15.75" customHeight="1" x14ac:dyDescent="0.3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spans="1:26" ht="15.75" customHeight="1" x14ac:dyDescent="0.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spans="1:26" ht="15.75" customHeight="1" x14ac:dyDescent="0.3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spans="1:26" ht="15.75" customHeight="1" x14ac:dyDescent="0.3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spans="1:26" ht="15.75" customHeight="1" x14ac:dyDescent="0.3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spans="1:26" ht="15.75" customHeight="1" x14ac:dyDescent="0.3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spans="1:26" ht="15.75" customHeight="1" x14ac:dyDescent="0.3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spans="1:26" ht="15.75" customHeight="1" x14ac:dyDescent="0.3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spans="1:26" ht="15.75" customHeight="1" x14ac:dyDescent="0.3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spans="1:26" ht="15.75" customHeight="1" x14ac:dyDescent="0.3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spans="1:26" ht="15.75" customHeight="1" x14ac:dyDescent="0.3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spans="1:26" ht="15.75" customHeight="1" x14ac:dyDescent="0.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spans="1:26" ht="15.75" customHeight="1" x14ac:dyDescent="0.3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spans="1:26" ht="15.75" customHeight="1" x14ac:dyDescent="0.3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spans="1:26" ht="15.75" customHeight="1" x14ac:dyDescent="0.3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spans="1:26" ht="15.75" customHeight="1" x14ac:dyDescent="0.3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spans="1:26" ht="15.75" customHeight="1" x14ac:dyDescent="0.3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spans="1:26" ht="15.75" customHeight="1" x14ac:dyDescent="0.3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spans="1:26" ht="15.75" customHeight="1" x14ac:dyDescent="0.3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spans="1:26" ht="15.75" customHeight="1" x14ac:dyDescent="0.3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spans="1:26" ht="15.75" customHeight="1" x14ac:dyDescent="0.3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spans="1:26" ht="15.75" customHeight="1" x14ac:dyDescent="0.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spans="1:26" ht="15.75" customHeight="1" x14ac:dyDescent="0.3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spans="1:26" ht="15.75" customHeight="1" x14ac:dyDescent="0.3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spans="1:26" ht="15.75" customHeight="1" x14ac:dyDescent="0.3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spans="1:26" ht="15.75" customHeight="1" x14ac:dyDescent="0.3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spans="1:26" ht="15.75" customHeight="1" x14ac:dyDescent="0.3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spans="1:26" ht="15.75" customHeight="1" x14ac:dyDescent="0.3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spans="1:26" ht="15.75" customHeight="1" x14ac:dyDescent="0.3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spans="1:26" ht="15.75" customHeight="1" x14ac:dyDescent="0.3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spans="1:26" ht="15.75" customHeight="1" x14ac:dyDescent="0.3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spans="1:26" ht="15.75" customHeight="1" x14ac:dyDescent="0.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spans="1:26" ht="15.75" customHeight="1" x14ac:dyDescent="0.3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spans="1:26" ht="15.75" customHeight="1" x14ac:dyDescent="0.3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spans="1:26" ht="15.75" customHeight="1" x14ac:dyDescent="0.3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spans="1:26" ht="15.75" customHeight="1" x14ac:dyDescent="0.3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spans="1:26" ht="15.75" customHeight="1" x14ac:dyDescent="0.3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spans="1:26" ht="15.75" customHeight="1" x14ac:dyDescent="0.3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spans="1:26" ht="15.75" customHeight="1" x14ac:dyDescent="0.3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spans="1:26" ht="15.75" customHeight="1" x14ac:dyDescent="0.3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spans="1:26" ht="15.75" customHeight="1" x14ac:dyDescent="0.3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spans="1:26" ht="15.75" customHeight="1" x14ac:dyDescent="0.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spans="1:26" ht="15.75" customHeight="1" x14ac:dyDescent="0.3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spans="1:26" ht="15.75" customHeight="1" x14ac:dyDescent="0.3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spans="1:26" ht="15.75" customHeight="1" x14ac:dyDescent="0.3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spans="1:26" ht="15.75" customHeight="1" x14ac:dyDescent="0.3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spans="1:26" ht="15.75" customHeight="1" x14ac:dyDescent="0.3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spans="1:26" ht="15.75" customHeight="1" x14ac:dyDescent="0.3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spans="1:26" ht="15.75" customHeight="1" x14ac:dyDescent="0.3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spans="1:26" ht="15.75" customHeight="1" x14ac:dyDescent="0.3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spans="1:26" ht="15.75" customHeight="1" x14ac:dyDescent="0.3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spans="1:26" ht="15.75" customHeight="1" x14ac:dyDescent="0.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spans="1:26" ht="15.75" customHeight="1" x14ac:dyDescent="0.3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spans="1:26" ht="15.75" customHeight="1" x14ac:dyDescent="0.3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spans="1:26" ht="15.75" customHeight="1" x14ac:dyDescent="0.3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spans="1:26" ht="15.75" customHeight="1" x14ac:dyDescent="0.3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spans="1:26" ht="15.75" customHeight="1" x14ac:dyDescent="0.3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spans="1:26" ht="15.75" customHeight="1" x14ac:dyDescent="0.3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spans="1:26" ht="15.75" customHeight="1" x14ac:dyDescent="0.3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spans="1:26" ht="15.75" customHeight="1" x14ac:dyDescent="0.3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spans="1:26" ht="15.75" customHeight="1" x14ac:dyDescent="0.3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spans="1:26" ht="15.75" customHeight="1" x14ac:dyDescent="0.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spans="1:26" ht="15.75" customHeight="1" x14ac:dyDescent="0.3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spans="1:26" ht="15.75" customHeight="1" x14ac:dyDescent="0.3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spans="1:26" ht="15.75" customHeight="1" x14ac:dyDescent="0.3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spans="1:26" ht="15.75" customHeight="1" x14ac:dyDescent="0.3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spans="1:26" ht="15.75" customHeight="1" x14ac:dyDescent="0.3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spans="1:26" ht="15.75" customHeight="1" x14ac:dyDescent="0.3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spans="1:26" ht="15.75" customHeight="1" x14ac:dyDescent="0.3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spans="1:26" ht="15.75" customHeight="1" x14ac:dyDescent="0.3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spans="1:26" ht="15.75" customHeight="1" x14ac:dyDescent="0.3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spans="1:26" ht="15.75" customHeight="1" x14ac:dyDescent="0.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spans="1:26" ht="15.75" customHeight="1" x14ac:dyDescent="0.3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spans="1:26" ht="15.75" customHeight="1" x14ac:dyDescent="0.3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spans="1:26" ht="15.75" customHeight="1" x14ac:dyDescent="0.3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spans="1:26" ht="15.75" customHeight="1" x14ac:dyDescent="0.3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spans="1:26" ht="15.75" customHeight="1" x14ac:dyDescent="0.3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spans="1:26" ht="15.75" customHeight="1" x14ac:dyDescent="0.3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spans="1:26" ht="15.75" customHeight="1" x14ac:dyDescent="0.3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spans="1:26" ht="15.75" customHeight="1" x14ac:dyDescent="0.3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spans="1:26" ht="15.75" customHeight="1" x14ac:dyDescent="0.3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spans="1:26" ht="15.75" customHeight="1" x14ac:dyDescent="0.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spans="1:26" ht="15.75" customHeight="1" x14ac:dyDescent="0.3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spans="1:26" ht="15.75" customHeight="1" x14ac:dyDescent="0.3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spans="1:26" ht="15.75" customHeight="1" x14ac:dyDescent="0.3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spans="1:26" ht="15.75" customHeight="1" x14ac:dyDescent="0.3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spans="1:26" ht="15.75" customHeight="1" x14ac:dyDescent="0.3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spans="1:26" ht="15.75" customHeight="1" x14ac:dyDescent="0.3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spans="1:26" ht="15.75" customHeight="1" x14ac:dyDescent="0.3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spans="1:26" ht="15.75" customHeight="1" x14ac:dyDescent="0.3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spans="1:26" ht="15.75" customHeight="1" x14ac:dyDescent="0.3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spans="1:26" ht="15.75" customHeight="1" x14ac:dyDescent="0.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spans="1:26" ht="15.75" customHeight="1" x14ac:dyDescent="0.3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spans="1:26" ht="15.75" customHeight="1" x14ac:dyDescent="0.3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spans="1:26" ht="15.75" customHeight="1" x14ac:dyDescent="0.3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spans="1:26" ht="15.75" customHeight="1" x14ac:dyDescent="0.3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spans="1:26" ht="15.75" customHeight="1" x14ac:dyDescent="0.3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spans="1:26" ht="15.75" customHeight="1" x14ac:dyDescent="0.3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spans="1:26" ht="15.75" customHeight="1" x14ac:dyDescent="0.3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  <row r="1001" spans="1:26" ht="15.75" customHeight="1" x14ac:dyDescent="0.3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</row>
    <row r="1002" spans="1:26" ht="15.75" customHeight="1" x14ac:dyDescent="0.3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</row>
    <row r="1003" spans="1:26" ht="15.75" customHeight="1" x14ac:dyDescent="0.3">
      <c r="A1003" s="127"/>
      <c r="B1003" s="127"/>
      <c r="C1003" s="127"/>
      <c r="D1003" s="127"/>
      <c r="E1003" s="127"/>
      <c r="F1003" s="127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</row>
    <row r="1004" spans="1:26" ht="15.75" customHeight="1" x14ac:dyDescent="0.3">
      <c r="A1004" s="127"/>
      <c r="B1004" s="127"/>
      <c r="C1004" s="127"/>
      <c r="D1004" s="127"/>
      <c r="E1004" s="127"/>
      <c r="F1004" s="127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</row>
    <row r="1005" spans="1:26" ht="15.75" customHeight="1" x14ac:dyDescent="0.3">
      <c r="A1005" s="127"/>
      <c r="B1005" s="127"/>
      <c r="C1005" s="127"/>
      <c r="D1005" s="127"/>
      <c r="E1005" s="127"/>
      <c r="F1005" s="127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</row>
    <row r="1006" spans="1:26" ht="15.75" customHeight="1" x14ac:dyDescent="0.3">
      <c r="A1006" s="127"/>
      <c r="B1006" s="127"/>
      <c r="C1006" s="127"/>
      <c r="D1006" s="127"/>
      <c r="E1006" s="127"/>
      <c r="F1006" s="127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</row>
    <row r="1007" spans="1:26" ht="15.75" customHeight="1" x14ac:dyDescent="0.3">
      <c r="A1007" s="127"/>
      <c r="B1007" s="127"/>
      <c r="C1007" s="127"/>
      <c r="D1007" s="127"/>
      <c r="E1007" s="127"/>
      <c r="F1007" s="127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</row>
    <row r="1008" spans="1:26" ht="15.75" customHeight="1" x14ac:dyDescent="0.3">
      <c r="A1008" s="127"/>
      <c r="B1008" s="127"/>
      <c r="C1008" s="127"/>
      <c r="D1008" s="127"/>
      <c r="E1008" s="127"/>
      <c r="F1008" s="127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</row>
    <row r="1009" spans="1:26" ht="15.75" customHeight="1" x14ac:dyDescent="0.3">
      <c r="A1009" s="127"/>
      <c r="B1009" s="127"/>
      <c r="C1009" s="127"/>
      <c r="D1009" s="127"/>
      <c r="E1009" s="127"/>
      <c r="F1009" s="127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</row>
  </sheetData>
  <mergeCells count="12">
    <mergeCell ref="J2:K2"/>
    <mergeCell ref="L2:M2"/>
    <mergeCell ref="A11:B11"/>
    <mergeCell ref="E11:F11"/>
    <mergeCell ref="H11:I11"/>
    <mergeCell ref="J11:K11"/>
    <mergeCell ref="L11:M11"/>
    <mergeCell ref="A29:B29"/>
    <mergeCell ref="E29:F29"/>
    <mergeCell ref="A2:B2"/>
    <mergeCell ref="E2:F2"/>
    <mergeCell ref="H2:I2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0877-1AA8-4F4F-8A2F-0AF6714DC827}">
  <dimension ref="A1:I533"/>
  <sheetViews>
    <sheetView workbookViewId="0">
      <selection activeCell="A38" sqref="A38"/>
    </sheetView>
  </sheetViews>
  <sheetFormatPr defaultRowHeight="14.4" x14ac:dyDescent="0.3"/>
  <cols>
    <col min="2" max="4" width="15.44140625" customWidth="1"/>
    <col min="5" max="6" width="15.77734375" customWidth="1"/>
    <col min="7" max="7" width="16.44140625" customWidth="1"/>
    <col min="8" max="8" width="22.21875" bestFit="1" customWidth="1"/>
  </cols>
  <sheetData>
    <row r="1" spans="1:9" x14ac:dyDescent="0.3">
      <c r="A1" s="6"/>
      <c r="B1" s="142">
        <v>45474</v>
      </c>
      <c r="C1" s="142">
        <v>44559</v>
      </c>
      <c r="D1" s="142">
        <v>36523</v>
      </c>
      <c r="E1" s="143">
        <f>((B1-C1)+(C1-D1))/2</f>
        <v>4475.5</v>
      </c>
      <c r="F1" s="6"/>
      <c r="G1" s="6" t="s">
        <v>146</v>
      </c>
      <c r="H1" s="6" t="s">
        <v>273</v>
      </c>
      <c r="I1" s="6"/>
    </row>
    <row r="2" spans="1:9" x14ac:dyDescent="0.3">
      <c r="A2" s="6" t="s">
        <v>272</v>
      </c>
      <c r="B2" s="142" t="s">
        <v>274</v>
      </c>
      <c r="C2" s="142" t="s">
        <v>275</v>
      </c>
      <c r="D2" s="142" t="s">
        <v>276</v>
      </c>
      <c r="E2" s="143" t="s">
        <v>277</v>
      </c>
      <c r="F2" s="142" t="s">
        <v>278</v>
      </c>
      <c r="G2" s="142" t="s">
        <v>146</v>
      </c>
      <c r="H2" s="142" t="s">
        <v>279</v>
      </c>
      <c r="I2" s="6"/>
    </row>
    <row r="3" spans="1:9" x14ac:dyDescent="0.3">
      <c r="A3" s="143">
        <v>-29.98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143">
        <v>-28</v>
      </c>
      <c r="B4" s="6"/>
      <c r="C4" s="6"/>
      <c r="D4" s="6"/>
      <c r="E4" s="6"/>
      <c r="F4" s="6"/>
      <c r="G4" s="6"/>
      <c r="H4" s="6"/>
      <c r="I4" s="6"/>
    </row>
    <row r="5" spans="1:9" x14ac:dyDescent="0.3">
      <c r="A5" s="143">
        <v>-27</v>
      </c>
      <c r="B5" s="6"/>
      <c r="C5" s="6"/>
      <c r="D5" s="6"/>
      <c r="E5" s="6"/>
      <c r="F5" s="6"/>
      <c r="G5" s="6"/>
      <c r="H5" s="6"/>
      <c r="I5" s="6"/>
    </row>
    <row r="6" spans="1:9" x14ac:dyDescent="0.3">
      <c r="A6" s="143">
        <v>-26</v>
      </c>
      <c r="B6" s="6"/>
      <c r="C6" s="6"/>
      <c r="D6" s="6"/>
      <c r="E6" s="6"/>
      <c r="F6" s="6"/>
      <c r="G6" s="6"/>
      <c r="H6" s="6"/>
      <c r="I6" s="6"/>
    </row>
    <row r="7" spans="1:9" x14ac:dyDescent="0.3">
      <c r="A7" s="143">
        <v>-25</v>
      </c>
      <c r="B7" s="6"/>
      <c r="C7" s="6"/>
      <c r="D7" s="6"/>
      <c r="E7" s="6"/>
      <c r="F7" s="6"/>
      <c r="G7" s="6"/>
      <c r="H7" s="6"/>
      <c r="I7" s="6"/>
    </row>
    <row r="8" spans="1:9" x14ac:dyDescent="0.3">
      <c r="A8" s="143">
        <v>-24</v>
      </c>
      <c r="B8" s="6"/>
      <c r="C8" s="6"/>
      <c r="D8" s="6"/>
      <c r="E8" s="6"/>
      <c r="F8" s="6"/>
      <c r="G8" s="6"/>
      <c r="H8" s="6"/>
      <c r="I8" s="6"/>
    </row>
    <row r="9" spans="1:9" x14ac:dyDescent="0.3">
      <c r="A9" s="143">
        <v>-23</v>
      </c>
      <c r="B9" s="6"/>
      <c r="C9" s="6"/>
      <c r="D9" s="6"/>
      <c r="E9" s="6"/>
      <c r="F9" s="6"/>
      <c r="G9" s="6"/>
      <c r="H9" s="6"/>
      <c r="I9" s="6"/>
    </row>
    <row r="10" spans="1:9" x14ac:dyDescent="0.3">
      <c r="A10" s="143">
        <v>-22</v>
      </c>
      <c r="B10" s="6"/>
      <c r="C10" s="6"/>
      <c r="D10" s="6"/>
      <c r="E10" s="6"/>
      <c r="F10" s="6"/>
      <c r="G10" s="6"/>
      <c r="H10" s="6"/>
      <c r="I10" s="6"/>
    </row>
    <row r="11" spans="1:9" x14ac:dyDescent="0.3">
      <c r="A11" s="143">
        <v>-21</v>
      </c>
      <c r="B11" s="6"/>
      <c r="C11" s="6"/>
      <c r="D11" s="6"/>
      <c r="E11" s="6"/>
      <c r="F11" s="6"/>
      <c r="G11" s="6"/>
      <c r="H11" s="6"/>
      <c r="I11" s="6"/>
    </row>
    <row r="12" spans="1:9" x14ac:dyDescent="0.3">
      <c r="A12" s="143">
        <v>-20</v>
      </c>
      <c r="B12" s="6"/>
      <c r="C12" s="6"/>
      <c r="D12" s="6"/>
      <c r="E12" s="6"/>
      <c r="F12" s="6"/>
      <c r="G12" s="6"/>
      <c r="H12" s="6"/>
      <c r="I12" s="6"/>
    </row>
    <row r="13" spans="1:9" x14ac:dyDescent="0.3">
      <c r="A13" s="143">
        <v>-19</v>
      </c>
      <c r="B13" s="6"/>
      <c r="C13" s="6"/>
      <c r="D13" s="6"/>
      <c r="E13" s="6"/>
      <c r="F13" s="6"/>
      <c r="G13" s="6"/>
      <c r="H13" s="6"/>
      <c r="I13" s="6"/>
    </row>
    <row r="14" spans="1:9" x14ac:dyDescent="0.3">
      <c r="A14" s="143">
        <v>-18</v>
      </c>
      <c r="B14" s="6"/>
      <c r="C14" s="6"/>
      <c r="D14" s="6"/>
      <c r="E14" s="6"/>
      <c r="F14" s="6"/>
      <c r="G14" s="6"/>
      <c r="H14" s="6"/>
      <c r="I14" s="6"/>
    </row>
    <row r="15" spans="1:9" x14ac:dyDescent="0.3">
      <c r="A15" s="143">
        <v>-17</v>
      </c>
      <c r="B15" s="6"/>
      <c r="C15" s="6"/>
      <c r="D15" s="6"/>
      <c r="E15" s="6"/>
      <c r="F15" s="6"/>
      <c r="G15" s="6"/>
      <c r="H15" s="6"/>
      <c r="I15" s="6"/>
    </row>
    <row r="16" spans="1:9" x14ac:dyDescent="0.3">
      <c r="A16" s="143">
        <v>-16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143">
        <v>-15</v>
      </c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143">
        <v>-14</v>
      </c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143">
        <v>-13</v>
      </c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143">
        <v>-12</v>
      </c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143">
        <v>-11</v>
      </c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143">
        <v>-10</v>
      </c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143">
        <v>-9</v>
      </c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143">
        <v>-8</v>
      </c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143">
        <v>-7</v>
      </c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143">
        <v>-6</v>
      </c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143">
        <v>-5</v>
      </c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143">
        <v>-4</v>
      </c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143">
        <v>-3</v>
      </c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143">
        <v>-2</v>
      </c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143">
        <v>-1</v>
      </c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143">
        <v>0</v>
      </c>
      <c r="B32" s="143">
        <v>99.969313</v>
      </c>
      <c r="C32" s="143">
        <f t="shared" ref="C32:C286" si="0">99.97775*(1+0.00398405*A32-5.865*0.0000001*A32^2)</f>
        <v>99.97775</v>
      </c>
      <c r="D32" s="143">
        <v>99.998000000000005</v>
      </c>
      <c r="E32" s="143">
        <f t="shared" ref="E32:F47" si="1">ABS(B32-C32)/(B$1-C$1)</f>
        <v>9.2207650273231627E-6</v>
      </c>
      <c r="F32" s="143">
        <f t="shared" si="1"/>
        <v>2.5199104031862019E-6</v>
      </c>
      <c r="G32" s="143">
        <f t="shared" ref="G32" si="2">(E32+F32)/2*E$1</f>
        <v>2.627269644462233E-2</v>
      </c>
      <c r="H32" s="340">
        <f>1/0.3981445</f>
        <v>2.5116509207084361</v>
      </c>
      <c r="I32" s="143">
        <f>G32*H32</f>
        <v>6.5987842214628931E-2</v>
      </c>
    </row>
    <row r="33" spans="1:9" x14ac:dyDescent="0.3">
      <c r="A33" s="143">
        <v>1</v>
      </c>
      <c r="B33" s="143">
        <v>100.3674</v>
      </c>
      <c r="C33" s="143">
        <f t="shared" si="0"/>
        <v>100.37600771793713</v>
      </c>
      <c r="D33" s="143">
        <v>100.39700000000001</v>
      </c>
      <c r="E33" s="143">
        <f t="shared" si="1"/>
        <v>9.407342007786283E-6</v>
      </c>
      <c r="F33" s="143">
        <f t="shared" si="1"/>
        <v>2.612279997869291E-6</v>
      </c>
      <c r="G33" s="143">
        <f>(E33+F33)/2*E$1</f>
        <v>2.6896909143155762E-2</v>
      </c>
      <c r="H33" s="143">
        <f>1/0.3980275</f>
        <v>2.5123892193378601</v>
      </c>
      <c r="I33" s="6"/>
    </row>
    <row r="34" spans="1:9" x14ac:dyDescent="0.3">
      <c r="A34" s="143">
        <v>2</v>
      </c>
      <c r="B34" s="6"/>
      <c r="C34" s="143">
        <f t="shared" si="0"/>
        <v>100.7741481619735</v>
      </c>
      <c r="D34" s="6"/>
      <c r="E34" s="143">
        <f t="shared" si="1"/>
        <v>0.11013568105133716</v>
      </c>
      <c r="F34" s="143">
        <f t="shared" si="1"/>
        <v>1.2540337003729902E-2</v>
      </c>
      <c r="G34" s="6"/>
      <c r="H34" s="6"/>
      <c r="I34" s="6"/>
    </row>
    <row r="35" spans="1:9" x14ac:dyDescent="0.3">
      <c r="A35" s="143">
        <v>3</v>
      </c>
      <c r="B35" s="6"/>
      <c r="C35" s="143">
        <f t="shared" si="0"/>
        <v>101.17217133210912</v>
      </c>
      <c r="D35" s="6"/>
      <c r="E35" s="143">
        <f t="shared" si="1"/>
        <v>0.11057067905148538</v>
      </c>
      <c r="F35" s="143">
        <f t="shared" si="1"/>
        <v>1.258986701494638E-2</v>
      </c>
      <c r="G35" s="6"/>
      <c r="H35" s="6"/>
      <c r="I35" s="6"/>
    </row>
    <row r="36" spans="1:9" x14ac:dyDescent="0.3">
      <c r="A36" s="143">
        <v>4</v>
      </c>
      <c r="B36" s="6"/>
      <c r="C36" s="143">
        <f t="shared" si="0"/>
        <v>101.57007722834402</v>
      </c>
      <c r="D36" s="6"/>
      <c r="E36" s="143">
        <f t="shared" si="1"/>
        <v>0.11100554888343608</v>
      </c>
      <c r="F36" s="143">
        <f t="shared" si="1"/>
        <v>1.2639382432596319E-2</v>
      </c>
      <c r="G36" s="6"/>
      <c r="H36" s="6"/>
      <c r="I36" s="6"/>
    </row>
    <row r="37" spans="1:9" x14ac:dyDescent="0.3">
      <c r="A37" s="143">
        <v>5</v>
      </c>
      <c r="B37" s="6"/>
      <c r="C37" s="143">
        <f t="shared" si="0"/>
        <v>101.96786585067812</v>
      </c>
      <c r="D37" s="6"/>
      <c r="E37" s="143">
        <f t="shared" si="1"/>
        <v>0.11144029054718921</v>
      </c>
      <c r="F37" s="143">
        <f t="shared" si="1"/>
        <v>1.2688883256679707E-2</v>
      </c>
      <c r="G37" s="6"/>
      <c r="H37" s="6"/>
      <c r="I37" s="6"/>
    </row>
    <row r="38" spans="1:9" x14ac:dyDescent="0.3">
      <c r="A38" s="143">
        <v>6</v>
      </c>
      <c r="B38" s="6"/>
      <c r="C38" s="143">
        <f t="shared" si="0"/>
        <v>102.36553719911151</v>
      </c>
      <c r="D38" s="6"/>
      <c r="E38" s="143">
        <f t="shared" si="1"/>
        <v>0.11187490404274482</v>
      </c>
      <c r="F38" s="143">
        <f t="shared" si="1"/>
        <v>1.2738369487196555E-2</v>
      </c>
      <c r="G38" s="6"/>
      <c r="H38" s="6"/>
      <c r="I38" s="6"/>
    </row>
    <row r="39" spans="1:9" x14ac:dyDescent="0.3">
      <c r="A39" s="143">
        <v>7</v>
      </c>
      <c r="B39" s="6"/>
      <c r="C39" s="143">
        <f t="shared" si="0"/>
        <v>102.76309127364414</v>
      </c>
      <c r="D39" s="6"/>
      <c r="E39" s="143">
        <f t="shared" si="1"/>
        <v>0.11230938937010287</v>
      </c>
      <c r="F39" s="143">
        <f t="shared" si="1"/>
        <v>1.2787841124146855E-2</v>
      </c>
      <c r="G39" s="6"/>
      <c r="H39" s="6"/>
      <c r="I39" s="6"/>
    </row>
    <row r="40" spans="1:9" x14ac:dyDescent="0.3">
      <c r="A40" s="143">
        <v>8</v>
      </c>
      <c r="B40" s="6"/>
      <c r="C40" s="143">
        <f t="shared" si="0"/>
        <v>103.16052807427599</v>
      </c>
      <c r="D40" s="6"/>
      <c r="E40" s="143">
        <f t="shared" si="1"/>
        <v>0.11274374652926338</v>
      </c>
      <c r="F40" s="143">
        <f t="shared" si="1"/>
        <v>1.2837298167530611E-2</v>
      </c>
      <c r="G40" s="6"/>
      <c r="H40" s="6"/>
      <c r="I40" s="6"/>
    </row>
    <row r="41" spans="1:9" x14ac:dyDescent="0.3">
      <c r="A41" s="143">
        <v>9</v>
      </c>
      <c r="B41" s="6"/>
      <c r="C41" s="143">
        <f t="shared" si="0"/>
        <v>103.55784760100713</v>
      </c>
      <c r="D41" s="6"/>
      <c r="E41" s="143">
        <f t="shared" si="1"/>
        <v>0.11317797552022636</v>
      </c>
      <c r="F41" s="143">
        <f t="shared" si="1"/>
        <v>1.2886740617347826E-2</v>
      </c>
      <c r="G41" s="6"/>
      <c r="H41" s="6"/>
      <c r="I41" s="6"/>
    </row>
    <row r="42" spans="1:9" x14ac:dyDescent="0.3">
      <c r="A42" s="143">
        <v>10</v>
      </c>
      <c r="B42" s="6">
        <v>103.94490999999999</v>
      </c>
      <c r="C42" s="143">
        <f t="shared" si="0"/>
        <v>103.95504985383751</v>
      </c>
      <c r="D42" s="6">
        <v>103.979</v>
      </c>
      <c r="E42" s="143">
        <f t="shared" si="1"/>
        <v>1.1081807472694026E-5</v>
      </c>
      <c r="F42" s="143">
        <f t="shared" si="1"/>
        <v>2.9803566653174634E-6</v>
      </c>
      <c r="G42" s="143">
        <f t="shared" ref="G42:G50" si="3">(E42+F42)/2*E$1</f>
        <v>3.1467607799835214E-2</v>
      </c>
      <c r="H42" s="6">
        <f>1/0.3969746</f>
        <v>2.5190528562784622</v>
      </c>
      <c r="I42" s="6"/>
    </row>
    <row r="43" spans="1:9" x14ac:dyDescent="0.3">
      <c r="A43" s="143">
        <v>11</v>
      </c>
      <c r="B43" s="6">
        <v>104.34182</v>
      </c>
      <c r="C43" s="143">
        <f t="shared" si="0"/>
        <v>104.35213483276713</v>
      </c>
      <c r="D43" s="6">
        <v>104.377</v>
      </c>
      <c r="E43" s="143">
        <f t="shared" si="1"/>
        <v>1.1273041275558792E-5</v>
      </c>
      <c r="F43" s="143">
        <f t="shared" si="1"/>
        <v>3.0942219055326763E-6</v>
      </c>
      <c r="G43" s="143">
        <f>(E43+F43)/2*E$1</f>
        <v>3.2150343183487438E-2</v>
      </c>
      <c r="H43" s="6">
        <f>1/0.3968576</f>
        <v>2.5197955135544841</v>
      </c>
      <c r="I43" s="6"/>
    </row>
    <row r="44" spans="1:9" x14ac:dyDescent="0.3">
      <c r="A44" s="143">
        <v>12</v>
      </c>
      <c r="B44" s="6"/>
      <c r="C44" s="143">
        <f t="shared" si="0"/>
        <v>104.74910253779601</v>
      </c>
      <c r="D44" s="6"/>
      <c r="E44" s="143">
        <f t="shared" si="1"/>
        <v>0.11447989348393006</v>
      </c>
      <c r="F44" s="143">
        <f t="shared" si="1"/>
        <v>1.3034980405400199E-2</v>
      </c>
      <c r="G44" s="143"/>
      <c r="H44" s="6"/>
      <c r="I44" s="6"/>
    </row>
    <row r="45" spans="1:9" x14ac:dyDescent="0.3">
      <c r="A45" s="143">
        <v>13</v>
      </c>
      <c r="B45" s="6"/>
      <c r="C45" s="143">
        <f t="shared" si="0"/>
        <v>105.14595296892412</v>
      </c>
      <c r="D45" s="6"/>
      <c r="E45" s="143">
        <f t="shared" si="1"/>
        <v>0.11491360980210287</v>
      </c>
      <c r="F45" s="143">
        <f t="shared" si="1"/>
        <v>1.3084364480951235E-2</v>
      </c>
      <c r="G45" s="143"/>
      <c r="H45" s="6"/>
      <c r="I45" s="6"/>
    </row>
    <row r="46" spans="1:9" x14ac:dyDescent="0.3">
      <c r="A46" s="143">
        <v>14</v>
      </c>
      <c r="B46" s="6"/>
      <c r="C46" s="143">
        <f t="shared" si="0"/>
        <v>105.54268612615149</v>
      </c>
      <c r="D46" s="6"/>
      <c r="E46" s="143">
        <f t="shared" si="1"/>
        <v>0.11534719795207814</v>
      </c>
      <c r="F46" s="143">
        <f t="shared" si="1"/>
        <v>1.3133733962935726E-2</v>
      </c>
      <c r="G46" s="143"/>
      <c r="H46" s="6"/>
      <c r="I46" s="6"/>
    </row>
    <row r="47" spans="1:9" x14ac:dyDescent="0.3">
      <c r="A47" s="143">
        <v>15</v>
      </c>
      <c r="B47" s="6"/>
      <c r="C47" s="143">
        <f t="shared" si="0"/>
        <v>105.93930200947811</v>
      </c>
      <c r="D47" s="6"/>
      <c r="E47" s="143">
        <f t="shared" si="1"/>
        <v>0.11578065793385586</v>
      </c>
      <c r="F47" s="143">
        <f t="shared" si="1"/>
        <v>1.3183088851353672E-2</v>
      </c>
      <c r="G47" s="143"/>
      <c r="H47" s="6"/>
      <c r="I47" s="6"/>
    </row>
    <row r="48" spans="1:9" x14ac:dyDescent="0.3">
      <c r="A48" s="143">
        <v>16</v>
      </c>
      <c r="B48" s="6"/>
      <c r="C48" s="143">
        <f t="shared" si="0"/>
        <v>106.335800618904</v>
      </c>
      <c r="D48" s="6"/>
      <c r="E48" s="143">
        <f t="shared" ref="E48:F63" si="4">ABS(B48-C48)/(B$1-C$1)</f>
        <v>0.11621398974743608</v>
      </c>
      <c r="F48" s="143">
        <f t="shared" si="4"/>
        <v>1.3232429146205078E-2</v>
      </c>
      <c r="G48" s="143"/>
      <c r="H48" s="6"/>
      <c r="I48" s="6"/>
    </row>
    <row r="49" spans="1:9" x14ac:dyDescent="0.3">
      <c r="A49" s="143">
        <v>17</v>
      </c>
      <c r="B49" s="6">
        <v>106.72086</v>
      </c>
      <c r="C49" s="143">
        <f t="shared" si="0"/>
        <v>106.73218195442912</v>
      </c>
      <c r="D49" s="6">
        <v>106.753</v>
      </c>
      <c r="E49" s="143">
        <f t="shared" si="4"/>
        <v>1.2373720687564159E-5</v>
      </c>
      <c r="F49" s="143">
        <f t="shared" si="4"/>
        <v>2.5905980053356242E-6</v>
      </c>
      <c r="G49" s="143">
        <f t="shared" si="3"/>
        <v>3.3486404155036495E-2</v>
      </c>
      <c r="H49" s="6"/>
      <c r="I49" s="6"/>
    </row>
    <row r="50" spans="1:9" x14ac:dyDescent="0.3">
      <c r="A50" s="143">
        <v>18</v>
      </c>
      <c r="B50" s="6">
        <v>107.11896</v>
      </c>
      <c r="C50" s="143">
        <f t="shared" si="0"/>
        <v>107.1284460160535</v>
      </c>
      <c r="D50" s="6">
        <v>107.155</v>
      </c>
      <c r="E50" s="143">
        <f t="shared" si="4"/>
        <v>1.0367230659563534E-5</v>
      </c>
      <c r="F50" s="143">
        <f t="shared" si="4"/>
        <v>3.304378291002889E-6</v>
      </c>
      <c r="G50" s="143">
        <f t="shared" si="3"/>
        <v>3.0593642929130013E-2</v>
      </c>
      <c r="H50" s="6"/>
      <c r="I50" s="6"/>
    </row>
    <row r="51" spans="1:9" x14ac:dyDescent="0.3">
      <c r="A51" s="143">
        <v>19</v>
      </c>
      <c r="B51" s="143">
        <v>107.51294</v>
      </c>
      <c r="C51" s="143">
        <f t="shared" si="0"/>
        <v>107.52459280377714</v>
      </c>
      <c r="D51" s="143">
        <v>107.55200000000001</v>
      </c>
      <c r="E51" s="143">
        <f t="shared" si="4"/>
        <v>1.2735304674468681E-5</v>
      </c>
      <c r="F51" s="143">
        <f t="shared" si="4"/>
        <v>3.4105520436619548E-6</v>
      </c>
      <c r="G51" s="143">
        <f t="shared" ref="G51:G305" si="5">(E51+F51)/2*E$1</f>
        <v>3.6130390870996835E-2</v>
      </c>
      <c r="H51" s="143">
        <f>1/0.3959217</f>
        <v>2.5257519352942768</v>
      </c>
      <c r="I51" s="6"/>
    </row>
    <row r="52" spans="1:9" x14ac:dyDescent="0.3">
      <c r="A52" s="143">
        <v>20</v>
      </c>
      <c r="B52" s="143">
        <v>107.9088</v>
      </c>
      <c r="C52" s="143">
        <f t="shared" si="0"/>
        <v>107.92062231759999</v>
      </c>
      <c r="D52" s="143">
        <v>107.94799999999999</v>
      </c>
      <c r="E52" s="143">
        <f t="shared" si="4"/>
        <v>1.2920565683052428E-5</v>
      </c>
      <c r="F52" s="143">
        <f t="shared" si="4"/>
        <v>3.4068793429568111E-6</v>
      </c>
      <c r="G52" s="143">
        <f t="shared" si="5"/>
        <v>3.6536740106952174E-2</v>
      </c>
      <c r="H52" s="143">
        <f>1/0.3958047</f>
        <v>2.5264985484002591</v>
      </c>
      <c r="I52" s="6"/>
    </row>
    <row r="53" spans="1:9" x14ac:dyDescent="0.3">
      <c r="A53" s="143">
        <v>21</v>
      </c>
      <c r="B53" s="6">
        <v>108.30455000000001</v>
      </c>
      <c r="C53" s="143">
        <f t="shared" si="0"/>
        <v>108.31653455752212</v>
      </c>
      <c r="D53" s="6">
        <v>108.34399999999999</v>
      </c>
      <c r="E53" s="143">
        <f t="shared" si="4"/>
        <v>1.3097877073346478E-5</v>
      </c>
      <c r="F53" s="143">
        <f t="shared" si="4"/>
        <v>3.4178002087949189E-6</v>
      </c>
      <c r="G53" s="143">
        <f t="shared" si="5"/>
        <v>3.6957956838111906E-2</v>
      </c>
      <c r="H53" s="6">
        <f>1/0.3956877</f>
        <v>2.5272456030349191</v>
      </c>
      <c r="I53" s="6"/>
    </row>
    <row r="54" spans="1:9" x14ac:dyDescent="0.3">
      <c r="A54" s="143">
        <v>22</v>
      </c>
      <c r="B54" s="6">
        <v>108.70018</v>
      </c>
      <c r="C54" s="143">
        <f t="shared" si="0"/>
        <v>108.7123295235435</v>
      </c>
      <c r="D54" s="6">
        <v>108.741</v>
      </c>
      <c r="E54" s="143">
        <f t="shared" si="4"/>
        <v>1.3278167807102936E-5</v>
      </c>
      <c r="F54" s="143">
        <f t="shared" si="4"/>
        <v>3.5677546610872746E-6</v>
      </c>
      <c r="G54" s="143">
        <f t="shared" si="5"/>
        <v>3.7696963003192648E-2</v>
      </c>
      <c r="H54" s="6">
        <f>1/0.3955707</f>
        <v>2.5279930995900353</v>
      </c>
      <c r="I54" s="6"/>
    </row>
    <row r="55" spans="1:9" x14ac:dyDescent="0.3">
      <c r="A55" s="143">
        <v>23</v>
      </c>
      <c r="B55" s="6">
        <v>109.09569</v>
      </c>
      <c r="C55" s="143">
        <f t="shared" si="0"/>
        <v>109.10800721566412</v>
      </c>
      <c r="D55" s="6">
        <v>109.137</v>
      </c>
      <c r="E55" s="143">
        <f t="shared" si="4"/>
        <v>1.3461437884275206E-5</v>
      </c>
      <c r="F55" s="143">
        <f t="shared" si="4"/>
        <v>3.6078626600154214E-6</v>
      </c>
      <c r="G55" s="143">
        <f t="shared" si="5"/>
        <v>3.8196827292986353E-2</v>
      </c>
      <c r="H55" s="6">
        <f>1/0.3954531</f>
        <v>2.5287448751824173</v>
      </c>
      <c r="I55" s="6"/>
    </row>
    <row r="56" spans="1:9" x14ac:dyDescent="0.3">
      <c r="A56" s="143">
        <v>24</v>
      </c>
      <c r="B56" s="6">
        <v>109.49109</v>
      </c>
      <c r="C56" s="143">
        <f t="shared" si="0"/>
        <v>109.50356763388399</v>
      </c>
      <c r="D56" s="6">
        <v>109.532</v>
      </c>
      <c r="E56" s="143">
        <f t="shared" si="4"/>
        <v>1.3636758343157782E-5</v>
      </c>
      <c r="F56" s="143">
        <f t="shared" si="4"/>
        <v>3.5381242055758216E-6</v>
      </c>
      <c r="G56" s="143">
        <f t="shared" si="5"/>
        <v>3.843309342342862E-2</v>
      </c>
      <c r="H56" s="143">
        <f>1/0.3953367</f>
        <v>2.5294894200310774</v>
      </c>
      <c r="I56" s="6"/>
    </row>
    <row r="57" spans="1:9" x14ac:dyDescent="0.3">
      <c r="A57" s="143">
        <v>25</v>
      </c>
      <c r="B57" s="143">
        <v>109.88636</v>
      </c>
      <c r="C57" s="143">
        <f t="shared" si="0"/>
        <v>109.89901077820313</v>
      </c>
      <c r="D57" s="143">
        <v>109.928</v>
      </c>
      <c r="E57" s="143">
        <f t="shared" si="4"/>
        <v>1.3825987107254866E-5</v>
      </c>
      <c r="F57" s="143">
        <f t="shared" si="4"/>
        <v>3.6074193375887016E-6</v>
      </c>
      <c r="G57" s="143">
        <f t="shared" si="5"/>
        <v>3.9011605271948697E-2</v>
      </c>
      <c r="H57" s="143">
        <f>1/0.3952197</f>
        <v>2.5302382447028831</v>
      </c>
      <c r="I57" s="6"/>
    </row>
    <row r="58" spans="1:9" x14ac:dyDescent="0.3">
      <c r="A58" s="143">
        <v>26</v>
      </c>
      <c r="B58" s="143">
        <v>110.28153</v>
      </c>
      <c r="C58" s="143">
        <f t="shared" si="0"/>
        <v>110.2943366486215</v>
      </c>
      <c r="D58" s="143">
        <v>110.324</v>
      </c>
      <c r="E58" s="143">
        <f t="shared" si="4"/>
        <v>1.3996337291248028E-5</v>
      </c>
      <c r="F58" s="143">
        <f t="shared" si="4"/>
        <v>3.6913080361501383E-6</v>
      </c>
      <c r="G58" s="143">
        <f t="shared" si="5"/>
        <v>3.9580528331385249E-2</v>
      </c>
      <c r="H58" s="143">
        <f>1/0.3951027</f>
        <v>2.5309875128669082</v>
      </c>
      <c r="I58" s="6"/>
    </row>
    <row r="59" spans="1:9" x14ac:dyDescent="0.3">
      <c r="A59" s="143">
        <v>27</v>
      </c>
      <c r="B59" s="6"/>
      <c r="C59" s="143">
        <f t="shared" si="0"/>
        <v>110.68954524513912</v>
      </c>
      <c r="D59" s="6"/>
      <c r="E59" s="143">
        <f t="shared" si="4"/>
        <v>0.12097218059578045</v>
      </c>
      <c r="F59" s="143">
        <f t="shared" si="4"/>
        <v>1.3774209214178585E-2</v>
      </c>
      <c r="G59" s="143">
        <f t="shared" si="5"/>
        <v>301.52873379723582</v>
      </c>
      <c r="H59" s="6"/>
      <c r="I59" s="6"/>
    </row>
    <row r="60" spans="1:9" x14ac:dyDescent="0.3">
      <c r="A60" s="143">
        <v>28</v>
      </c>
      <c r="B60" s="6"/>
      <c r="C60" s="143">
        <f t="shared" si="0"/>
        <v>111.08463656775601</v>
      </c>
      <c r="D60" s="6"/>
      <c r="E60" s="143">
        <f t="shared" si="4"/>
        <v>0.12140397439099017</v>
      </c>
      <c r="F60" s="143">
        <f t="shared" si="4"/>
        <v>1.3823374386231459E-2</v>
      </c>
      <c r="G60" s="143">
        <f t="shared" si="5"/>
        <v>302.60499972622767</v>
      </c>
      <c r="H60" s="6"/>
      <c r="I60" s="6"/>
    </row>
    <row r="61" spans="1:9" x14ac:dyDescent="0.3">
      <c r="A61" s="143">
        <v>29</v>
      </c>
      <c r="B61" s="6"/>
      <c r="C61" s="143">
        <f t="shared" si="0"/>
        <v>111.47961061647212</v>
      </c>
      <c r="D61" s="6"/>
      <c r="E61" s="143">
        <f t="shared" si="4"/>
        <v>0.12183564001800232</v>
      </c>
      <c r="F61" s="143">
        <f t="shared" si="4"/>
        <v>1.3872524964717784E-2</v>
      </c>
      <c r="G61" s="143">
        <f t="shared" si="5"/>
        <v>303.6809461900819</v>
      </c>
      <c r="H61" s="6"/>
      <c r="I61" s="6"/>
    </row>
    <row r="62" spans="1:9" x14ac:dyDescent="0.3">
      <c r="A62" s="143">
        <v>30</v>
      </c>
      <c r="B62" s="6">
        <v>111.861</v>
      </c>
      <c r="C62" s="143">
        <f t="shared" si="0"/>
        <v>111.8744673912875</v>
      </c>
      <c r="D62" s="6">
        <v>111.905</v>
      </c>
      <c r="E62" s="143">
        <f t="shared" si="4"/>
        <v>1.4718460423488127E-5</v>
      </c>
      <c r="F62" s="143">
        <f t="shared" si="4"/>
        <v>3.7994784361007083E-6</v>
      </c>
      <c r="G62" s="143">
        <f t="shared" si="5"/>
        <v>4.143851768304492E-2</v>
      </c>
      <c r="H62" s="143">
        <f>1/0.3946348</f>
        <v>2.5339883862244283</v>
      </c>
      <c r="I62" s="6"/>
    </row>
    <row r="63" spans="1:9" x14ac:dyDescent="0.3">
      <c r="A63" s="143">
        <v>31</v>
      </c>
      <c r="B63" s="143">
        <v>112.25557999999999</v>
      </c>
      <c r="C63" s="143">
        <f t="shared" si="0"/>
        <v>112.26920689220212</v>
      </c>
      <c r="D63" s="143">
        <v>112.3</v>
      </c>
      <c r="E63" s="143">
        <f t="shared" si="4"/>
        <v>1.4892778362979096E-5</v>
      </c>
      <c r="F63" s="143">
        <f t="shared" si="4"/>
        <v>3.8318949474709402E-6</v>
      </c>
      <c r="G63" s="143">
        <f t="shared" si="5"/>
        <v>4.190113770045957E-2</v>
      </c>
      <c r="H63" s="143">
        <f>1/0.3945178</f>
        <v>2.5347398773895629</v>
      </c>
      <c r="I63" s="6"/>
    </row>
    <row r="64" spans="1:9" x14ac:dyDescent="0.3">
      <c r="A64" s="143">
        <v>32</v>
      </c>
      <c r="B64" s="143">
        <v>112.65004</v>
      </c>
      <c r="C64" s="143">
        <f t="shared" si="0"/>
        <v>112.663829119216</v>
      </c>
      <c r="D64" s="143">
        <v>112.69499999999999</v>
      </c>
      <c r="E64" s="143">
        <f t="shared" ref="E64:F79" si="6">ABS(B64-C64)/(B$1-C$1)</f>
        <v>1.5070075645901409E-5</v>
      </c>
      <c r="F64" s="143">
        <f t="shared" si="6"/>
        <v>3.8789050253844227E-6</v>
      </c>
      <c r="G64" s="143">
        <f t="shared" si="5"/>
        <v>4.240308149716987E-2</v>
      </c>
      <c r="H64" s="143">
        <f>1/0.3944008</f>
        <v>2.5354918144182266</v>
      </c>
      <c r="I64" s="6"/>
    </row>
    <row r="65" spans="1:9" x14ac:dyDescent="0.3">
      <c r="A65" s="143">
        <v>33</v>
      </c>
      <c r="B65" s="6"/>
      <c r="C65" s="143">
        <f t="shared" si="0"/>
        <v>113.05833407232913</v>
      </c>
      <c r="D65" s="6"/>
      <c r="E65" s="143">
        <f t="shared" si="6"/>
        <v>0.12356102084407555</v>
      </c>
      <c r="F65" s="143">
        <f t="shared" si="6"/>
        <v>1.4068981342997652E-2</v>
      </c>
      <c r="G65" s="143">
        <f t="shared" si="5"/>
        <v>307.98153739412311</v>
      </c>
      <c r="H65" s="6"/>
      <c r="I65" s="6"/>
    </row>
    <row r="66" spans="1:9" x14ac:dyDescent="0.3">
      <c r="A66" s="143">
        <v>34</v>
      </c>
      <c r="B66" s="6"/>
      <c r="C66" s="143">
        <f t="shared" si="0"/>
        <v>113.4527217515415</v>
      </c>
      <c r="D66" s="6"/>
      <c r="E66" s="143">
        <f t="shared" si="6"/>
        <v>0.12399204563010001</v>
      </c>
      <c r="F66" s="143">
        <f t="shared" si="6"/>
        <v>1.4118058953651258E-2</v>
      </c>
      <c r="G66" s="143">
        <f t="shared" si="5"/>
        <v>309.05588653228943</v>
      </c>
      <c r="H66" s="6"/>
      <c r="I66" s="6"/>
    </row>
    <row r="67" spans="1:9" x14ac:dyDescent="0.3">
      <c r="A67" s="143">
        <v>35</v>
      </c>
      <c r="B67" s="6"/>
      <c r="C67" s="143">
        <f t="shared" si="0"/>
        <v>113.84699215685312</v>
      </c>
      <c r="D67" s="6"/>
      <c r="E67" s="143">
        <f t="shared" si="6"/>
        <v>0.12442294224792691</v>
      </c>
      <c r="F67" s="143">
        <f t="shared" si="6"/>
        <v>1.4167121970738317E-2</v>
      </c>
      <c r="G67" s="143">
        <f t="shared" si="5"/>
        <v>310.12991620531812</v>
      </c>
      <c r="H67" s="6"/>
      <c r="I67" s="6"/>
    </row>
    <row r="68" spans="1:9" x14ac:dyDescent="0.3">
      <c r="A68" s="143">
        <v>36</v>
      </c>
      <c r="B68" s="6"/>
      <c r="C68" s="143">
        <f t="shared" si="0"/>
        <v>114.24114528826399</v>
      </c>
      <c r="D68" s="6"/>
      <c r="E68" s="143">
        <f t="shared" si="6"/>
        <v>0.12485371069755628</v>
      </c>
      <c r="F68" s="143">
        <f t="shared" si="6"/>
        <v>1.4216170394258834E-2</v>
      </c>
      <c r="G68" s="143">
        <f t="shared" si="5"/>
        <v>311.20362641320929</v>
      </c>
      <c r="H68" s="6"/>
      <c r="I68" s="6"/>
    </row>
    <row r="69" spans="1:9" x14ac:dyDescent="0.3">
      <c r="A69" s="143">
        <v>37</v>
      </c>
      <c r="B69" s="6"/>
      <c r="C69" s="143">
        <f t="shared" si="0"/>
        <v>114.63518114577413</v>
      </c>
      <c r="D69" s="6"/>
      <c r="E69" s="143">
        <f t="shared" si="6"/>
        <v>0.12528435097898813</v>
      </c>
      <c r="F69" s="143">
        <f t="shared" si="6"/>
        <v>1.4265204224212808E-2</v>
      </c>
      <c r="G69" s="143">
        <f t="shared" si="5"/>
        <v>312.27701715596294</v>
      </c>
      <c r="H69" s="6"/>
      <c r="I69" s="6"/>
    </row>
    <row r="70" spans="1:9" x14ac:dyDescent="0.3">
      <c r="A70" s="143">
        <v>38</v>
      </c>
      <c r="B70" s="6"/>
      <c r="C70" s="143">
        <f t="shared" si="0"/>
        <v>115.02909972938349</v>
      </c>
      <c r="D70" s="6"/>
      <c r="E70" s="143">
        <f t="shared" si="6"/>
        <v>0.12571486309222238</v>
      </c>
      <c r="F70" s="143">
        <f t="shared" si="6"/>
        <v>1.4314223460600234E-2</v>
      </c>
      <c r="G70" s="143">
        <f t="shared" si="5"/>
        <v>313.35008843357883</v>
      </c>
      <c r="H70" s="143">
        <f>1/0.3936988</f>
        <v>2.5400128219847251</v>
      </c>
      <c r="I70" s="6"/>
    </row>
    <row r="71" spans="1:9" x14ac:dyDescent="0.3">
      <c r="A71" s="143">
        <v>39</v>
      </c>
      <c r="B71" s="143">
        <v>115.40797999999999</v>
      </c>
      <c r="C71" s="143">
        <f t="shared" si="0"/>
        <v>115.42290103909212</v>
      </c>
      <c r="D71" s="6">
        <v>115.456</v>
      </c>
      <c r="E71" s="143">
        <f t="shared" si="6"/>
        <v>1.6307146548775649E-5</v>
      </c>
      <c r="F71" s="143">
        <f t="shared" si="6"/>
        <v>4.1188353543900506E-6</v>
      </c>
      <c r="G71" s="143">
        <f t="shared" si="5"/>
        <v>4.5708241003809047E-2</v>
      </c>
      <c r="H71" s="143">
        <f>1/0.3935818</f>
        <v>2.5407678911982212</v>
      </c>
      <c r="I71" s="6"/>
    </row>
    <row r="72" spans="1:9" x14ac:dyDescent="0.3">
      <c r="A72" s="143">
        <v>40</v>
      </c>
      <c r="B72" s="143">
        <v>115.8015</v>
      </c>
      <c r="C72" s="143">
        <f t="shared" si="0"/>
        <v>115.8165850749</v>
      </c>
      <c r="D72" s="143">
        <v>115.85</v>
      </c>
      <c r="E72" s="143">
        <f t="shared" si="6"/>
        <v>1.6486420655737698E-5</v>
      </c>
      <c r="F72" s="143">
        <f t="shared" si="6"/>
        <v>4.1581539447473872E-6</v>
      </c>
      <c r="G72" s="143">
        <f t="shared" si="5"/>
        <v>4.6197396812235503E-2</v>
      </c>
      <c r="H72" s="143">
        <f>1/0.3934649</f>
        <v>2.5415227635298598</v>
      </c>
      <c r="I72" s="6"/>
    </row>
    <row r="73" spans="1:9" x14ac:dyDescent="0.3">
      <c r="A73" s="143">
        <v>41</v>
      </c>
      <c r="B73" s="143">
        <v>116.19490999999999</v>
      </c>
      <c r="C73" s="143">
        <f t="shared" si="0"/>
        <v>116.21015183680711</v>
      </c>
      <c r="D73" s="143">
        <v>116.244</v>
      </c>
      <c r="E73" s="143">
        <f t="shared" si="6"/>
        <v>1.6657745144394524E-5</v>
      </c>
      <c r="F73" s="143">
        <f t="shared" si="6"/>
        <v>4.2120661016532789E-6</v>
      </c>
      <c r="G73" s="143">
        <f t="shared" si="5"/>
        <v>4.6701420115843467E-2</v>
      </c>
      <c r="H73" s="143">
        <f>1/0.3933479</f>
        <v>2.5422787308639503</v>
      </c>
      <c r="I73" s="6"/>
    </row>
    <row r="74" spans="1:9" x14ac:dyDescent="0.3">
      <c r="A74" s="143">
        <v>42</v>
      </c>
      <c r="B74" s="6">
        <v>116.58819</v>
      </c>
      <c r="C74" s="143">
        <f t="shared" si="0"/>
        <v>116.6036013248135</v>
      </c>
      <c r="D74" s="6">
        <v>116.637</v>
      </c>
      <c r="E74" s="143">
        <f t="shared" si="6"/>
        <v>1.6842977938250327E-5</v>
      </c>
      <c r="F74" s="143">
        <f t="shared" si="6"/>
        <v>4.1561318051896566E-6</v>
      </c>
      <c r="G74" s="143">
        <f t="shared" si="5"/>
        <v>4.6990757828382822E-2</v>
      </c>
      <c r="H74" s="6">
        <f>1/0.3932309</f>
        <v>2.543035148051692</v>
      </c>
      <c r="I74" s="6"/>
    </row>
    <row r="75" spans="1:9" x14ac:dyDescent="0.3">
      <c r="A75" s="143">
        <v>43</v>
      </c>
      <c r="B75" s="6">
        <v>116.98137</v>
      </c>
      <c r="C75" s="143">
        <f t="shared" si="0"/>
        <v>116.99693353891912</v>
      </c>
      <c r="D75" s="6">
        <v>117.03100000000001</v>
      </c>
      <c r="E75" s="143">
        <f t="shared" si="6"/>
        <v>1.7009332152048801E-5</v>
      </c>
      <c r="F75" s="143">
        <f t="shared" si="6"/>
        <v>4.2392310951820509E-6</v>
      </c>
      <c r="G75" s="143">
        <f t="shared" si="5"/>
        <v>4.7548972406490843E-2</v>
      </c>
      <c r="H75" s="6">
        <f>1/0.3931139</f>
        <v>2.5437920154947458</v>
      </c>
      <c r="I75" s="6"/>
    </row>
    <row r="76" spans="1:9" x14ac:dyDescent="0.3">
      <c r="A76" s="143">
        <v>44</v>
      </c>
      <c r="B76" s="6">
        <v>117.37442</v>
      </c>
      <c r="C76" s="143">
        <f t="shared" si="0"/>
        <v>117.39014847912399</v>
      </c>
      <c r="D76" s="6">
        <v>117.42400000000001</v>
      </c>
      <c r="E76" s="143">
        <f t="shared" si="6"/>
        <v>1.7189594671030721E-5</v>
      </c>
      <c r="F76" s="143">
        <f t="shared" si="6"/>
        <v>4.2124839318084669E-6</v>
      </c>
      <c r="G76" s="143">
        <f t="shared" si="5"/>
        <v>4.7892501393503394E-2</v>
      </c>
      <c r="H76" s="6">
        <f>1/0.3929969</f>
        <v>2.5445493335952523</v>
      </c>
      <c r="I76" s="6"/>
    </row>
    <row r="77" spans="1:9" x14ac:dyDescent="0.3">
      <c r="A77" s="143">
        <v>45</v>
      </c>
      <c r="B77" s="6">
        <v>117.76736</v>
      </c>
      <c r="C77" s="143">
        <f t="shared" si="0"/>
        <v>117.78324614542812</v>
      </c>
      <c r="D77" s="6">
        <v>117.818</v>
      </c>
      <c r="E77" s="143">
        <f t="shared" si="6"/>
        <v>1.7361907571722946E-5</v>
      </c>
      <c r="F77" s="143">
        <f t="shared" si="6"/>
        <v>4.3247703548873639E-6</v>
      </c>
      <c r="G77" s="143">
        <f t="shared" si="5"/>
        <v>4.8529363530272221E-2</v>
      </c>
      <c r="H77" s="6">
        <f>1/0.3928799</f>
        <v>2.5453071027558294</v>
      </c>
      <c r="I77" s="6"/>
    </row>
    <row r="78" spans="1:9" x14ac:dyDescent="0.3">
      <c r="A78" s="143">
        <v>46</v>
      </c>
      <c r="B78" s="6">
        <v>118.16018</v>
      </c>
      <c r="C78" s="143">
        <f t="shared" si="0"/>
        <v>118.17622653783151</v>
      </c>
      <c r="D78" s="6">
        <v>118.211</v>
      </c>
      <c r="E78" s="143">
        <f t="shared" si="6"/>
        <v>1.7537199815862049E-5</v>
      </c>
      <c r="F78" s="143">
        <f t="shared" si="6"/>
        <v>4.3272103246002825E-6</v>
      </c>
      <c r="G78" s="143">
        <f t="shared" si="5"/>
        <v>4.8927083791819585E-2</v>
      </c>
      <c r="H78" s="6">
        <f>1/0.3927629</f>
        <v>2.5460653233795756</v>
      </c>
      <c r="I78" s="6"/>
    </row>
    <row r="79" spans="1:9" x14ac:dyDescent="0.3">
      <c r="A79" s="143">
        <v>47</v>
      </c>
      <c r="B79" s="6"/>
      <c r="C79" s="143">
        <f t="shared" si="0"/>
        <v>118.56908965633413</v>
      </c>
      <c r="D79" s="6"/>
      <c r="E79" s="143">
        <f t="shared" si="6"/>
        <v>0.12958370454244167</v>
      </c>
      <c r="F79" s="143">
        <f t="shared" si="6"/>
        <v>1.4754739877592599E-2</v>
      </c>
      <c r="G79" s="143">
        <f t="shared" si="5"/>
        <v>322.99335400093167</v>
      </c>
      <c r="H79" s="6"/>
      <c r="I79" s="6"/>
    </row>
    <row r="80" spans="1:9" x14ac:dyDescent="0.3">
      <c r="A80" s="143">
        <v>48</v>
      </c>
      <c r="B80" s="6"/>
      <c r="C80" s="143">
        <f t="shared" si="0"/>
        <v>118.96183550093599</v>
      </c>
      <c r="D80" s="6"/>
      <c r="E80" s="143">
        <f t="shared" ref="E80:F95" si="7">ABS(B80-C80)/(B$1-C$1)</f>
        <v>0.13001293497370053</v>
      </c>
      <c r="F80" s="143">
        <f t="shared" si="7"/>
        <v>1.4803613178314584E-2</v>
      </c>
      <c r="G80" s="143">
        <f t="shared" si="5"/>
        <v>324.06323062717183</v>
      </c>
      <c r="H80" s="6"/>
      <c r="I80" s="6"/>
    </row>
    <row r="81" spans="1:9" x14ac:dyDescent="0.3">
      <c r="A81" s="143">
        <v>49</v>
      </c>
      <c r="B81" s="6"/>
      <c r="C81" s="143">
        <f t="shared" si="0"/>
        <v>119.35446407163714</v>
      </c>
      <c r="D81" s="6"/>
      <c r="E81" s="143">
        <f t="shared" si="7"/>
        <v>0.1304420372367619</v>
      </c>
      <c r="F81" s="143">
        <f t="shared" si="7"/>
        <v>1.4852471885470028E-2</v>
      </c>
      <c r="G81" s="143">
        <f t="shared" si="5"/>
        <v>325.13278778827453</v>
      </c>
      <c r="H81" s="6"/>
      <c r="I81" s="6"/>
    </row>
    <row r="82" spans="1:9" x14ac:dyDescent="0.3">
      <c r="A82" s="143">
        <v>50</v>
      </c>
      <c r="B82" s="143">
        <v>119.7303</v>
      </c>
      <c r="C82" s="143">
        <f t="shared" si="0"/>
        <v>119.74697536843749</v>
      </c>
      <c r="D82" s="143">
        <f>119.783</f>
        <v>119.783</v>
      </c>
      <c r="E82" s="143">
        <f t="shared" si="7"/>
        <v>1.8224446379770082E-5</v>
      </c>
      <c r="F82" s="143">
        <f t="shared" si="7"/>
        <v>4.4829058689039201E-6</v>
      </c>
      <c r="G82" s="143">
        <f t="shared" si="5"/>
        <v>5.0813377494470242E-2</v>
      </c>
      <c r="H82" s="143">
        <f>1/0.392295</f>
        <v>2.5491020787927452</v>
      </c>
      <c r="I82" s="6"/>
    </row>
    <row r="83" spans="1:9" x14ac:dyDescent="0.3">
      <c r="A83" s="143">
        <v>51</v>
      </c>
      <c r="B83" s="6">
        <v>120.12253</v>
      </c>
      <c r="C83" s="143">
        <f t="shared" si="0"/>
        <v>120.13936939133713</v>
      </c>
      <c r="D83" s="6">
        <v>120.175</v>
      </c>
      <c r="E83" s="143">
        <f t="shared" si="7"/>
        <v>1.8403706379375928E-5</v>
      </c>
      <c r="F83" s="143">
        <f t="shared" si="7"/>
        <v>4.4338736514274021E-6</v>
      </c>
      <c r="G83" s="143">
        <f t="shared" si="5"/>
        <v>5.1104794713930153E-2</v>
      </c>
      <c r="H83" s="6">
        <f>1/0.392178</f>
        <v>2.5498625624078861</v>
      </c>
      <c r="I83" s="6"/>
    </row>
    <row r="84" spans="1:9" x14ac:dyDescent="0.3">
      <c r="A84" s="143">
        <v>52</v>
      </c>
      <c r="B84" s="6">
        <v>120.51465</v>
      </c>
      <c r="C84" s="143">
        <f t="shared" si="0"/>
        <v>120.53164614033601</v>
      </c>
      <c r="D84" s="6"/>
      <c r="E84" s="143">
        <f t="shared" si="7"/>
        <v>1.8575016760661016E-5</v>
      </c>
      <c r="F84" s="143">
        <f t="shared" si="7"/>
        <v>1.4998960445537083E-2</v>
      </c>
      <c r="G84" s="143">
        <f t="shared" si="5"/>
        <v>33.605489980756779</v>
      </c>
      <c r="H84" s="6"/>
      <c r="I84" s="6"/>
    </row>
    <row r="85" spans="1:9" x14ac:dyDescent="0.3">
      <c r="A85" s="143">
        <v>53</v>
      </c>
      <c r="B85" s="6"/>
      <c r="C85" s="143">
        <f t="shared" si="0"/>
        <v>120.92380561543413</v>
      </c>
      <c r="D85" s="6"/>
      <c r="E85" s="143">
        <f t="shared" si="7"/>
        <v>0.13215716460703184</v>
      </c>
      <c r="F85" s="143">
        <f t="shared" si="7"/>
        <v>1.5047760778426348E-2</v>
      </c>
      <c r="G85" s="143">
        <f t="shared" si="5"/>
        <v>329.40782178130905</v>
      </c>
      <c r="H85" s="6"/>
      <c r="I85" s="6"/>
    </row>
    <row r="86" spans="1:9" x14ac:dyDescent="0.3">
      <c r="A86" s="143">
        <v>54</v>
      </c>
      <c r="B86" s="6"/>
      <c r="C86" s="143">
        <f t="shared" si="0"/>
        <v>121.3158478166315</v>
      </c>
      <c r="D86" s="6"/>
      <c r="E86" s="143">
        <f t="shared" si="7"/>
        <v>0.13258562602910548</v>
      </c>
      <c r="F86" s="143">
        <f t="shared" si="7"/>
        <v>1.5096546517749066E-2</v>
      </c>
      <c r="G86" s="143">
        <f t="shared" si="5"/>
        <v>330.47578161672374</v>
      </c>
      <c r="H86" s="6"/>
      <c r="I86" s="6"/>
    </row>
    <row r="87" spans="1:9" x14ac:dyDescent="0.3">
      <c r="A87" s="143">
        <v>55</v>
      </c>
      <c r="B87" s="6"/>
      <c r="C87" s="143">
        <f t="shared" si="0"/>
        <v>121.70777274392812</v>
      </c>
      <c r="D87" s="6"/>
      <c r="E87" s="143">
        <f t="shared" si="7"/>
        <v>0.13301395928298154</v>
      </c>
      <c r="F87" s="143">
        <f t="shared" si="7"/>
        <v>1.514531766350524E-2</v>
      </c>
      <c r="G87" s="143">
        <f t="shared" si="5"/>
        <v>331.54342198700078</v>
      </c>
      <c r="H87" s="6"/>
      <c r="I87" s="6"/>
    </row>
    <row r="88" spans="1:9" x14ac:dyDescent="0.3">
      <c r="A88" s="143">
        <v>56</v>
      </c>
      <c r="B88" s="6"/>
      <c r="C88" s="143">
        <f t="shared" si="0"/>
        <v>122.099580397324</v>
      </c>
      <c r="D88" s="6"/>
      <c r="E88" s="143">
        <f t="shared" si="7"/>
        <v>0.1334421643686601</v>
      </c>
      <c r="F88" s="143">
        <f t="shared" si="7"/>
        <v>1.5194074215694874E-2</v>
      </c>
      <c r="G88" s="143">
        <f t="shared" si="5"/>
        <v>332.61074289214037</v>
      </c>
      <c r="H88" s="6"/>
      <c r="I88" s="6"/>
    </row>
    <row r="89" spans="1:9" x14ac:dyDescent="0.3">
      <c r="A89" s="143">
        <v>57</v>
      </c>
      <c r="B89" s="6"/>
      <c r="C89" s="143">
        <f t="shared" si="0"/>
        <v>122.49127077681912</v>
      </c>
      <c r="D89" s="6"/>
      <c r="E89" s="143">
        <f t="shared" si="7"/>
        <v>0.13387024128614111</v>
      </c>
      <c r="F89" s="143">
        <f t="shared" si="7"/>
        <v>1.5242816174317959E-2</v>
      </c>
      <c r="G89" s="143">
        <f t="shared" si="5"/>
        <v>333.67774433214231</v>
      </c>
      <c r="H89" s="6"/>
      <c r="I89" s="6"/>
    </row>
    <row r="90" spans="1:9" x14ac:dyDescent="0.3">
      <c r="A90" s="143">
        <v>58</v>
      </c>
      <c r="B90" s="6"/>
      <c r="C90" s="143">
        <f t="shared" si="0"/>
        <v>122.88284388241351</v>
      </c>
      <c r="D90" s="6"/>
      <c r="E90" s="143">
        <f t="shared" si="7"/>
        <v>0.13429819003542459</v>
      </c>
      <c r="F90" s="143">
        <f t="shared" si="7"/>
        <v>1.5291543539374503E-2</v>
      </c>
      <c r="G90" s="143">
        <f t="shared" si="5"/>
        <v>334.74442630700668</v>
      </c>
      <c r="H90" s="6"/>
      <c r="I90" s="6"/>
    </row>
    <row r="91" spans="1:9" x14ac:dyDescent="0.3">
      <c r="A91" s="143">
        <v>59</v>
      </c>
      <c r="B91" s="6"/>
      <c r="C91" s="143">
        <f t="shared" si="0"/>
        <v>123.27429971410713</v>
      </c>
      <c r="D91" s="6"/>
      <c r="E91" s="143">
        <f t="shared" si="7"/>
        <v>0.13472601061651052</v>
      </c>
      <c r="F91" s="143">
        <f t="shared" si="7"/>
        <v>1.5340256310864501E-2</v>
      </c>
      <c r="G91" s="143">
        <f t="shared" si="5"/>
        <v>335.81078881673346</v>
      </c>
      <c r="H91" s="143">
        <f>1/0.391242</f>
        <v>2.5559628056292527</v>
      </c>
      <c r="I91" s="6"/>
    </row>
    <row r="92" spans="1:9" x14ac:dyDescent="0.3">
      <c r="A92" s="143">
        <v>60</v>
      </c>
      <c r="B92" s="143">
        <v>123.6474</v>
      </c>
      <c r="C92" s="143">
        <f t="shared" si="0"/>
        <v>123.66563827190001</v>
      </c>
      <c r="D92" s="143">
        <v>123.703</v>
      </c>
      <c r="E92" s="143">
        <f t="shared" si="7"/>
        <v>1.9932537595631865E-5</v>
      </c>
      <c r="F92" s="143">
        <f t="shared" si="7"/>
        <v>4.6492941886504681E-6</v>
      </c>
      <c r="G92" s="143">
        <f t="shared" si="5"/>
        <v>5.5007994075277795E-2</v>
      </c>
      <c r="H92" s="143">
        <f>1/0.3911251</f>
        <v>2.5567267352568268</v>
      </c>
      <c r="I92" s="6"/>
    </row>
    <row r="93" spans="1:9" x14ac:dyDescent="0.3">
      <c r="A93" s="143">
        <v>61</v>
      </c>
      <c r="B93" s="143">
        <v>124.03846</v>
      </c>
      <c r="C93" s="143">
        <f t="shared" si="0"/>
        <v>124.05685955579213</v>
      </c>
      <c r="D93" s="6">
        <v>124.095</v>
      </c>
      <c r="E93" s="143">
        <f t="shared" si="7"/>
        <v>2.0108804144403567E-5</v>
      </c>
      <c r="F93" s="143">
        <f t="shared" si="7"/>
        <v>4.7461976366188396E-6</v>
      </c>
      <c r="G93" s="143">
        <f t="shared" si="5"/>
        <v>5.561928023548289E-2</v>
      </c>
      <c r="H93" s="143">
        <f>1/0.3910081</f>
        <v>2.557491775745822</v>
      </c>
      <c r="I93" s="6"/>
    </row>
    <row r="94" spans="1:9" x14ac:dyDescent="0.3">
      <c r="A94" s="143">
        <v>62</v>
      </c>
      <c r="B94" s="6">
        <v>124.42941</v>
      </c>
      <c r="C94" s="143">
        <f t="shared" si="0"/>
        <v>124.44796356578348</v>
      </c>
      <c r="D94" s="6"/>
      <c r="E94" s="143">
        <f t="shared" si="7"/>
        <v>2.027712107483898E-5</v>
      </c>
      <c r="F94" s="143">
        <f t="shared" si="7"/>
        <v>1.5486307063935226E-2</v>
      </c>
      <c r="G94" s="143">
        <f t="shared" si="5"/>
        <v>34.699858760006272</v>
      </c>
      <c r="H94" s="6"/>
      <c r="I94" s="6"/>
    </row>
    <row r="95" spans="1:9" x14ac:dyDescent="0.3">
      <c r="A95" s="143">
        <v>63</v>
      </c>
      <c r="B95" s="6"/>
      <c r="C95" s="143">
        <f t="shared" si="0"/>
        <v>124.83895030187414</v>
      </c>
      <c r="D95" s="6"/>
      <c r="E95" s="143">
        <f t="shared" si="7"/>
        <v>0.13643601125887883</v>
      </c>
      <c r="F95" s="143">
        <f t="shared" si="7"/>
        <v>1.5534961461159052E-2</v>
      </c>
      <c r="G95" s="143">
        <f t="shared" si="5"/>
        <v>340.07304420426476</v>
      </c>
      <c r="H95" s="6"/>
      <c r="I95" s="6"/>
    </row>
    <row r="96" spans="1:9" x14ac:dyDescent="0.3">
      <c r="A96" s="143">
        <v>64</v>
      </c>
      <c r="B96" s="6"/>
      <c r="C96" s="143">
        <f t="shared" si="0"/>
        <v>125.22981976406399</v>
      </c>
      <c r="D96" s="6"/>
      <c r="E96" s="143">
        <f t="shared" ref="E96:F111" si="8">ABS(B96-C96)/(B$1-C$1)</f>
        <v>0.13686319099897704</v>
      </c>
      <c r="F96" s="143">
        <f t="shared" si="8"/>
        <v>1.5583601264816326E-2</v>
      </c>
      <c r="G96" s="143">
        <f t="shared" si="5"/>
        <v>341.13780938830359</v>
      </c>
      <c r="H96" s="6"/>
      <c r="I96" s="6"/>
    </row>
    <row r="97" spans="1:9" x14ac:dyDescent="0.3">
      <c r="A97" s="143">
        <v>65</v>
      </c>
      <c r="B97" s="6"/>
      <c r="C97" s="143">
        <f t="shared" si="0"/>
        <v>125.62057195235313</v>
      </c>
      <c r="D97" s="6"/>
      <c r="E97" s="143">
        <f t="shared" si="8"/>
        <v>0.13729024257087774</v>
      </c>
      <c r="F97" s="143">
        <f t="shared" si="8"/>
        <v>1.5632226474907061E-2</v>
      </c>
      <c r="G97" s="143">
        <f t="shared" si="5"/>
        <v>342.20225510720491</v>
      </c>
      <c r="H97" s="6"/>
      <c r="I97" s="6"/>
    </row>
    <row r="98" spans="1:9" x14ac:dyDescent="0.3">
      <c r="A98" s="143">
        <v>66</v>
      </c>
      <c r="B98" s="6"/>
      <c r="C98" s="143">
        <f t="shared" si="0"/>
        <v>126.0112068667415</v>
      </c>
      <c r="D98" s="6"/>
      <c r="E98" s="143">
        <f t="shared" si="8"/>
        <v>0.13771716597458089</v>
      </c>
      <c r="F98" s="143">
        <f t="shared" si="8"/>
        <v>1.5680837091431248E-2</v>
      </c>
      <c r="G98" s="143">
        <f t="shared" si="5"/>
        <v>343.26638136096869</v>
      </c>
      <c r="H98" s="6"/>
      <c r="I98" s="6"/>
    </row>
    <row r="99" spans="1:9" x14ac:dyDescent="0.3">
      <c r="A99" s="143">
        <v>67</v>
      </c>
      <c r="B99" s="6"/>
      <c r="C99" s="143">
        <f t="shared" si="0"/>
        <v>126.40172450722913</v>
      </c>
      <c r="D99" s="6"/>
      <c r="E99" s="143">
        <f t="shared" si="8"/>
        <v>0.13814396121008649</v>
      </c>
      <c r="F99" s="143">
        <f t="shared" si="8"/>
        <v>1.5729433114388892E-2</v>
      </c>
      <c r="G99" s="143">
        <f t="shared" si="5"/>
        <v>344.33018814959479</v>
      </c>
      <c r="H99" s="6"/>
      <c r="I99" s="6"/>
    </row>
    <row r="100" spans="1:9" x14ac:dyDescent="0.3">
      <c r="A100" s="143">
        <v>68</v>
      </c>
      <c r="B100" s="6"/>
      <c r="C100" s="143">
        <f t="shared" si="0"/>
        <v>126.79212487381599</v>
      </c>
      <c r="D100" s="6"/>
      <c r="E100" s="143">
        <f t="shared" si="8"/>
        <v>0.13857062827739453</v>
      </c>
      <c r="F100" s="143">
        <f t="shared" si="8"/>
        <v>1.577801454377999E-2</v>
      </c>
      <c r="G100" s="143">
        <f t="shared" si="5"/>
        <v>345.39367547308331</v>
      </c>
      <c r="H100" s="6"/>
      <c r="I100" s="6"/>
    </row>
    <row r="101" spans="1:9" x14ac:dyDescent="0.3">
      <c r="A101" s="143">
        <v>69</v>
      </c>
      <c r="B101" s="6"/>
      <c r="C101" s="143">
        <f t="shared" si="0"/>
        <v>127.18240796650211</v>
      </c>
      <c r="D101" s="6"/>
      <c r="E101" s="143">
        <f t="shared" si="8"/>
        <v>0.13899716717650504</v>
      </c>
      <c r="F101" s="143">
        <f t="shared" si="8"/>
        <v>1.5826581379604545E-2</v>
      </c>
      <c r="G101" s="143">
        <f t="shared" si="5"/>
        <v>346.45684333143424</v>
      </c>
      <c r="H101" s="6"/>
      <c r="I101" s="6"/>
    </row>
    <row r="102" spans="1:9" x14ac:dyDescent="0.3">
      <c r="A102" s="143">
        <v>70</v>
      </c>
      <c r="B102" s="6">
        <v>127.5528</v>
      </c>
      <c r="C102" s="143">
        <f t="shared" si="0"/>
        <v>127.5725737852875</v>
      </c>
      <c r="D102" s="6">
        <v>127.61199999999999</v>
      </c>
      <c r="E102" s="143">
        <f t="shared" si="8"/>
        <v>2.1610694303276457E-5</v>
      </c>
      <c r="F102" s="143">
        <f t="shared" si="8"/>
        <v>4.9061989438143313E-6</v>
      </c>
      <c r="G102" s="143">
        <f>(E102+F102)/2*E$1</f>
        <v>5.9338177863677406E-2</v>
      </c>
      <c r="H102" s="6"/>
      <c r="I102" s="6"/>
    </row>
    <row r="103" spans="1:9" x14ac:dyDescent="0.3">
      <c r="A103" s="143">
        <v>71</v>
      </c>
      <c r="B103" s="6">
        <v>127.9427</v>
      </c>
      <c r="C103" s="143">
        <f t="shared" si="0"/>
        <v>127.96262233017211</v>
      </c>
      <c r="D103" s="6">
        <v>128.00200000000001</v>
      </c>
      <c r="E103" s="143">
        <f t="shared" si="8"/>
        <v>2.1773038439461913E-5</v>
      </c>
      <c r="F103" s="143">
        <f t="shared" si="8"/>
        <v>4.9001580174091353E-6</v>
      </c>
      <c r="G103" s="143">
        <f t="shared" si="5"/>
        <v>5.9687945371363189E-2</v>
      </c>
      <c r="H103" s="6">
        <f>1/0.3898382</f>
        <v>2.5651667794484991</v>
      </c>
      <c r="I103" s="6"/>
    </row>
    <row r="104" spans="1:9" x14ac:dyDescent="0.3">
      <c r="A104" s="143">
        <v>72</v>
      </c>
      <c r="B104" s="6">
        <v>128.33248</v>
      </c>
      <c r="C104" s="143">
        <f t="shared" si="0"/>
        <v>128.35255360115602</v>
      </c>
      <c r="D104" s="6">
        <v>128.392</v>
      </c>
      <c r="E104" s="143">
        <f t="shared" si="8"/>
        <v>2.1938361919140835E-5</v>
      </c>
      <c r="F104" s="143">
        <f t="shared" si="8"/>
        <v>4.9087106575383472E-6</v>
      </c>
      <c r="G104" s="143">
        <f t="shared" si="5"/>
        <v>6.0077036658463839E-2</v>
      </c>
      <c r="H104" s="6"/>
      <c r="I104" s="6"/>
    </row>
    <row r="105" spans="1:9" x14ac:dyDescent="0.3">
      <c r="A105" s="143">
        <v>73</v>
      </c>
      <c r="B105" s="6"/>
      <c r="C105" s="143">
        <f t="shared" si="0"/>
        <v>128.74236759823913</v>
      </c>
      <c r="D105" s="6"/>
      <c r="E105" s="143">
        <f t="shared" si="8"/>
        <v>0.14070204109097173</v>
      </c>
      <c r="F105" s="143">
        <f t="shared" si="8"/>
        <v>1.6020702787237322E-2</v>
      </c>
      <c r="G105" s="143">
        <f t="shared" si="5"/>
        <v>350.70632011346231</v>
      </c>
      <c r="H105" s="6"/>
      <c r="I105" s="6"/>
    </row>
    <row r="106" spans="1:9" x14ac:dyDescent="0.3">
      <c r="A106" s="143">
        <v>74</v>
      </c>
      <c r="B106" s="6">
        <v>129.11168000000001</v>
      </c>
      <c r="C106" s="143">
        <f t="shared" si="0"/>
        <v>129.1320643214215</v>
      </c>
      <c r="D106" s="6">
        <v>129.172</v>
      </c>
      <c r="E106" s="143">
        <f t="shared" si="8"/>
        <v>2.2277946908730595E-5</v>
      </c>
      <c r="F106" s="143">
        <f t="shared" si="8"/>
        <v>4.9695966374442089E-6</v>
      </c>
      <c r="G106" s="143">
        <f t="shared" si="5"/>
        <v>6.0973190570452668E-2</v>
      </c>
      <c r="H106" s="6">
        <f>1/0.3894872</f>
        <v>2.5674784691255579</v>
      </c>
      <c r="I106" s="6"/>
    </row>
    <row r="107" spans="1:9" x14ac:dyDescent="0.3">
      <c r="A107" s="143">
        <v>75</v>
      </c>
      <c r="B107" s="143">
        <v>129.50111000000001</v>
      </c>
      <c r="C107" s="143">
        <f t="shared" si="0"/>
        <v>129.52164377070312</v>
      </c>
      <c r="D107" s="143">
        <v>129.56200000000001</v>
      </c>
      <c r="E107" s="143">
        <f t="shared" si="8"/>
        <v>2.244127945695145E-5</v>
      </c>
      <c r="F107" s="143">
        <f t="shared" si="8"/>
        <v>5.0219299772137851E-6</v>
      </c>
      <c r="G107" s="143">
        <f t="shared" si="5"/>
        <v>6.1455796911303255E-2</v>
      </c>
      <c r="H107" s="143">
        <f>1/0.3893702</f>
        <v>2.5682499585227632</v>
      </c>
      <c r="I107" s="6"/>
    </row>
    <row r="108" spans="1:9" x14ac:dyDescent="0.3">
      <c r="A108" s="143">
        <v>76</v>
      </c>
      <c r="B108" s="6">
        <v>129.89042000000001</v>
      </c>
      <c r="C108" s="143">
        <f t="shared" si="0"/>
        <v>129.91110594608401</v>
      </c>
      <c r="D108" s="6"/>
      <c r="E108" s="143">
        <f t="shared" si="8"/>
        <v>2.2607591348634711E-5</v>
      </c>
      <c r="F108" s="143">
        <f t="shared" si="8"/>
        <v>1.6166140610513191E-2</v>
      </c>
      <c r="G108" s="143">
        <f t="shared" si="5"/>
        <v>36.226371288716301</v>
      </c>
      <c r="H108" s="6"/>
      <c r="I108" s="6"/>
    </row>
    <row r="109" spans="1:9" x14ac:dyDescent="0.3">
      <c r="A109" s="143">
        <v>77</v>
      </c>
      <c r="B109" s="6"/>
      <c r="C109" s="143">
        <f t="shared" si="0"/>
        <v>130.30045084756412</v>
      </c>
      <c r="D109" s="6"/>
      <c r="E109" s="143">
        <f t="shared" si="8"/>
        <v>0.14240486431427773</v>
      </c>
      <c r="F109" s="143">
        <f t="shared" si="8"/>
        <v>1.6214590697805391E-2</v>
      </c>
      <c r="G109" s="143">
        <f t="shared" si="5"/>
        <v>354.95068545328905</v>
      </c>
      <c r="H109" s="6"/>
      <c r="I109" s="6"/>
    </row>
    <row r="110" spans="1:9" x14ac:dyDescent="0.3">
      <c r="A110" s="143">
        <v>78</v>
      </c>
      <c r="B110" s="6"/>
      <c r="C110" s="143">
        <f t="shared" si="0"/>
        <v>130.6896784751435</v>
      </c>
      <c r="D110" s="6"/>
      <c r="E110" s="143">
        <f t="shared" si="8"/>
        <v>0.14283024969961039</v>
      </c>
      <c r="F110" s="143">
        <f t="shared" si="8"/>
        <v>1.6263026191531048E-2</v>
      </c>
      <c r="G110" s="143">
        <f t="shared" si="5"/>
        <v>356.01097812540178</v>
      </c>
      <c r="H110" s="6"/>
      <c r="I110" s="6"/>
    </row>
    <row r="111" spans="1:9" x14ac:dyDescent="0.3">
      <c r="A111" s="143">
        <v>79</v>
      </c>
      <c r="B111" s="6"/>
      <c r="C111" s="143">
        <f t="shared" si="0"/>
        <v>131.07878882882213</v>
      </c>
      <c r="D111" s="6"/>
      <c r="E111" s="143">
        <f t="shared" si="8"/>
        <v>0.14325550691674549</v>
      </c>
      <c r="F111" s="143">
        <f t="shared" si="8"/>
        <v>1.6311447091690159E-2</v>
      </c>
      <c r="G111" s="143">
        <f t="shared" si="5"/>
        <v>357.07095133237686</v>
      </c>
      <c r="H111" s="143">
        <f>1/0.3889022</f>
        <v>2.5713405581146112</v>
      </c>
      <c r="I111" s="6"/>
    </row>
    <row r="112" spans="1:9" x14ac:dyDescent="0.3">
      <c r="A112" s="143">
        <v>80</v>
      </c>
      <c r="B112" s="143">
        <v>131.44649999999999</v>
      </c>
      <c r="C112" s="143">
        <f t="shared" si="0"/>
        <v>131.46778190859999</v>
      </c>
      <c r="D112" s="143">
        <v>131.50800000000001</v>
      </c>
      <c r="E112" s="143">
        <f>ABS(B112-C112)/(B$1-C$1)</f>
        <v>2.3258916502734921E-5</v>
      </c>
      <c r="F112" s="143">
        <f>ABS(C112-D112)/(C$1-D$1)</f>
        <v>5.0047400945770527E-6</v>
      </c>
      <c r="G112" s="143">
        <f>(E112+F112)/2*E$1</f>
        <v>6.324699755063487E-2</v>
      </c>
      <c r="H112" s="143">
        <f>1/0.3887853</f>
        <v>2.5721137090316946</v>
      </c>
      <c r="I112" s="6"/>
    </row>
    <row r="113" spans="1:9" x14ac:dyDescent="0.3">
      <c r="A113" s="143">
        <v>81</v>
      </c>
      <c r="B113" s="143">
        <v>131.83523</v>
      </c>
      <c r="C113" s="143">
        <f t="shared" si="0"/>
        <v>131.85665771447714</v>
      </c>
      <c r="D113" s="6"/>
      <c r="E113" s="143">
        <f t="shared" ref="E113:F127" si="9">ABS(B113-C113)/(B$1-C$1)</f>
        <v>2.3418267188132826E-5</v>
      </c>
      <c r="F113" s="143">
        <f t="shared" si="9"/>
        <v>1.6408245111308752E-2</v>
      </c>
      <c r="G113" s="143">
        <f>(E113+F113)/2*E$1</f>
        <v>36.769954725231408</v>
      </c>
      <c r="H113" s="143">
        <f>1/0.3886683</f>
        <v>2.5728879870058865</v>
      </c>
      <c r="I113" s="6"/>
    </row>
    <row r="114" spans="1:9" x14ac:dyDescent="0.3">
      <c r="A114" s="143">
        <v>82</v>
      </c>
      <c r="B114" s="6"/>
      <c r="C114" s="143">
        <f t="shared" si="0"/>
        <v>132.24541624645349</v>
      </c>
      <c r="D114" s="6"/>
      <c r="E114" s="143">
        <f t="shared" si="9"/>
        <v>0.14453050955896557</v>
      </c>
      <c r="F114" s="143">
        <f t="shared" si="9"/>
        <v>1.6456622230768228E-2</v>
      </c>
      <c r="G114" s="143">
        <f t="shared" si="5"/>
        <v>360.24895416247676</v>
      </c>
      <c r="H114" s="6"/>
      <c r="I114" s="6"/>
    </row>
    <row r="115" spans="1:9" x14ac:dyDescent="0.3">
      <c r="A115" s="143">
        <v>83</v>
      </c>
      <c r="B115" s="6"/>
      <c r="C115" s="143">
        <f t="shared" si="0"/>
        <v>132.63405750452912</v>
      </c>
      <c r="D115" s="6"/>
      <c r="E115" s="143">
        <f t="shared" si="9"/>
        <v>0.14495525410331053</v>
      </c>
      <c r="F115" s="143">
        <f t="shared" si="9"/>
        <v>1.6504984756661165E-2</v>
      </c>
      <c r="G115" s="143">
        <f t="shared" si="5"/>
        <v>361.30764950890165</v>
      </c>
      <c r="H115" s="6"/>
      <c r="I115" s="6"/>
    </row>
    <row r="116" spans="1:9" x14ac:dyDescent="0.3">
      <c r="A116" s="143">
        <v>84</v>
      </c>
      <c r="B116" s="6"/>
      <c r="C116" s="143">
        <f t="shared" si="0"/>
        <v>133.02258148870402</v>
      </c>
      <c r="D116" s="6"/>
      <c r="E116" s="143">
        <f t="shared" si="9"/>
        <v>0.14537987047945794</v>
      </c>
      <c r="F116" s="143">
        <f t="shared" si="9"/>
        <v>1.6553332688987558E-2</v>
      </c>
      <c r="G116" s="143">
        <f t="shared" si="5"/>
        <v>362.36602539018895</v>
      </c>
      <c r="H116" s="6"/>
      <c r="I116" s="6"/>
    </row>
    <row r="117" spans="1:9" x14ac:dyDescent="0.3">
      <c r="A117" s="143">
        <v>85</v>
      </c>
      <c r="B117" s="6"/>
      <c r="C117" s="143">
        <f t="shared" si="0"/>
        <v>133.41098819897815</v>
      </c>
      <c r="D117" s="6"/>
      <c r="E117" s="143">
        <f t="shared" si="9"/>
        <v>0.14580435868740782</v>
      </c>
      <c r="F117" s="143">
        <f t="shared" si="9"/>
        <v>1.6601666027747406E-2</v>
      </c>
      <c r="G117" s="143">
        <f t="shared" si="5"/>
        <v>363.42408180633862</v>
      </c>
      <c r="H117" s="6"/>
      <c r="I117" s="6"/>
    </row>
    <row r="118" spans="1:9" x14ac:dyDescent="0.3">
      <c r="A118" s="143">
        <v>86</v>
      </c>
      <c r="B118" s="6"/>
      <c r="C118" s="143">
        <f t="shared" si="0"/>
        <v>133.79927763535147</v>
      </c>
      <c r="D118" s="6"/>
      <c r="E118" s="143">
        <f t="shared" si="9"/>
        <v>0.14622871872716009</v>
      </c>
      <c r="F118" s="143">
        <f t="shared" si="9"/>
        <v>1.6649984772940701E-2</v>
      </c>
      <c r="G118" s="143">
        <f t="shared" si="5"/>
        <v>364.48181875735054</v>
      </c>
      <c r="H118" s="6"/>
      <c r="I118" s="6"/>
    </row>
    <row r="119" spans="1:9" x14ac:dyDescent="0.3">
      <c r="A119" s="143">
        <v>87</v>
      </c>
      <c r="B119" s="6"/>
      <c r="C119" s="143">
        <f t="shared" si="0"/>
        <v>134.18744979782414</v>
      </c>
      <c r="D119" s="6"/>
      <c r="E119" s="143">
        <f t="shared" si="9"/>
        <v>0.14665295059871492</v>
      </c>
      <c r="F119" s="143">
        <f t="shared" si="9"/>
        <v>1.6698288924567463E-2</v>
      </c>
      <c r="G119" s="143">
        <f t="shared" si="5"/>
        <v>365.5392362432251</v>
      </c>
      <c r="H119" s="6"/>
      <c r="I119" s="6"/>
    </row>
    <row r="120" spans="1:9" x14ac:dyDescent="0.3">
      <c r="A120" s="143">
        <v>88</v>
      </c>
      <c r="B120" s="6"/>
      <c r="C120" s="143">
        <f t="shared" si="0"/>
        <v>134.57550468639602</v>
      </c>
      <c r="D120" s="6"/>
      <c r="E120" s="143">
        <f t="shared" si="9"/>
        <v>0.14707705430207216</v>
      </c>
      <c r="F120" s="143">
        <f t="shared" si="9"/>
        <v>1.6746578482627679E-2</v>
      </c>
      <c r="G120" s="143">
        <f t="shared" si="5"/>
        <v>366.59633426396204</v>
      </c>
      <c r="H120" s="6"/>
      <c r="I120" s="6"/>
    </row>
    <row r="121" spans="1:9" x14ac:dyDescent="0.3">
      <c r="A121" s="143">
        <v>89</v>
      </c>
      <c r="B121" s="6"/>
      <c r="C121" s="143">
        <f t="shared" si="0"/>
        <v>134.96344230106712</v>
      </c>
      <c r="D121" s="6"/>
      <c r="E121" s="143">
        <f t="shared" si="9"/>
        <v>0.14750102983723182</v>
      </c>
      <c r="F121" s="143">
        <f t="shared" si="9"/>
        <v>1.6794853447121345E-2</v>
      </c>
      <c r="G121" s="143">
        <f t="shared" si="5"/>
        <v>367.65311281956127</v>
      </c>
      <c r="H121" s="143">
        <f>1/0.3877323</f>
        <v>2.5790990330183998</v>
      </c>
      <c r="I121" s="6"/>
    </row>
    <row r="122" spans="1:9" x14ac:dyDescent="0.3">
      <c r="A122" s="143">
        <v>90</v>
      </c>
      <c r="B122" s="143">
        <v>135.32849999999999</v>
      </c>
      <c r="C122" s="143">
        <f t="shared" si="0"/>
        <v>135.35126264183748</v>
      </c>
      <c r="D122" s="143">
        <v>135.393</v>
      </c>
      <c r="E122" s="143">
        <f t="shared" si="9"/>
        <v>2.4877204193976193E-5</v>
      </c>
      <c r="F122" s="143">
        <f t="shared" si="9"/>
        <v>5.1937976807517834E-6</v>
      </c>
      <c r="G122" s="143">
        <f t="shared" si="5"/>
        <v>6.7291384445172533E-2</v>
      </c>
      <c r="H122" s="143">
        <f>1/0.3876154</f>
        <v>2.5798768573178466</v>
      </c>
      <c r="I122" s="6"/>
    </row>
    <row r="123" spans="1:9" x14ac:dyDescent="0.3">
      <c r="A123" s="143">
        <v>91</v>
      </c>
      <c r="B123" s="143">
        <v>135.71606</v>
      </c>
      <c r="C123" s="143">
        <f t="shared" si="0"/>
        <v>135.73896570870713</v>
      </c>
      <c r="D123" s="6"/>
      <c r="E123" s="143">
        <f t="shared" si="9"/>
        <v>2.5033561428555486E-5</v>
      </c>
      <c r="F123" s="143">
        <f t="shared" si="9"/>
        <v>1.689135959540905E-2</v>
      </c>
      <c r="G123" s="143">
        <f t="shared" si="5"/>
        <v>37.854658786713358</v>
      </c>
      <c r="H123" s="143">
        <f>1/0.3874984</f>
        <v>2.5806558169014373</v>
      </c>
      <c r="I123" s="6"/>
    </row>
    <row r="124" spans="1:9" x14ac:dyDescent="0.3">
      <c r="A124" s="143">
        <v>92</v>
      </c>
      <c r="B124" s="6"/>
      <c r="C124" s="143">
        <f t="shared" si="0"/>
        <v>136.126551501676</v>
      </c>
      <c r="D124" s="6"/>
      <c r="E124" s="143">
        <f t="shared" si="9"/>
        <v>0.14877218743352569</v>
      </c>
      <c r="F124" s="143">
        <f t="shared" si="9"/>
        <v>1.6939590779203088E-2</v>
      </c>
      <c r="G124" s="143">
        <f t="shared" si="5"/>
        <v>370.82153169553385</v>
      </c>
      <c r="H124" s="6"/>
      <c r="I124" s="6"/>
    </row>
    <row r="125" spans="1:9" x14ac:dyDescent="0.3">
      <c r="A125" s="143">
        <v>93</v>
      </c>
      <c r="B125" s="6"/>
      <c r="C125" s="143">
        <f t="shared" si="0"/>
        <v>136.51402002074411</v>
      </c>
      <c r="D125" s="6"/>
      <c r="E125" s="143">
        <f t="shared" si="9"/>
        <v>0.14919565029589521</v>
      </c>
      <c r="F125" s="143">
        <f t="shared" si="9"/>
        <v>1.6987807369430577E-2</v>
      </c>
      <c r="G125" s="143">
        <f t="shared" si="5"/>
        <v>371.87703239058277</v>
      </c>
      <c r="H125" s="6"/>
      <c r="I125" s="6"/>
    </row>
    <row r="126" spans="1:9" x14ac:dyDescent="0.3">
      <c r="A126" s="143">
        <v>94</v>
      </c>
      <c r="B126" s="6"/>
      <c r="C126" s="143">
        <f t="shared" si="0"/>
        <v>136.90137126591151</v>
      </c>
      <c r="D126" s="6"/>
      <c r="E126" s="143">
        <f t="shared" si="9"/>
        <v>0.14961898499006723</v>
      </c>
      <c r="F126" s="143">
        <f t="shared" si="9"/>
        <v>1.7036009366091526E-2</v>
      </c>
      <c r="G126" s="143">
        <f t="shared" si="5"/>
        <v>372.93221362049428</v>
      </c>
      <c r="H126" s="6"/>
      <c r="I126" s="6"/>
    </row>
    <row r="127" spans="1:9" x14ac:dyDescent="0.3">
      <c r="A127" s="143">
        <v>95</v>
      </c>
      <c r="B127" s="6"/>
      <c r="C127" s="143">
        <f t="shared" si="0"/>
        <v>137.28860523717816</v>
      </c>
      <c r="D127" s="6"/>
      <c r="E127" s="143">
        <f t="shared" si="9"/>
        <v>0.1500421915160417</v>
      </c>
      <c r="F127" s="143">
        <f t="shared" si="9"/>
        <v>1.7084196769185933E-2</v>
      </c>
      <c r="G127" s="143">
        <f t="shared" si="5"/>
        <v>373.98707538526816</v>
      </c>
      <c r="H127" s="6"/>
      <c r="I127" s="6"/>
    </row>
    <row r="128" spans="1:9" x14ac:dyDescent="0.3">
      <c r="A128" s="143">
        <v>96</v>
      </c>
      <c r="B128" s="6"/>
      <c r="C128" s="143">
        <f t="shared" si="0"/>
        <v>137.67572193454401</v>
      </c>
      <c r="D128" s="6"/>
      <c r="E128" s="143">
        <f t="shared" ref="E128:F143" si="10">ABS(B128-C128)/(B$1-C$1)</f>
        <v>0.15046526987381859</v>
      </c>
      <c r="F128" s="143">
        <f t="shared" si="10"/>
        <v>1.713236957871379E-2</v>
      </c>
      <c r="G128" s="143">
        <f t="shared" si="5"/>
        <v>375.04161768490428</v>
      </c>
      <c r="H128" s="6"/>
      <c r="I128" s="6"/>
    </row>
    <row r="129" spans="1:9" x14ac:dyDescent="0.3">
      <c r="A129" s="143">
        <v>97</v>
      </c>
      <c r="B129" s="6"/>
      <c r="C129" s="143">
        <f t="shared" si="0"/>
        <v>138.06272135800913</v>
      </c>
      <c r="D129" s="6"/>
      <c r="E129" s="143">
        <f t="shared" si="10"/>
        <v>0.15088822006339794</v>
      </c>
      <c r="F129" s="143">
        <f t="shared" si="10"/>
        <v>1.7180527794675104E-2</v>
      </c>
      <c r="G129" s="143">
        <f t="shared" si="5"/>
        <v>376.09584051940294</v>
      </c>
      <c r="H129" s="6"/>
      <c r="I129" s="6"/>
    </row>
    <row r="130" spans="1:9" x14ac:dyDescent="0.3">
      <c r="A130" s="143">
        <v>98</v>
      </c>
      <c r="B130" s="6"/>
      <c r="C130" s="143">
        <f t="shared" si="0"/>
        <v>138.4496035075735</v>
      </c>
      <c r="D130" s="6"/>
      <c r="E130" s="143">
        <f t="shared" si="10"/>
        <v>0.15131104208477977</v>
      </c>
      <c r="F130" s="143">
        <f t="shared" si="10"/>
        <v>1.7228671417069873E-2</v>
      </c>
      <c r="G130" s="143">
        <f t="shared" si="5"/>
        <v>377.14974388876408</v>
      </c>
      <c r="H130" s="6"/>
      <c r="I130" s="6"/>
    </row>
    <row r="131" spans="1:9" x14ac:dyDescent="0.3">
      <c r="A131" s="143">
        <v>99</v>
      </c>
      <c r="B131" s="6">
        <v>138.81229999999999</v>
      </c>
      <c r="C131" s="143">
        <f t="shared" si="0"/>
        <v>138.83636838323713</v>
      </c>
      <c r="D131" s="6"/>
      <c r="E131" s="143">
        <f t="shared" si="10"/>
        <v>2.6304243975012025E-5</v>
      </c>
      <c r="F131" s="143">
        <f t="shared" si="10"/>
        <v>1.7276800445898098E-2</v>
      </c>
      <c r="G131" s="143">
        <f t="shared" si="5"/>
        <v>38.720022519763553</v>
      </c>
      <c r="H131" s="143">
        <f>1/0.3865624</f>
        <v>2.5869044687222558</v>
      </c>
      <c r="I131" s="6"/>
    </row>
    <row r="132" spans="1:9" x14ac:dyDescent="0.3">
      <c r="A132" s="143">
        <v>100</v>
      </c>
      <c r="B132" s="143">
        <v>139.19881000000001</v>
      </c>
      <c r="C132" s="143">
        <f t="shared" si="0"/>
        <v>139.22301598499999</v>
      </c>
      <c r="D132" s="143">
        <v>139.26599999999999</v>
      </c>
      <c r="E132" s="143">
        <f t="shared" si="10"/>
        <v>2.6454628415279236E-5</v>
      </c>
      <c r="F132" s="143">
        <f t="shared" si="10"/>
        <v>5.3489316824292959E-6</v>
      </c>
      <c r="G132" s="143">
        <f t="shared" si="5"/>
        <v>7.116841660864727E-2</v>
      </c>
      <c r="H132" s="143">
        <f>1/0.3864454</f>
        <v>2.5876876785181038</v>
      </c>
      <c r="I132" s="6"/>
    </row>
    <row r="133" spans="1:9" x14ac:dyDescent="0.3">
      <c r="A133" s="143">
        <v>101</v>
      </c>
      <c r="B133" s="143">
        <v>139.58519999999999</v>
      </c>
      <c r="C133" s="143">
        <f t="shared" si="0"/>
        <v>139.60954631286214</v>
      </c>
      <c r="D133" s="6"/>
      <c r="E133" s="143">
        <f t="shared" si="10"/>
        <v>2.6607992199070976E-5</v>
      </c>
      <c r="F133" s="143">
        <f t="shared" si="10"/>
        <v>1.7373014722854921E-2</v>
      </c>
      <c r="G133" s="143">
        <f t="shared" si="5"/>
        <v>38.936005730612067</v>
      </c>
      <c r="H133" s="143">
        <f>1/0.3863285</f>
        <v>2.5884706926876997</v>
      </c>
      <c r="I133" s="6"/>
    </row>
    <row r="134" spans="1:9" x14ac:dyDescent="0.3">
      <c r="A134" s="143">
        <v>102</v>
      </c>
      <c r="B134" s="6"/>
      <c r="C134" s="143">
        <f t="shared" si="0"/>
        <v>139.99595936682351</v>
      </c>
      <c r="D134" s="6"/>
      <c r="E134" s="143">
        <f t="shared" si="10"/>
        <v>0.15300104848833171</v>
      </c>
      <c r="F134" s="143">
        <f t="shared" si="10"/>
        <v>1.7421099970983515E-2</v>
      </c>
      <c r="G134" s="143">
        <f t="shared" si="5"/>
        <v>381.36216271483261</v>
      </c>
      <c r="H134" s="6"/>
      <c r="I134" s="6"/>
    </row>
    <row r="135" spans="1:9" x14ac:dyDescent="0.3">
      <c r="A135" s="143">
        <v>103</v>
      </c>
      <c r="B135" s="6"/>
      <c r="C135" s="143">
        <f t="shared" si="0"/>
        <v>140.38225514688412</v>
      </c>
      <c r="D135" s="6"/>
      <c r="E135" s="143">
        <f t="shared" si="10"/>
        <v>0.15342322966872582</v>
      </c>
      <c r="F135" s="143">
        <f t="shared" si="10"/>
        <v>1.7469170625545559E-2</v>
      </c>
      <c r="G135" s="143">
        <f t="shared" si="5"/>
        <v>382.41446875850579</v>
      </c>
      <c r="H135" s="6"/>
      <c r="I135" s="6"/>
    </row>
    <row r="136" spans="1:9" x14ac:dyDescent="0.3">
      <c r="A136" s="143">
        <v>104</v>
      </c>
      <c r="B136" s="6">
        <v>140.74365</v>
      </c>
      <c r="C136" s="143">
        <f t="shared" si="0"/>
        <v>140.76843365304401</v>
      </c>
      <c r="D136" s="6">
        <v>140.81100000000001</v>
      </c>
      <c r="E136" s="143">
        <f t="shared" si="10"/>
        <v>2.7085959610941083E-5</v>
      </c>
      <c r="F136" s="143">
        <f t="shared" si="10"/>
        <v>5.2969570627169733E-6</v>
      </c>
      <c r="G136" s="143">
        <f t="shared" si="5"/>
        <v>7.2464871786478313E-2</v>
      </c>
      <c r="H136" s="6">
        <f>1/0.3859775</f>
        <v>2.5908245946978776</v>
      </c>
      <c r="I136" s="6"/>
    </row>
    <row r="137" spans="1:9" x14ac:dyDescent="0.3">
      <c r="A137" s="143">
        <v>105</v>
      </c>
      <c r="B137" s="6">
        <v>141.12967</v>
      </c>
      <c r="C137" s="143">
        <f t="shared" si="0"/>
        <v>141.15449488530314</v>
      </c>
      <c r="D137" s="6">
        <v>141.19800000000001</v>
      </c>
      <c r="E137" s="143">
        <f t="shared" si="10"/>
        <v>2.713102218921613E-5</v>
      </c>
      <c r="F137" s="143">
        <f t="shared" si="10"/>
        <v>5.4137773390829209E-6</v>
      </c>
      <c r="G137" s="143">
        <f t="shared" si="5"/>
        <v>7.2827125144451207E-2</v>
      </c>
      <c r="H137" s="6">
        <f>1/0.3858605</f>
        <v>2.5916101803631104</v>
      </c>
      <c r="I137" s="6"/>
    </row>
    <row r="138" spans="1:9" x14ac:dyDescent="0.3">
      <c r="A138" s="143">
        <v>106</v>
      </c>
      <c r="B138" s="6">
        <v>141.51537999999999</v>
      </c>
      <c r="C138" s="143">
        <f t="shared" si="0"/>
        <v>141.54043884366149</v>
      </c>
      <c r="D138" s="6">
        <v>141.584</v>
      </c>
      <c r="E138" s="143">
        <f t="shared" si="10"/>
        <v>2.7386714384150358E-5</v>
      </c>
      <c r="F138" s="143">
        <f t="shared" si="10"/>
        <v>5.4207511620846587E-6</v>
      </c>
      <c r="G138" s="143">
        <f t="shared" si="5"/>
        <v>7.3414906026087412E-2</v>
      </c>
      <c r="H138" s="6">
        <f>1/0.3857435</f>
        <v>2.592396242580886</v>
      </c>
      <c r="I138" s="6"/>
    </row>
    <row r="139" spans="1:9" x14ac:dyDescent="0.3">
      <c r="A139" s="143">
        <v>107</v>
      </c>
      <c r="B139" s="6"/>
      <c r="C139" s="143">
        <f t="shared" si="0"/>
        <v>141.92626552811913</v>
      </c>
      <c r="D139" s="6"/>
      <c r="E139" s="143">
        <f t="shared" si="10"/>
        <v>0.15511067270832693</v>
      </c>
      <c r="F139" s="143">
        <f t="shared" si="10"/>
        <v>1.7661307308128316E-2</v>
      </c>
      <c r="G139" s="143">
        <f t="shared" si="5"/>
        <v>386.62049828182273</v>
      </c>
      <c r="H139" s="6"/>
      <c r="I139" s="6"/>
    </row>
    <row r="140" spans="1:9" x14ac:dyDescent="0.3">
      <c r="A140" s="143">
        <v>108</v>
      </c>
      <c r="B140" s="6"/>
      <c r="C140" s="143">
        <f t="shared" si="0"/>
        <v>142.311974938676</v>
      </c>
      <c r="D140" s="6"/>
      <c r="E140" s="143">
        <f t="shared" si="10"/>
        <v>0.15553221304773335</v>
      </c>
      <c r="F140" s="143">
        <f t="shared" si="10"/>
        <v>1.7709304994857639E-2</v>
      </c>
      <c r="G140" s="143">
        <f t="shared" si="5"/>
        <v>387.67120699980802</v>
      </c>
      <c r="H140" s="6"/>
      <c r="I140" s="6"/>
    </row>
    <row r="141" spans="1:9" x14ac:dyDescent="0.3">
      <c r="A141" s="143">
        <v>109</v>
      </c>
      <c r="B141" s="6"/>
      <c r="C141" s="143">
        <f t="shared" si="0"/>
        <v>142.69756707533213</v>
      </c>
      <c r="D141" s="6"/>
      <c r="E141" s="143">
        <f t="shared" si="10"/>
        <v>0.15595362521894221</v>
      </c>
      <c r="F141" s="143">
        <f t="shared" si="10"/>
        <v>1.7757288088020424E-2</v>
      </c>
      <c r="G141" s="143">
        <f t="shared" si="5"/>
        <v>388.72159625265567</v>
      </c>
      <c r="H141" s="6"/>
      <c r="I141" s="6"/>
    </row>
    <row r="142" spans="1:9" x14ac:dyDescent="0.3">
      <c r="A142" s="143">
        <v>110</v>
      </c>
      <c r="B142" s="6"/>
      <c r="C142" s="143">
        <f t="shared" si="0"/>
        <v>143.08304193808749</v>
      </c>
      <c r="D142" s="6"/>
      <c r="E142" s="143">
        <f t="shared" si="10"/>
        <v>0.15637490922195355</v>
      </c>
      <c r="F142" s="143">
        <f t="shared" si="10"/>
        <v>1.7805256587616662E-2</v>
      </c>
      <c r="G142" s="143">
        <f t="shared" si="5"/>
        <v>389.77166604036574</v>
      </c>
      <c r="H142" s="6"/>
      <c r="I142" s="6"/>
    </row>
    <row r="143" spans="1:9" x14ac:dyDescent="0.3">
      <c r="A143" s="143">
        <v>111</v>
      </c>
      <c r="B143" s="6"/>
      <c r="C143" s="143">
        <f t="shared" si="0"/>
        <v>143.46839952694211</v>
      </c>
      <c r="D143" s="6"/>
      <c r="E143" s="143">
        <f t="shared" si="10"/>
        <v>0.15679606505676733</v>
      </c>
      <c r="F143" s="143">
        <f t="shared" si="10"/>
        <v>1.7853210493646354E-2</v>
      </c>
      <c r="G143" s="143">
        <f t="shared" si="5"/>
        <v>390.82141636293824</v>
      </c>
      <c r="H143" s="6"/>
      <c r="I143" s="6"/>
    </row>
    <row r="144" spans="1:9" x14ac:dyDescent="0.3">
      <c r="A144" s="143">
        <v>112</v>
      </c>
      <c r="B144" s="6"/>
      <c r="C144" s="143">
        <f t="shared" si="0"/>
        <v>143.85363984189601</v>
      </c>
      <c r="D144" s="6"/>
      <c r="E144" s="143">
        <f t="shared" ref="E144:F159" si="11">ABS(B144-C144)/(B$1-C$1)</f>
        <v>0.15721709272338361</v>
      </c>
      <c r="F144" s="143">
        <f t="shared" si="11"/>
        <v>1.7901149806109507E-2</v>
      </c>
      <c r="G144" s="143">
        <f t="shared" si="5"/>
        <v>391.87084722037326</v>
      </c>
      <c r="H144" s="6"/>
      <c r="I144" s="6"/>
    </row>
    <row r="145" spans="1:9" x14ac:dyDescent="0.3">
      <c r="A145" s="143">
        <v>113</v>
      </c>
      <c r="B145" s="6"/>
      <c r="C145" s="143">
        <f t="shared" si="0"/>
        <v>144.23876288294912</v>
      </c>
      <c r="D145" s="6"/>
      <c r="E145" s="143">
        <f t="shared" si="11"/>
        <v>0.1576379922218023</v>
      </c>
      <c r="F145" s="143">
        <f t="shared" si="11"/>
        <v>1.7949074525006114E-2</v>
      </c>
      <c r="G145" s="143">
        <f t="shared" si="5"/>
        <v>392.91995861267048</v>
      </c>
      <c r="H145" s="6"/>
      <c r="I145" s="6"/>
    </row>
    <row r="146" spans="1:9" x14ac:dyDescent="0.3">
      <c r="A146" s="143">
        <v>114</v>
      </c>
      <c r="B146" s="6"/>
      <c r="C146" s="143">
        <f t="shared" si="0"/>
        <v>144.62376865010148</v>
      </c>
      <c r="D146" s="6"/>
      <c r="E146" s="143">
        <f t="shared" si="11"/>
        <v>0.15805876355202347</v>
      </c>
      <c r="F146" s="143">
        <f t="shared" si="11"/>
        <v>1.7996984650336171E-2</v>
      </c>
      <c r="G146" s="143">
        <f t="shared" si="5"/>
        <v>393.9687505398303</v>
      </c>
      <c r="H146" s="6"/>
      <c r="I146" s="6"/>
    </row>
    <row r="147" spans="1:9" x14ac:dyDescent="0.3">
      <c r="A147" s="143">
        <v>115</v>
      </c>
      <c r="B147" s="6"/>
      <c r="C147" s="143">
        <f t="shared" si="0"/>
        <v>145.00865714335313</v>
      </c>
      <c r="D147" s="6"/>
      <c r="E147" s="143">
        <f t="shared" si="11"/>
        <v>0.15847940671404714</v>
      </c>
      <c r="F147" s="143">
        <f t="shared" si="11"/>
        <v>1.8044880182099692E-2</v>
      </c>
      <c r="G147" s="143">
        <f t="shared" si="5"/>
        <v>395.01722300185259</v>
      </c>
      <c r="H147" s="6"/>
      <c r="I147" s="6"/>
    </row>
    <row r="148" spans="1:9" x14ac:dyDescent="0.3">
      <c r="A148" s="143">
        <v>116</v>
      </c>
      <c r="B148" s="6"/>
      <c r="C148" s="143">
        <f t="shared" si="0"/>
        <v>145.39342836270401</v>
      </c>
      <c r="D148" s="6"/>
      <c r="E148" s="143">
        <f t="shared" si="11"/>
        <v>0.15889992170787323</v>
      </c>
      <c r="F148" s="143">
        <f t="shared" si="11"/>
        <v>1.8092761120296667E-2</v>
      </c>
      <c r="G148" s="143">
        <f t="shared" si="5"/>
        <v>396.06537599873718</v>
      </c>
      <c r="H148" s="6"/>
      <c r="I148" s="6"/>
    </row>
    <row r="149" spans="1:9" x14ac:dyDescent="0.3">
      <c r="A149" s="143">
        <v>117</v>
      </c>
      <c r="B149" s="6"/>
      <c r="C149" s="143">
        <f t="shared" si="0"/>
        <v>145.77808230815413</v>
      </c>
      <c r="D149" s="6"/>
      <c r="E149" s="143">
        <f t="shared" si="11"/>
        <v>0.15932030853350176</v>
      </c>
      <c r="F149" s="143">
        <f t="shared" si="11"/>
        <v>1.8140627464927093E-2</v>
      </c>
      <c r="G149" s="143">
        <f t="shared" si="5"/>
        <v>397.11320953048414</v>
      </c>
      <c r="H149" s="6"/>
      <c r="I149" s="6"/>
    </row>
    <row r="150" spans="1:9" x14ac:dyDescent="0.3">
      <c r="A150" s="143">
        <v>118</v>
      </c>
      <c r="B150" s="6"/>
      <c r="C150" s="143">
        <f t="shared" si="0"/>
        <v>146.1626189797035</v>
      </c>
      <c r="D150" s="6"/>
      <c r="E150" s="143">
        <f t="shared" si="11"/>
        <v>0.15974056719093277</v>
      </c>
      <c r="F150" s="143">
        <f t="shared" si="11"/>
        <v>1.8188479215990979E-2</v>
      </c>
      <c r="G150" s="143">
        <f t="shared" si="5"/>
        <v>398.16072359709364</v>
      </c>
      <c r="H150" s="6"/>
      <c r="I150" s="6"/>
    </row>
    <row r="151" spans="1:9" x14ac:dyDescent="0.3">
      <c r="A151" s="143">
        <v>119</v>
      </c>
      <c r="B151" s="6"/>
      <c r="C151" s="143">
        <f t="shared" si="0"/>
        <v>146.54703837735212</v>
      </c>
      <c r="D151" s="6"/>
      <c r="E151" s="143">
        <f t="shared" si="11"/>
        <v>0.16016069768016625</v>
      </c>
      <c r="F151" s="143">
        <f t="shared" si="11"/>
        <v>1.8236316373488319E-2</v>
      </c>
      <c r="G151" s="143">
        <f t="shared" si="5"/>
        <v>399.20791819856549</v>
      </c>
      <c r="H151" s="143">
        <f>1/0.3842226</f>
        <v>2.6026579383930044</v>
      </c>
      <c r="I151" s="6"/>
    </row>
    <row r="152" spans="1:9" x14ac:dyDescent="0.3">
      <c r="A152" s="143">
        <v>120</v>
      </c>
      <c r="B152" s="143">
        <v>146.90432000000001</v>
      </c>
      <c r="C152" s="143">
        <f t="shared" si="0"/>
        <v>146.93134050110001</v>
      </c>
      <c r="D152" s="143">
        <v>146.97499999999999</v>
      </c>
      <c r="E152" s="143">
        <f t="shared" si="11"/>
        <v>2.9530602295079035E-5</v>
      </c>
      <c r="F152" s="143">
        <f t="shared" si="11"/>
        <v>5.4329889123922761E-6</v>
      </c>
      <c r="G152" s="143">
        <f t="shared" si="5"/>
        <v>7.8239776224518914E-2</v>
      </c>
      <c r="H152" s="143">
        <f>1/0.3841056</f>
        <v>2.6034507177192938</v>
      </c>
      <c r="I152" s="6"/>
    </row>
    <row r="153" spans="1:9" x14ac:dyDescent="0.3">
      <c r="A153" s="143">
        <v>121</v>
      </c>
      <c r="B153" s="143">
        <v>147.28836999999999</v>
      </c>
      <c r="C153" s="143">
        <f t="shared" si="0"/>
        <v>147.31552535094713</v>
      </c>
      <c r="D153" s="6"/>
      <c r="E153" s="143">
        <f t="shared" si="11"/>
        <v>2.967797917720249E-5</v>
      </c>
      <c r="F153" s="143">
        <f t="shared" si="11"/>
        <v>1.8331946907783364E-2</v>
      </c>
      <c r="G153" s="143">
        <f t="shared" si="5"/>
        <v>41.088726090796008</v>
      </c>
      <c r="H153" s="143">
        <f>1/0.3839887</f>
        <v>2.6042433019513331</v>
      </c>
      <c r="I153" s="6"/>
    </row>
    <row r="154" spans="1:9" x14ac:dyDescent="0.3">
      <c r="A154" s="143">
        <v>122</v>
      </c>
      <c r="B154" s="6"/>
      <c r="C154" s="143">
        <f t="shared" si="0"/>
        <v>147.6995929268935</v>
      </c>
      <c r="D154" s="6"/>
      <c r="E154" s="143">
        <f t="shared" si="11"/>
        <v>0.16142032013868143</v>
      </c>
      <c r="F154" s="143">
        <f t="shared" si="11"/>
        <v>1.8379740284581073E-2</v>
      </c>
      <c r="G154" s="143">
        <f t="shared" si="5"/>
        <v>402.34758521215571</v>
      </c>
      <c r="H154" s="6"/>
      <c r="I154" s="6"/>
    </row>
    <row r="155" spans="1:9" x14ac:dyDescent="0.3">
      <c r="A155" s="143">
        <v>123</v>
      </c>
      <c r="B155" s="6"/>
      <c r="C155" s="143">
        <f t="shared" si="0"/>
        <v>148.08354322893913</v>
      </c>
      <c r="D155" s="6"/>
      <c r="E155" s="143">
        <f t="shared" si="11"/>
        <v>0.16183993795512475</v>
      </c>
      <c r="F155" s="143">
        <f t="shared" si="11"/>
        <v>1.8427519067812238E-2</v>
      </c>
      <c r="G155" s="143">
        <f t="shared" si="5"/>
        <v>403.39350195307725</v>
      </c>
      <c r="H155" s="6"/>
      <c r="I155" s="6"/>
    </row>
    <row r="156" spans="1:9" x14ac:dyDescent="0.3">
      <c r="A156" s="143">
        <v>124</v>
      </c>
      <c r="B156" s="6"/>
      <c r="C156" s="143">
        <f t="shared" si="0"/>
        <v>148.467376257084</v>
      </c>
      <c r="D156" s="6"/>
      <c r="E156" s="143">
        <f t="shared" si="11"/>
        <v>0.16225942760337048</v>
      </c>
      <c r="F156" s="143">
        <f t="shared" si="11"/>
        <v>1.8475283257476854E-2</v>
      </c>
      <c r="G156" s="143">
        <f t="shared" si="5"/>
        <v>404.4390992288611</v>
      </c>
      <c r="H156" s="6"/>
      <c r="I156" s="6"/>
    </row>
    <row r="157" spans="1:9" x14ac:dyDescent="0.3">
      <c r="A157" s="143">
        <v>125</v>
      </c>
      <c r="B157" s="143">
        <v>148.82338999999999</v>
      </c>
      <c r="C157" s="143">
        <f t="shared" si="0"/>
        <v>148.85109201132812</v>
      </c>
      <c r="D157" s="143">
        <v>148.89500000000001</v>
      </c>
      <c r="E157" s="143">
        <f t="shared" si="11"/>
        <v>3.0275422216536606E-5</v>
      </c>
      <c r="F157" s="143">
        <f t="shared" si="11"/>
        <v>5.4639109845557556E-6</v>
      </c>
      <c r="G157" s="143">
        <f t="shared" si="5"/>
        <v>7.9975692870744422E-2</v>
      </c>
      <c r="H157" s="143">
        <f>1/0.3835207</f>
        <v>2.6074211900426758</v>
      </c>
      <c r="I157" s="6"/>
    </row>
    <row r="158" spans="1:9" x14ac:dyDescent="0.3">
      <c r="A158" s="143">
        <v>126</v>
      </c>
      <c r="B158" s="6">
        <v>149.20685</v>
      </c>
      <c r="C158" s="143">
        <f t="shared" si="0"/>
        <v>149.2346904916715</v>
      </c>
      <c r="D158" s="6"/>
      <c r="E158" s="143">
        <f>ABS(B158-C158)/(B$1-C$1)</f>
        <v>3.042676685409574E-5</v>
      </c>
      <c r="F158" s="143">
        <f t="shared" si="11"/>
        <v>1.8570767856106458E-2</v>
      </c>
      <c r="G158" s="143">
        <f>(E158+F158)/2*E$1</f>
        <v>41.624823267529976</v>
      </c>
      <c r="H158" s="6"/>
      <c r="I158" s="6"/>
    </row>
    <row r="159" spans="1:9" x14ac:dyDescent="0.3">
      <c r="A159" s="143">
        <v>127</v>
      </c>
      <c r="B159" s="6"/>
      <c r="C159" s="143">
        <f t="shared" si="0"/>
        <v>149.61817169811414</v>
      </c>
      <c r="D159" s="6"/>
      <c r="E159" s="143">
        <f t="shared" si="11"/>
        <v>0.16351712753892256</v>
      </c>
      <c r="F159" s="143">
        <f t="shared" si="11"/>
        <v>1.8618488265071446E-2</v>
      </c>
      <c r="G159" s="143">
        <f t="shared" si="5"/>
        <v>407.57397426538762</v>
      </c>
      <c r="H159" s="6"/>
      <c r="I159" s="6"/>
    </row>
    <row r="160" spans="1:9" x14ac:dyDescent="0.3">
      <c r="A160" s="143">
        <v>128</v>
      </c>
      <c r="B160" s="6"/>
      <c r="C160" s="143">
        <f t="shared" si="0"/>
        <v>150.00153563065598</v>
      </c>
      <c r="D160" s="6"/>
      <c r="E160" s="143">
        <f t="shared" ref="E160:F175" si="12">ABS(B160-C160)/(B$1-C$1)</f>
        <v>0.16393610451437812</v>
      </c>
      <c r="F160" s="143">
        <f t="shared" si="12"/>
        <v>1.8666194080469881E-2</v>
      </c>
      <c r="G160" s="143">
        <f t="shared" si="5"/>
        <v>408.61829368062109</v>
      </c>
      <c r="H160" s="6"/>
      <c r="I160" s="6"/>
    </row>
    <row r="161" spans="1:9" x14ac:dyDescent="0.3">
      <c r="A161" s="143">
        <v>129</v>
      </c>
      <c r="B161" s="6"/>
      <c r="C161" s="143">
        <f t="shared" si="0"/>
        <v>150.38478228929714</v>
      </c>
      <c r="D161" s="6"/>
      <c r="E161" s="143">
        <f t="shared" si="12"/>
        <v>0.16435495332163622</v>
      </c>
      <c r="F161" s="143">
        <f t="shared" si="12"/>
        <v>1.8713885302301784E-2</v>
      </c>
      <c r="G161" s="143">
        <f t="shared" si="5"/>
        <v>409.66229363071727</v>
      </c>
      <c r="H161" s="6"/>
      <c r="I161" s="6"/>
    </row>
    <row r="162" spans="1:9" x14ac:dyDescent="0.3">
      <c r="A162" s="143">
        <v>130</v>
      </c>
      <c r="B162" s="6"/>
      <c r="C162" s="143">
        <f t="shared" si="0"/>
        <v>150.76791167403752</v>
      </c>
      <c r="D162" s="6"/>
      <c r="E162" s="143">
        <f t="shared" si="12"/>
        <v>0.16477367396069675</v>
      </c>
      <c r="F162" s="143">
        <f t="shared" si="12"/>
        <v>1.8761561930567137E-2</v>
      </c>
      <c r="G162" s="143">
        <f t="shared" si="5"/>
        <v>410.70597411567576</v>
      </c>
      <c r="H162" s="6"/>
      <c r="I162" s="6"/>
    </row>
    <row r="163" spans="1:9" x14ac:dyDescent="0.3">
      <c r="A163" s="143">
        <v>131</v>
      </c>
      <c r="B163" s="6"/>
      <c r="C163" s="143">
        <f t="shared" si="0"/>
        <v>151.15092378487714</v>
      </c>
      <c r="D163" s="6"/>
      <c r="E163" s="143">
        <f t="shared" si="12"/>
        <v>0.16519226643155971</v>
      </c>
      <c r="F163" s="143">
        <f t="shared" si="12"/>
        <v>1.8809223965265947E-2</v>
      </c>
      <c r="G163" s="143">
        <f t="shared" si="5"/>
        <v>411.74933513549661</v>
      </c>
      <c r="H163" s="6"/>
      <c r="I163" s="6"/>
    </row>
    <row r="164" spans="1:9" x14ac:dyDescent="0.3">
      <c r="A164" s="143">
        <v>132</v>
      </c>
      <c r="B164" s="6"/>
      <c r="C164" s="143">
        <f t="shared" si="0"/>
        <v>151.53381862181598</v>
      </c>
      <c r="D164" s="6"/>
      <c r="E164" s="143">
        <f t="shared" si="12"/>
        <v>0.16561073073422511</v>
      </c>
      <c r="F164" s="143">
        <f t="shared" si="12"/>
        <v>1.8856871406398207E-2</v>
      </c>
      <c r="G164" s="143">
        <f t="shared" si="5"/>
        <v>412.79237669017982</v>
      </c>
      <c r="H164" s="6"/>
      <c r="I164" s="6"/>
    </row>
    <row r="165" spans="1:9" x14ac:dyDescent="0.3">
      <c r="A165" s="143">
        <v>133</v>
      </c>
      <c r="B165" s="6"/>
      <c r="C165" s="143">
        <f t="shared" si="0"/>
        <v>151.91659618485411</v>
      </c>
      <c r="D165" s="6"/>
      <c r="E165" s="143">
        <f t="shared" si="12"/>
        <v>0.16602906686869301</v>
      </c>
      <c r="F165" s="143">
        <f t="shared" si="12"/>
        <v>1.8904504253963925E-2</v>
      </c>
      <c r="G165" s="143">
        <f t="shared" si="5"/>
        <v>413.83509877972557</v>
      </c>
      <c r="H165" s="6"/>
      <c r="I165" s="6"/>
    </row>
    <row r="166" spans="1:9" x14ac:dyDescent="0.3">
      <c r="A166" s="143">
        <v>134</v>
      </c>
      <c r="B166" s="6"/>
      <c r="C166" s="143">
        <f t="shared" si="0"/>
        <v>152.29925647399151</v>
      </c>
      <c r="D166" s="6"/>
      <c r="E166" s="143">
        <f t="shared" si="12"/>
        <v>0.16644727483496338</v>
      </c>
      <c r="F166" s="143">
        <f t="shared" si="12"/>
        <v>1.8952122507963104E-2</v>
      </c>
      <c r="G166" s="143">
        <f t="shared" si="5"/>
        <v>414.87750140413374</v>
      </c>
      <c r="H166" s="6"/>
      <c r="I166" s="6"/>
    </row>
    <row r="167" spans="1:9" x14ac:dyDescent="0.3">
      <c r="A167" s="143">
        <v>135</v>
      </c>
      <c r="B167" s="6">
        <v>152.65273999999999</v>
      </c>
      <c r="C167" s="143">
        <f t="shared" si="0"/>
        <v>152.68179948922813</v>
      </c>
      <c r="D167" s="6">
        <v>152.726</v>
      </c>
      <c r="E167" s="143">
        <f>ABS(B167-C167)/(B$1-C$1)</f>
        <v>3.1759004620909238E-5</v>
      </c>
      <c r="F167" s="143">
        <f t="shared" si="12"/>
        <v>5.5003124405018432E-6</v>
      </c>
      <c r="G167" s="143">
        <f t="shared" si="5"/>
        <v>8.3377036754172643E-2</v>
      </c>
      <c r="H167" s="6">
        <f>1/0.3823508</f>
        <v>2.6153992616204804</v>
      </c>
      <c r="I167" s="6"/>
    </row>
    <row r="168" spans="1:9" x14ac:dyDescent="0.3">
      <c r="A168" s="143">
        <v>136</v>
      </c>
      <c r="B168" s="6">
        <v>153.03503000000001</v>
      </c>
      <c r="C168" s="143">
        <f t="shared" si="0"/>
        <v>153.06422523056401</v>
      </c>
      <c r="D168" s="6">
        <v>153.108</v>
      </c>
      <c r="E168" s="143">
        <f t="shared" si="12"/>
        <v>3.190735580764976E-5</v>
      </c>
      <c r="F168" s="143">
        <f t="shared" si="12"/>
        <v>5.4473331801889561E-6</v>
      </c>
      <c r="G168" s="143">
        <f t="shared" si="5"/>
        <v>8.3590455282536086E-2</v>
      </c>
      <c r="H168" s="6">
        <f>1/0.3822338</f>
        <v>2.61619982324954</v>
      </c>
      <c r="I168" s="6"/>
    </row>
    <row r="169" spans="1:9" x14ac:dyDescent="0.3">
      <c r="A169" s="143">
        <v>137</v>
      </c>
      <c r="B169" s="6"/>
      <c r="C169" s="143">
        <f t="shared" si="0"/>
        <v>153.44653369799914</v>
      </c>
      <c r="D169" s="6"/>
      <c r="E169" s="143">
        <f t="shared" si="12"/>
        <v>0.16770112972458923</v>
      </c>
      <c r="F169" s="143">
        <f t="shared" si="12"/>
        <v>1.9094889708561366E-2</v>
      </c>
      <c r="G169" s="143">
        <f t="shared" si="5"/>
        <v>418.00279248653277</v>
      </c>
      <c r="H169" s="6"/>
      <c r="I169" s="6"/>
    </row>
    <row r="170" spans="1:9" x14ac:dyDescent="0.3">
      <c r="A170" s="143">
        <v>138</v>
      </c>
      <c r="B170" s="6"/>
      <c r="C170" s="143">
        <f t="shared" si="0"/>
        <v>153.82872489153351</v>
      </c>
      <c r="D170" s="6"/>
      <c r="E170" s="143">
        <f t="shared" si="12"/>
        <v>0.16811882501806941</v>
      </c>
      <c r="F170" s="143">
        <f t="shared" si="12"/>
        <v>1.9142449588294363E-2</v>
      </c>
      <c r="G170" s="143">
        <f t="shared" si="5"/>
        <v>419.04391725039051</v>
      </c>
      <c r="H170" s="6"/>
      <c r="I170" s="6"/>
    </row>
    <row r="171" spans="1:9" x14ac:dyDescent="0.3">
      <c r="A171" s="143">
        <v>139</v>
      </c>
      <c r="B171" s="6"/>
      <c r="C171" s="143">
        <f t="shared" si="0"/>
        <v>154.21079881116714</v>
      </c>
      <c r="D171" s="6"/>
      <c r="E171" s="143">
        <f t="shared" si="12"/>
        <v>0.16853639214335206</v>
      </c>
      <c r="F171" s="143">
        <f>ABS(C171-D171)/(C$1-D$1)</f>
        <v>1.9189994874460818E-2</v>
      </c>
      <c r="G171" s="143">
        <f t="shared" si="5"/>
        <v>420.08472254911078</v>
      </c>
      <c r="H171" s="143">
        <f>1/0.3818828</f>
        <v>2.6186044514180788</v>
      </c>
      <c r="I171" s="6"/>
    </row>
    <row r="172" spans="1:9" x14ac:dyDescent="0.3">
      <c r="A172" s="143">
        <v>140</v>
      </c>
      <c r="B172" s="143">
        <v>154.56303</v>
      </c>
      <c r="C172" s="143">
        <f t="shared" si="0"/>
        <v>154.59275545690002</v>
      </c>
      <c r="D172" s="143">
        <v>154.637</v>
      </c>
      <c r="E172" s="143">
        <f t="shared" si="12"/>
        <v>3.2486838142103261E-5</v>
      </c>
      <c r="F172" s="143">
        <f t="shared" si="12"/>
        <v>5.5057918242879885E-6</v>
      </c>
      <c r="G172" s="143">
        <f t="shared" si="5"/>
        <v>8.5018007707292023E-2</v>
      </c>
      <c r="H172" s="143">
        <f>1/0.3817658</f>
        <v>2.6194069767380945</v>
      </c>
      <c r="I172" s="6"/>
    </row>
    <row r="173" spans="1:9" x14ac:dyDescent="0.3">
      <c r="A173" s="143">
        <v>141</v>
      </c>
      <c r="B173" s="143">
        <v>154.94474</v>
      </c>
      <c r="C173" s="143">
        <f t="shared" si="0"/>
        <v>154.97459482873214</v>
      </c>
      <c r="D173" s="6"/>
      <c r="E173" s="143">
        <f t="shared" si="12"/>
        <v>3.2628228122558427E-5</v>
      </c>
      <c r="F173" s="143">
        <f t="shared" si="12"/>
        <v>1.9285041666094092E-2</v>
      </c>
      <c r="G173" s="143">
        <f t="shared" si="5"/>
        <v>43.228115805783311</v>
      </c>
      <c r="H173" s="143">
        <f>1/0.3816489</f>
        <v>2.6202093075599064</v>
      </c>
      <c r="I173" s="6"/>
    </row>
    <row r="174" spans="1:9" x14ac:dyDescent="0.3">
      <c r="A174" s="143">
        <v>142</v>
      </c>
      <c r="B174" s="6"/>
      <c r="C174" s="143">
        <f t="shared" si="0"/>
        <v>155.35631692666351</v>
      </c>
      <c r="D174" s="6"/>
      <c r="E174" s="143">
        <f t="shared" si="12"/>
        <v>0.16978832451001477</v>
      </c>
      <c r="F174" s="143">
        <f t="shared" si="12"/>
        <v>1.9332543171560915E-2</v>
      </c>
      <c r="G174" s="143">
        <f t="shared" si="5"/>
        <v>423.20522165444601</v>
      </c>
      <c r="H174" s="6"/>
      <c r="I174" s="6"/>
    </row>
    <row r="175" spans="1:9" x14ac:dyDescent="0.3">
      <c r="A175" s="143">
        <v>143</v>
      </c>
      <c r="B175" s="6"/>
      <c r="C175" s="143">
        <f t="shared" si="0"/>
        <v>155.73792175069414</v>
      </c>
      <c r="D175" s="6"/>
      <c r="E175" s="143">
        <f t="shared" si="12"/>
        <v>0.17020537896250726</v>
      </c>
      <c r="F175" s="143">
        <f t="shared" si="12"/>
        <v>1.9380030083461192E-2</v>
      </c>
      <c r="G175" s="143">
        <f t="shared" si="5"/>
        <v>424.2447490926159</v>
      </c>
      <c r="H175" s="6"/>
      <c r="I175" s="6"/>
    </row>
    <row r="176" spans="1:9" x14ac:dyDescent="0.3">
      <c r="A176" s="143">
        <v>144</v>
      </c>
      <c r="B176" s="6"/>
      <c r="C176" s="143">
        <f t="shared" si="0"/>
        <v>156.11940930082403</v>
      </c>
      <c r="D176" s="6"/>
      <c r="E176" s="143">
        <f t="shared" ref="E176:F191" si="13">ABS(B176-C176)/(B$1-C$1)</f>
        <v>0.17062230524680222</v>
      </c>
      <c r="F176" s="143">
        <f t="shared" si="13"/>
        <v>1.9427502401794926E-2</v>
      </c>
      <c r="G176" s="143">
        <f t="shared" si="5"/>
        <v>425.28395706564822</v>
      </c>
      <c r="H176" s="6"/>
      <c r="I176" s="6"/>
    </row>
    <row r="177" spans="1:9" x14ac:dyDescent="0.3">
      <c r="A177" s="143">
        <v>145</v>
      </c>
      <c r="B177" s="6"/>
      <c r="C177" s="143">
        <f t="shared" si="0"/>
        <v>156.50077957705312</v>
      </c>
      <c r="D177" s="6"/>
      <c r="E177" s="143">
        <f t="shared" si="13"/>
        <v>0.1710391033628996</v>
      </c>
      <c r="F177" s="143">
        <f t="shared" si="13"/>
        <v>1.9474960126562111E-2</v>
      </c>
      <c r="G177" s="143">
        <f t="shared" si="5"/>
        <v>426.32284557354291</v>
      </c>
      <c r="H177" s="6"/>
      <c r="I177" s="6"/>
    </row>
    <row r="178" spans="1:9" x14ac:dyDescent="0.3">
      <c r="A178" s="143">
        <v>146</v>
      </c>
      <c r="B178" s="6"/>
      <c r="C178" s="143">
        <f t="shared" si="0"/>
        <v>156.8820325793815</v>
      </c>
      <c r="D178" s="6"/>
      <c r="E178" s="143">
        <f t="shared" si="13"/>
        <v>0.17145577331079945</v>
      </c>
      <c r="F178" s="143">
        <f t="shared" si="13"/>
        <v>1.9522403257762756E-2</v>
      </c>
      <c r="G178" s="143">
        <f t="shared" si="5"/>
        <v>427.36141461630007</v>
      </c>
      <c r="H178" s="6"/>
      <c r="I178" s="6"/>
    </row>
    <row r="179" spans="1:9" x14ac:dyDescent="0.3">
      <c r="A179" s="143">
        <v>147</v>
      </c>
      <c r="B179" s="6"/>
      <c r="C179" s="143">
        <f t="shared" si="0"/>
        <v>157.26316830780914</v>
      </c>
      <c r="D179" s="6"/>
      <c r="E179" s="143">
        <f t="shared" si="13"/>
        <v>0.1718723150905018</v>
      </c>
      <c r="F179" s="143">
        <f t="shared" si="13"/>
        <v>1.9569831795396855E-2</v>
      </c>
      <c r="G179" s="143">
        <f t="shared" si="5"/>
        <v>428.39966419391976</v>
      </c>
      <c r="H179" s="6"/>
      <c r="I179" s="6"/>
    </row>
    <row r="180" spans="1:9" x14ac:dyDescent="0.3">
      <c r="A180" s="143">
        <v>148</v>
      </c>
      <c r="B180" s="6"/>
      <c r="C180" s="143">
        <f t="shared" si="0"/>
        <v>157.64418676233601</v>
      </c>
      <c r="D180" s="6"/>
      <c r="E180" s="143">
        <f t="shared" si="13"/>
        <v>0.17228872870200657</v>
      </c>
      <c r="F180" s="143">
        <f t="shared" si="13"/>
        <v>1.9617245739464412E-2</v>
      </c>
      <c r="G180" s="143">
        <f t="shared" si="5"/>
        <v>429.43759430640171</v>
      </c>
      <c r="H180" s="6"/>
      <c r="I180" s="6"/>
    </row>
    <row r="181" spans="1:9" x14ac:dyDescent="0.3">
      <c r="A181" s="143">
        <v>149</v>
      </c>
      <c r="B181" s="6"/>
      <c r="C181" s="143">
        <f t="shared" si="0"/>
        <v>158.0250879429621</v>
      </c>
      <c r="D181" s="6"/>
      <c r="E181" s="143">
        <f t="shared" si="13"/>
        <v>0.17270501414531378</v>
      </c>
      <c r="F181" s="143">
        <f t="shared" si="13"/>
        <v>1.9664645089965418E-2</v>
      </c>
      <c r="G181" s="143">
        <f t="shared" si="5"/>
        <v>430.47520495374607</v>
      </c>
      <c r="H181" s="143">
        <f>1/0.3807129</f>
        <v>2.6266512114509384</v>
      </c>
      <c r="I181" s="6"/>
    </row>
    <row r="182" spans="1:9" x14ac:dyDescent="0.3">
      <c r="A182" s="143">
        <v>150</v>
      </c>
      <c r="B182" s="143">
        <v>158.37484000000001</v>
      </c>
      <c r="C182" s="143">
        <f t="shared" si="0"/>
        <v>158.40587184968751</v>
      </c>
      <c r="D182" s="143">
        <v>158.44999999999999</v>
      </c>
      <c r="E182" s="143">
        <f t="shared" si="13"/>
        <v>3.3914589822413534E-5</v>
      </c>
      <c r="F182" s="143">
        <f t="shared" si="13"/>
        <v>5.4913079034935532E-6</v>
      </c>
      <c r="G182" s="143">
        <f t="shared" si="5"/>
        <v>8.818054763614859E-2</v>
      </c>
      <c r="H182" s="143">
        <f>1/0.3805959</f>
        <v>2.6274586773005173</v>
      </c>
      <c r="I182" s="6"/>
    </row>
    <row r="183" spans="1:9" x14ac:dyDescent="0.3">
      <c r="A183" s="143">
        <v>151</v>
      </c>
      <c r="B183" s="143">
        <v>158.75538</v>
      </c>
      <c r="C183" s="143">
        <f t="shared" si="0"/>
        <v>158.78653848251216</v>
      </c>
      <c r="D183" s="6"/>
      <c r="E183" s="143">
        <f t="shared" si="13"/>
        <v>3.4052986352081146E-5</v>
      </c>
      <c r="F183" s="143">
        <f t="shared" si="13"/>
        <v>1.9759400010267814E-2</v>
      </c>
      <c r="G183" s="143">
        <f t="shared" si="5"/>
        <v>44.292799443186169</v>
      </c>
      <c r="H183" s="143">
        <f>1/0.380479</f>
        <v>2.6282659489748448</v>
      </c>
      <c r="I183" s="6"/>
    </row>
    <row r="184" spans="1:9" x14ac:dyDescent="0.3">
      <c r="A184" s="143">
        <v>152</v>
      </c>
      <c r="B184" s="6"/>
      <c r="C184" s="143">
        <f t="shared" si="0"/>
        <v>159.167087841436</v>
      </c>
      <c r="D184" s="6"/>
      <c r="E184" s="143">
        <f t="shared" si="13"/>
        <v>0.17395310146605028</v>
      </c>
      <c r="F184" s="143">
        <f t="shared" si="13"/>
        <v>1.9806755580069189E-2</v>
      </c>
      <c r="G184" s="143">
        <f t="shared" si="5"/>
        <v>433.58612010495386</v>
      </c>
      <c r="H184" s="6"/>
      <c r="I184" s="6"/>
    </row>
    <row r="185" spans="1:9" x14ac:dyDescent="0.3">
      <c r="A185" s="143">
        <v>153</v>
      </c>
      <c r="B185" s="6"/>
      <c r="C185" s="143">
        <f t="shared" si="0"/>
        <v>159.54751992645913</v>
      </c>
      <c r="D185" s="6"/>
      <c r="E185" s="143">
        <f t="shared" si="13"/>
        <v>0.17436887423656736</v>
      </c>
      <c r="F185" s="143">
        <f t="shared" si="13"/>
        <v>1.9854096556304022E-2</v>
      </c>
      <c r="G185" s="143">
        <f t="shared" si="5"/>
        <v>434.62245289174791</v>
      </c>
      <c r="H185" s="6"/>
      <c r="I185" s="6"/>
    </row>
    <row r="186" spans="1:9" x14ac:dyDescent="0.3">
      <c r="A186" s="143">
        <v>154</v>
      </c>
      <c r="B186" s="6"/>
      <c r="C186" s="143">
        <f t="shared" si="0"/>
        <v>159.92783473758149</v>
      </c>
      <c r="D186" s="6"/>
      <c r="E186" s="143">
        <f t="shared" si="13"/>
        <v>0.17478451883888688</v>
      </c>
      <c r="F186" s="143">
        <f t="shared" si="13"/>
        <v>1.9901422938972312E-2</v>
      </c>
      <c r="G186" s="143">
        <f t="shared" si="5"/>
        <v>435.65846621340444</v>
      </c>
      <c r="H186" s="6"/>
      <c r="I186" s="6"/>
    </row>
    <row r="187" spans="1:9" x14ac:dyDescent="0.3">
      <c r="A187" s="143">
        <v>155</v>
      </c>
      <c r="B187" s="6"/>
      <c r="C187" s="143">
        <f t="shared" si="0"/>
        <v>160.30803227480314</v>
      </c>
      <c r="D187" s="6"/>
      <c r="E187" s="143">
        <f t="shared" si="13"/>
        <v>0.1752000352730089</v>
      </c>
      <c r="F187" s="143">
        <f t="shared" si="13"/>
        <v>1.9948734728074059E-2</v>
      </c>
      <c r="G187" s="143">
        <f t="shared" si="5"/>
        <v>436.69416006992338</v>
      </c>
      <c r="H187" s="6"/>
      <c r="I187" s="6"/>
    </row>
    <row r="188" spans="1:9" x14ac:dyDescent="0.3">
      <c r="A188" s="143">
        <v>156</v>
      </c>
      <c r="B188" s="6"/>
      <c r="C188" s="143">
        <f t="shared" si="0"/>
        <v>160.68811253812399</v>
      </c>
      <c r="D188" s="6"/>
      <c r="E188" s="143">
        <f t="shared" si="13"/>
        <v>0.17561542353893331</v>
      </c>
      <c r="F188" s="143">
        <f t="shared" si="13"/>
        <v>1.9996031923609256E-2</v>
      </c>
      <c r="G188" s="143">
        <f t="shared" si="5"/>
        <v>437.72953446130458</v>
      </c>
      <c r="H188" s="6"/>
      <c r="I188" s="6"/>
    </row>
    <row r="189" spans="1:9" x14ac:dyDescent="0.3">
      <c r="A189" s="143">
        <v>157</v>
      </c>
      <c r="B189" s="6"/>
      <c r="C189" s="143">
        <f t="shared" si="0"/>
        <v>161.06807552754412</v>
      </c>
      <c r="D189" s="6"/>
      <c r="E189" s="143">
        <f t="shared" si="13"/>
        <v>0.17603068363666025</v>
      </c>
      <c r="F189" s="143">
        <f t="shared" si="13"/>
        <v>2.0043314525577914E-2</v>
      </c>
      <c r="G189" s="143">
        <f t="shared" si="5"/>
        <v>438.76458938754848</v>
      </c>
      <c r="H189" s="6"/>
      <c r="I189" s="6"/>
    </row>
    <row r="190" spans="1:9" x14ac:dyDescent="0.3">
      <c r="A190" s="143">
        <v>158</v>
      </c>
      <c r="B190" s="6"/>
      <c r="C190" s="143">
        <f t="shared" si="0"/>
        <v>161.44792124306352</v>
      </c>
      <c r="D190" s="6"/>
      <c r="E190" s="143">
        <f t="shared" si="13"/>
        <v>0.17644581556618963</v>
      </c>
      <c r="F190" s="143">
        <f t="shared" si="13"/>
        <v>2.009058253398003E-2</v>
      </c>
      <c r="G190" s="143">
        <f t="shared" si="5"/>
        <v>439.79932484865463</v>
      </c>
      <c r="H190" s="6"/>
      <c r="I190" s="6"/>
    </row>
    <row r="191" spans="1:9" x14ac:dyDescent="0.3">
      <c r="A191" s="143">
        <v>159</v>
      </c>
      <c r="B191" s="6"/>
      <c r="C191" s="143">
        <f t="shared" si="0"/>
        <v>161.82764968468211</v>
      </c>
      <c r="D191" s="6"/>
      <c r="E191" s="143">
        <f t="shared" si="13"/>
        <v>0.17686081932752143</v>
      </c>
      <c r="F191" s="143">
        <f t="shared" si="13"/>
        <v>2.0137835948815595E-2</v>
      </c>
      <c r="G191" s="143">
        <f t="shared" si="5"/>
        <v>440.83374084462321</v>
      </c>
      <c r="H191" s="6"/>
      <c r="I191" s="6"/>
    </row>
    <row r="192" spans="1:9" x14ac:dyDescent="0.3">
      <c r="A192" s="143">
        <v>160</v>
      </c>
      <c r="B192" s="143">
        <v>162.17495</v>
      </c>
      <c r="C192" s="143">
        <f t="shared" si="0"/>
        <v>162.2072608524</v>
      </c>
      <c r="D192" s="143">
        <v>162.251</v>
      </c>
      <c r="E192" s="143">
        <f t="shared" ref="E192:F207" si="14">ABS(B192-C192)/(B$1-C$1)</f>
        <v>3.5312406994537678E-5</v>
      </c>
      <c r="F192" s="143">
        <f t="shared" si="14"/>
        <v>5.4429003982089723E-6</v>
      </c>
      <c r="G192" s="143">
        <f t="shared" si="5"/>
        <v>9.1200189118118821E-2</v>
      </c>
      <c r="H192" s="143">
        <f>1/0.379426</f>
        <v>2.6355600301508066</v>
      </c>
      <c r="I192" s="6"/>
    </row>
    <row r="193" spans="1:9" x14ac:dyDescent="0.3">
      <c r="A193" s="143">
        <v>161</v>
      </c>
      <c r="B193" s="6">
        <v>162.55431999999999</v>
      </c>
      <c r="C193" s="143">
        <f t="shared" si="0"/>
        <v>162.58675474621714</v>
      </c>
      <c r="D193" s="6">
        <v>162.631</v>
      </c>
      <c r="E193" s="143">
        <f t="shared" si="14"/>
        <v>3.5447810073386681E-5</v>
      </c>
      <c r="F193" s="143">
        <f t="shared" si="14"/>
        <v>5.5058802616801246E-6</v>
      </c>
      <c r="G193" s="143">
        <f t="shared" si="5"/>
        <v>9.1644120547295746E-2</v>
      </c>
      <c r="H193" s="6"/>
      <c r="I193" s="6"/>
    </row>
    <row r="194" spans="1:9" x14ac:dyDescent="0.3">
      <c r="A194" s="143">
        <v>162</v>
      </c>
      <c r="B194" s="6"/>
      <c r="C194" s="143">
        <f t="shared" si="0"/>
        <v>162.96613136613351</v>
      </c>
      <c r="D194" s="6"/>
      <c r="E194" s="143">
        <f t="shared" si="14"/>
        <v>0.17810506160233169</v>
      </c>
      <c r="F194" s="143">
        <f t="shared" si="14"/>
        <v>2.0279508631923036E-2</v>
      </c>
      <c r="G194" s="143">
        <f t="shared" si="5"/>
        <v>443.93507204170356</v>
      </c>
      <c r="H194" s="6"/>
      <c r="I194" s="6"/>
    </row>
    <row r="195" spans="1:9" x14ac:dyDescent="0.3">
      <c r="A195" s="143">
        <v>163</v>
      </c>
      <c r="B195" s="6"/>
      <c r="C195" s="143">
        <f t="shared" si="0"/>
        <v>163.34539071214914</v>
      </c>
      <c r="D195" s="6"/>
      <c r="E195" s="143">
        <f t="shared" si="14"/>
        <v>0.17851955269087338</v>
      </c>
      <c r="F195" s="143">
        <f t="shared" si="14"/>
        <v>2.0326703672492428E-2</v>
      </c>
      <c r="G195" s="143">
        <f t="shared" si="5"/>
        <v>444.96821017712182</v>
      </c>
      <c r="H195" s="6"/>
      <c r="I195" s="6"/>
    </row>
    <row r="196" spans="1:9" x14ac:dyDescent="0.3">
      <c r="A196" s="143">
        <v>164</v>
      </c>
      <c r="B196" s="6"/>
      <c r="C196" s="143">
        <f t="shared" si="0"/>
        <v>163.72453278426403</v>
      </c>
      <c r="D196" s="6"/>
      <c r="E196" s="143">
        <f t="shared" si="14"/>
        <v>0.17893391561121752</v>
      </c>
      <c r="F196" s="143">
        <f t="shared" si="14"/>
        <v>2.0373884119495273E-2</v>
      </c>
      <c r="G196" s="143">
        <f t="shared" si="5"/>
        <v>446.00102884740255</v>
      </c>
      <c r="H196" s="6"/>
      <c r="I196" s="6"/>
    </row>
    <row r="197" spans="1:9" x14ac:dyDescent="0.3">
      <c r="A197" s="143">
        <v>165</v>
      </c>
      <c r="B197" s="6"/>
      <c r="C197" s="143">
        <f t="shared" si="0"/>
        <v>164.10355758247815</v>
      </c>
      <c r="D197" s="6"/>
      <c r="E197" s="143">
        <f t="shared" si="14"/>
        <v>0.1793481503633641</v>
      </c>
      <c r="F197" s="143">
        <f t="shared" si="14"/>
        <v>2.0421049972931576E-2</v>
      </c>
      <c r="G197" s="143">
        <f t="shared" si="5"/>
        <v>447.03352805254565</v>
      </c>
      <c r="H197" s="6"/>
      <c r="I197" s="6"/>
    </row>
    <row r="198" spans="1:9" x14ac:dyDescent="0.3">
      <c r="A198" s="143">
        <v>166</v>
      </c>
      <c r="B198" s="6"/>
      <c r="C198" s="143">
        <f t="shared" si="0"/>
        <v>164.48246510679149</v>
      </c>
      <c r="D198" s="6"/>
      <c r="E198" s="143">
        <f t="shared" si="14"/>
        <v>0.1797622569473131</v>
      </c>
      <c r="F198" s="143">
        <f t="shared" si="14"/>
        <v>2.0468201232801332E-2</v>
      </c>
      <c r="G198" s="143">
        <f t="shared" si="5"/>
        <v>448.06570779255105</v>
      </c>
      <c r="H198" s="6"/>
      <c r="I198" s="6"/>
    </row>
    <row r="199" spans="1:9" x14ac:dyDescent="0.3">
      <c r="A199" s="143">
        <v>167</v>
      </c>
      <c r="B199" s="6"/>
      <c r="C199" s="143">
        <f t="shared" si="0"/>
        <v>164.86125535720413</v>
      </c>
      <c r="D199" s="6"/>
      <c r="E199" s="143">
        <f t="shared" si="14"/>
        <v>0.18017623536306462</v>
      </c>
      <c r="F199" s="143">
        <f t="shared" si="14"/>
        <v>2.0515337899104546E-2</v>
      </c>
      <c r="G199" s="143">
        <f t="shared" si="5"/>
        <v>449.09756806741905</v>
      </c>
      <c r="H199" s="6"/>
      <c r="I199" s="6"/>
    </row>
    <row r="200" spans="1:9" x14ac:dyDescent="0.3">
      <c r="A200" s="143">
        <v>168</v>
      </c>
      <c r="B200" s="6"/>
      <c r="C200" s="143">
        <f t="shared" si="0"/>
        <v>165.23992833371602</v>
      </c>
      <c r="D200" s="6"/>
      <c r="E200" s="143">
        <f t="shared" si="14"/>
        <v>0.18059008561061859</v>
      </c>
      <c r="F200" s="143">
        <f t="shared" si="14"/>
        <v>2.0562459971841217E-2</v>
      </c>
      <c r="G200" s="143">
        <f t="shared" si="5"/>
        <v>450.12910887714946</v>
      </c>
      <c r="H200" s="6"/>
      <c r="I200" s="6"/>
    </row>
    <row r="201" spans="1:9" x14ac:dyDescent="0.3">
      <c r="A201" s="143">
        <v>169</v>
      </c>
      <c r="B201" s="6"/>
      <c r="C201" s="143">
        <f t="shared" si="0"/>
        <v>165.61848403632715</v>
      </c>
      <c r="D201" s="6"/>
      <c r="E201" s="143">
        <f t="shared" si="14"/>
        <v>0.18100380768997501</v>
      </c>
      <c r="F201" s="143">
        <f t="shared" si="14"/>
        <v>2.0609567451011342E-2</v>
      </c>
      <c r="G201" s="143">
        <f t="shared" si="5"/>
        <v>451.16033022174219</v>
      </c>
      <c r="H201" s="6"/>
      <c r="I201" s="6"/>
    </row>
    <row r="202" spans="1:9" x14ac:dyDescent="0.3">
      <c r="A202" s="143">
        <v>170</v>
      </c>
      <c r="B202" s="6"/>
      <c r="C202" s="143">
        <f t="shared" si="0"/>
        <v>165.9969224650375</v>
      </c>
      <c r="D202" s="6"/>
      <c r="E202" s="143">
        <f t="shared" si="14"/>
        <v>0.18141740160113387</v>
      </c>
      <c r="F202" s="143">
        <f t="shared" si="14"/>
        <v>2.065666033661492E-2</v>
      </c>
      <c r="G202" s="143">
        <f t="shared" si="5"/>
        <v>452.19123210119739</v>
      </c>
      <c r="H202" s="6"/>
      <c r="I202" s="6"/>
    </row>
    <row r="203" spans="1:9" x14ac:dyDescent="0.3">
      <c r="A203" s="143">
        <v>171</v>
      </c>
      <c r="B203" s="6"/>
      <c r="C203" s="143">
        <f t="shared" si="0"/>
        <v>166.37524361984714</v>
      </c>
      <c r="D203" s="6"/>
      <c r="E203" s="143">
        <f t="shared" si="14"/>
        <v>0.18183086734409523</v>
      </c>
      <c r="F203" s="143">
        <f t="shared" si="14"/>
        <v>2.070373862865196E-2</v>
      </c>
      <c r="G203" s="143">
        <f t="shared" si="5"/>
        <v>453.22181451551501</v>
      </c>
      <c r="H203" s="6"/>
      <c r="I203" s="6"/>
    </row>
    <row r="204" spans="1:9" x14ac:dyDescent="0.3">
      <c r="A204" s="143">
        <v>172</v>
      </c>
      <c r="B204" s="6"/>
      <c r="C204" s="143">
        <f t="shared" si="0"/>
        <v>166.75344750075598</v>
      </c>
      <c r="D204" s="6"/>
      <c r="E204" s="143">
        <f t="shared" si="14"/>
        <v>0.18224420491885901</v>
      </c>
      <c r="F204" s="143">
        <f t="shared" si="14"/>
        <v>2.0750802327122446E-2</v>
      </c>
      <c r="G204" s="143">
        <f t="shared" si="5"/>
        <v>454.25207746469499</v>
      </c>
      <c r="H204" s="6"/>
      <c r="I204" s="6"/>
    </row>
    <row r="205" spans="1:9" x14ac:dyDescent="0.3">
      <c r="A205" s="143">
        <v>173</v>
      </c>
      <c r="B205" s="6"/>
      <c r="C205" s="143">
        <f t="shared" si="0"/>
        <v>167.13153410776411</v>
      </c>
      <c r="D205" s="6"/>
      <c r="E205" s="143">
        <f t="shared" si="14"/>
        <v>0.18265741432542526</v>
      </c>
      <c r="F205" s="143">
        <f t="shared" si="14"/>
        <v>2.0797851432026396E-2</v>
      </c>
      <c r="G205" s="143">
        <f t="shared" si="5"/>
        <v>455.28202094873745</v>
      </c>
      <c r="H205" s="6"/>
      <c r="I205" s="6"/>
    </row>
    <row r="206" spans="1:9" x14ac:dyDescent="0.3">
      <c r="A206" s="143">
        <v>174</v>
      </c>
      <c r="B206" s="6"/>
      <c r="C206" s="143">
        <f t="shared" si="0"/>
        <v>167.5095034408715</v>
      </c>
      <c r="D206" s="6"/>
      <c r="E206" s="143">
        <f t="shared" si="14"/>
        <v>0.18307049556379398</v>
      </c>
      <c r="F206" s="143">
        <f t="shared" si="14"/>
        <v>2.0844885943363801E-2</v>
      </c>
      <c r="G206" s="143">
        <f t="shared" si="5"/>
        <v>456.31164496764234</v>
      </c>
      <c r="H206" s="6"/>
      <c r="I206" s="6"/>
    </row>
    <row r="207" spans="1:9" x14ac:dyDescent="0.3">
      <c r="A207" s="143">
        <v>175</v>
      </c>
      <c r="B207" s="143">
        <v>167.85318000000001</v>
      </c>
      <c r="C207" s="143">
        <f t="shared" si="0"/>
        <v>167.88735550007814</v>
      </c>
      <c r="D207" s="143">
        <v>167.93100000000001</v>
      </c>
      <c r="E207" s="143">
        <f t="shared" si="14"/>
        <v>3.7350273309436884E-5</v>
      </c>
      <c r="F207" s="143">
        <f t="shared" si="14"/>
        <v>5.4311224392568341E-6</v>
      </c>
      <c r="G207" s="143">
        <f t="shared" si="5"/>
        <v>9.5734068336639375E-2</v>
      </c>
      <c r="H207" s="143">
        <f>1/0.3776712</f>
        <v>2.6478058162761684</v>
      </c>
      <c r="I207" s="6"/>
    </row>
    <row r="208" spans="1:9" x14ac:dyDescent="0.3">
      <c r="A208" s="143">
        <v>176</v>
      </c>
      <c r="B208" s="6">
        <v>168.20379</v>
      </c>
      <c r="C208" s="143">
        <f t="shared" si="0"/>
        <v>168.26509028538399</v>
      </c>
      <c r="D208" s="6"/>
      <c r="E208" s="143">
        <f t="shared" ref="E208:F223" si="15">ABS(B208-C208)/(B$1-C$1)</f>
        <v>6.6994847414200012E-5</v>
      </c>
      <c r="F208" s="143">
        <f t="shared" si="15"/>
        <v>2.0938911185338974E-2</v>
      </c>
      <c r="G208" s="143">
        <f t="shared" si="5"/>
        <v>47.005966224793411</v>
      </c>
      <c r="H208" s="6"/>
      <c r="I208" s="6"/>
    </row>
    <row r="209" spans="1:9" x14ac:dyDescent="0.3">
      <c r="A209" s="143">
        <v>177</v>
      </c>
      <c r="B209" s="6"/>
      <c r="C209" s="143">
        <f t="shared" si="0"/>
        <v>168.64270779678913</v>
      </c>
      <c r="D209" s="6"/>
      <c r="E209" s="143">
        <f t="shared" si="15"/>
        <v>0.18430897026971488</v>
      </c>
      <c r="F209" s="143">
        <f t="shared" si="15"/>
        <v>2.0985901915976744E-2</v>
      </c>
      <c r="G209" s="143">
        <f t="shared" si="5"/>
        <v>459.3986002335314</v>
      </c>
      <c r="H209" s="6"/>
      <c r="I209" s="6"/>
    </row>
    <row r="210" spans="1:9" x14ac:dyDescent="0.3">
      <c r="A210" s="143">
        <v>178</v>
      </c>
      <c r="B210" s="6"/>
      <c r="C210" s="143">
        <f t="shared" si="0"/>
        <v>169.02020803429352</v>
      </c>
      <c r="D210" s="6"/>
      <c r="E210" s="143">
        <f t="shared" si="15"/>
        <v>0.18472153883529346</v>
      </c>
      <c r="F210" s="143">
        <f t="shared" si="15"/>
        <v>2.1032878053047974E-2</v>
      </c>
      <c r="G210" s="143">
        <f t="shared" si="5"/>
        <v>460.42694639188608</v>
      </c>
      <c r="H210" s="6"/>
      <c r="I210" s="6"/>
    </row>
    <row r="211" spans="1:9" x14ac:dyDescent="0.3">
      <c r="A211" s="143">
        <v>179</v>
      </c>
      <c r="B211" s="6"/>
      <c r="C211" s="143">
        <f t="shared" si="0"/>
        <v>169.39759099789714</v>
      </c>
      <c r="D211" s="6"/>
      <c r="E211" s="143">
        <f t="shared" si="15"/>
        <v>0.18513397923267447</v>
      </c>
      <c r="F211" s="143">
        <f t="shared" si="15"/>
        <v>2.1079839596552654E-2</v>
      </c>
      <c r="G211" s="143">
        <f t="shared" si="5"/>
        <v>461.45497308510301</v>
      </c>
      <c r="H211" s="143">
        <f>1/0.3772032</f>
        <v>2.6510909769588378</v>
      </c>
      <c r="I211" s="6"/>
    </row>
    <row r="212" spans="1:9" x14ac:dyDescent="0.3">
      <c r="A212" s="143">
        <v>180</v>
      </c>
      <c r="B212" s="143">
        <v>169.74008000000001</v>
      </c>
      <c r="C212" s="143">
        <f t="shared" si="0"/>
        <v>169.77485668759999</v>
      </c>
      <c r="D212" s="143">
        <v>169.81800000000001</v>
      </c>
      <c r="E212" s="143">
        <f t="shared" si="15"/>
        <v>3.8007308852444417E-5</v>
      </c>
      <c r="F212" s="143">
        <f t="shared" si="15"/>
        <v>5.3687546540591511E-6</v>
      </c>
      <c r="G212" s="143">
        <f t="shared" si="5"/>
        <v>9.7064786111678361E-2</v>
      </c>
      <c r="H212" s="143">
        <f>1/0.3770862</f>
        <v>2.6519135412539629</v>
      </c>
      <c r="I212" s="6"/>
    </row>
    <row r="213" spans="1:9" x14ac:dyDescent="0.3">
      <c r="A213" s="143">
        <v>181</v>
      </c>
      <c r="B213" s="143">
        <v>170.11709999999999</v>
      </c>
      <c r="C213" s="143">
        <f t="shared" si="0"/>
        <v>170.15200510340213</v>
      </c>
      <c r="D213" s="6"/>
      <c r="E213" s="143">
        <f t="shared" si="15"/>
        <v>3.8147653991408296E-5</v>
      </c>
      <c r="F213" s="143">
        <f t="shared" si="15"/>
        <v>2.1173718902862387E-2</v>
      </c>
      <c r="G213" s="143">
        <f t="shared" si="5"/>
        <v>47.466854387599582</v>
      </c>
      <c r="H213" s="143">
        <f>1/0.3769692</f>
        <v>2.6527366161479504</v>
      </c>
      <c r="I213" s="6"/>
    </row>
    <row r="214" spans="1:9" x14ac:dyDescent="0.3">
      <c r="A214" s="143">
        <v>182</v>
      </c>
      <c r="B214" s="6"/>
      <c r="C214" s="143">
        <f t="shared" si="0"/>
        <v>170.52903624530353</v>
      </c>
      <c r="D214" s="6"/>
      <c r="E214" s="143">
        <f t="shared" si="15"/>
        <v>0.18637053141563228</v>
      </c>
      <c r="F214" s="143">
        <f t="shared" si="15"/>
        <v>2.1220636665667439E-2</v>
      </c>
      <c r="G214" s="143">
        <f t="shared" si="5"/>
        <v>464.53713637392849</v>
      </c>
      <c r="H214" s="6"/>
      <c r="I214" s="6"/>
    </row>
    <row r="215" spans="1:9" x14ac:dyDescent="0.3">
      <c r="A215" s="143">
        <v>183</v>
      </c>
      <c r="B215" s="6"/>
      <c r="C215" s="143">
        <f t="shared" si="0"/>
        <v>170.90595011330413</v>
      </c>
      <c r="D215" s="6"/>
      <c r="E215" s="143">
        <f t="shared" si="15"/>
        <v>0.18678245914022309</v>
      </c>
      <c r="F215" s="143">
        <f t="shared" si="15"/>
        <v>2.1267539834905938E-2</v>
      </c>
      <c r="G215" s="143">
        <f t="shared" si="5"/>
        <v>465.56388520659505</v>
      </c>
      <c r="H215" s="6"/>
      <c r="I215" s="6"/>
    </row>
    <row r="216" spans="1:9" x14ac:dyDescent="0.3">
      <c r="A216" s="143">
        <v>184</v>
      </c>
      <c r="B216" s="6"/>
      <c r="C216" s="143">
        <f t="shared" si="0"/>
        <v>171.28274670740399</v>
      </c>
      <c r="D216" s="6"/>
      <c r="E216" s="143">
        <f t="shared" si="15"/>
        <v>0.18719425869661638</v>
      </c>
      <c r="F216" s="143">
        <f t="shared" si="15"/>
        <v>2.1314428410577898E-2</v>
      </c>
      <c r="G216" s="143">
        <f t="shared" si="5"/>
        <v>466.59031457412402</v>
      </c>
      <c r="H216" s="6"/>
      <c r="I216" s="6"/>
    </row>
    <row r="217" spans="1:9" x14ac:dyDescent="0.3">
      <c r="A217" s="143">
        <v>185</v>
      </c>
      <c r="B217" s="143">
        <v>171.62404000000001</v>
      </c>
      <c r="C217" s="143">
        <f t="shared" si="0"/>
        <v>171.65942602760313</v>
      </c>
      <c r="D217" s="143">
        <v>171.703</v>
      </c>
      <c r="E217" s="143">
        <f t="shared" si="15"/>
        <v>3.8673254211064641E-5</v>
      </c>
      <c r="F217" s="143">
        <f t="shared" si="15"/>
        <v>5.4223459926419719E-6</v>
      </c>
      <c r="G217" s="143">
        <f t="shared" si="5"/>
        <v>9.8674929355844473E-2</v>
      </c>
      <c r="H217" s="143">
        <f>1/0.3765013</f>
        <v>2.6560333257813453</v>
      </c>
      <c r="I217" s="6"/>
    </row>
    <row r="218" spans="1:9" x14ac:dyDescent="0.3">
      <c r="A218" s="143">
        <v>186</v>
      </c>
      <c r="B218" s="6"/>
      <c r="C218" s="143">
        <f t="shared" si="0"/>
        <v>172.03598807390151</v>
      </c>
      <c r="D218" s="6"/>
      <c r="E218" s="143">
        <f t="shared" si="15"/>
        <v>0.18801747330481039</v>
      </c>
      <c r="F218" s="143">
        <f t="shared" si="15"/>
        <v>2.140816178122219E-2</v>
      </c>
      <c r="G218" s="143">
        <f t="shared" si="5"/>
        <v>468.64221491376941</v>
      </c>
      <c r="H218" s="6"/>
      <c r="I218" s="6"/>
    </row>
    <row r="219" spans="1:9" x14ac:dyDescent="0.3">
      <c r="A219" s="143">
        <v>187</v>
      </c>
      <c r="B219" s="6"/>
      <c r="C219" s="143">
        <f t="shared" si="0"/>
        <v>172.41243284629911</v>
      </c>
      <c r="D219" s="6"/>
      <c r="E219" s="143">
        <f t="shared" si="15"/>
        <v>0.18842888835661106</v>
      </c>
      <c r="F219" s="143">
        <f t="shared" si="15"/>
        <v>2.1455006576194514E-2</v>
      </c>
      <c r="G219" s="143">
        <f t="shared" si="5"/>
        <v>469.66768588588565</v>
      </c>
      <c r="H219" s="6"/>
      <c r="I219" s="6"/>
    </row>
    <row r="220" spans="1:9" x14ac:dyDescent="0.3">
      <c r="A220" s="143">
        <v>188</v>
      </c>
      <c r="B220" s="6"/>
      <c r="C220" s="143">
        <f t="shared" si="0"/>
        <v>172.788760344796</v>
      </c>
      <c r="D220" s="6"/>
      <c r="E220" s="143">
        <f t="shared" si="15"/>
        <v>0.18884017524021421</v>
      </c>
      <c r="F220" s="143">
        <f t="shared" si="15"/>
        <v>2.15018367776003E-2</v>
      </c>
      <c r="G220" s="143">
        <f t="shared" si="5"/>
        <v>470.69283739286436</v>
      </c>
      <c r="H220" s="6"/>
      <c r="I220" s="6"/>
    </row>
    <row r="221" spans="1:9" x14ac:dyDescent="0.3">
      <c r="A221" s="143">
        <v>189</v>
      </c>
      <c r="B221" s="6"/>
      <c r="C221" s="143">
        <f t="shared" si="0"/>
        <v>173.16497056939215</v>
      </c>
      <c r="D221" s="6"/>
      <c r="E221" s="143">
        <f t="shared" si="15"/>
        <v>0.18925133395561983</v>
      </c>
      <c r="F221" s="143">
        <f t="shared" si="15"/>
        <v>2.1548652385439543E-2</v>
      </c>
      <c r="G221" s="143">
        <f t="shared" si="5"/>
        <v>471.71766943470561</v>
      </c>
      <c r="H221" s="6"/>
      <c r="I221" s="6"/>
    </row>
    <row r="222" spans="1:9" x14ac:dyDescent="0.3">
      <c r="A222" s="143">
        <v>190</v>
      </c>
      <c r="B222" s="6"/>
      <c r="C222" s="143">
        <f t="shared" si="0"/>
        <v>173.5410635200875</v>
      </c>
      <c r="D222" s="6"/>
      <c r="E222" s="143">
        <f t="shared" si="15"/>
        <v>0.18966236450282786</v>
      </c>
      <c r="F222" s="143">
        <f t="shared" si="15"/>
        <v>2.1595453399712233E-2</v>
      </c>
      <c r="G222" s="143">
        <f t="shared" si="5"/>
        <v>472.74218201140906</v>
      </c>
      <c r="H222" s="6"/>
      <c r="I222" s="6"/>
    </row>
    <row r="223" spans="1:9" x14ac:dyDescent="0.3">
      <c r="A223" s="143">
        <v>191</v>
      </c>
      <c r="B223" s="6"/>
      <c r="C223" s="143">
        <f t="shared" si="0"/>
        <v>173.91703919688214</v>
      </c>
      <c r="D223" s="6"/>
      <c r="E223" s="143">
        <f t="shared" si="15"/>
        <v>0.1900732668818384</v>
      </c>
      <c r="F223" s="143">
        <f t="shared" si="15"/>
        <v>2.1642239820418387E-2</v>
      </c>
      <c r="G223" s="143">
        <f t="shared" si="5"/>
        <v>473.76637512297509</v>
      </c>
      <c r="H223" s="6"/>
      <c r="I223" s="6"/>
    </row>
    <row r="224" spans="1:9" x14ac:dyDescent="0.3">
      <c r="A224" s="143">
        <v>192</v>
      </c>
      <c r="B224" s="6"/>
      <c r="C224" s="143">
        <f t="shared" si="0"/>
        <v>174.29289759977601</v>
      </c>
      <c r="D224" s="6"/>
      <c r="E224" s="143">
        <f t="shared" ref="E224:F239" si="16">ABS(B224-C224)/(B$1-C$1)</f>
        <v>0.19048404109265138</v>
      </c>
      <c r="F224" s="143">
        <f t="shared" si="16"/>
        <v>2.1689011647557991E-2</v>
      </c>
      <c r="G224" s="143">
        <f t="shared" si="5"/>
        <v>474.79024876940349</v>
      </c>
      <c r="H224" s="6"/>
      <c r="I224" s="6"/>
    </row>
    <row r="225" spans="1:9" x14ac:dyDescent="0.3">
      <c r="A225" s="143">
        <v>193</v>
      </c>
      <c r="B225" s="6"/>
      <c r="C225" s="143">
        <f t="shared" si="0"/>
        <v>174.66863872876914</v>
      </c>
      <c r="D225" s="6"/>
      <c r="E225" s="143">
        <f t="shared" si="16"/>
        <v>0.19089468713526681</v>
      </c>
      <c r="F225" s="143">
        <f t="shared" si="16"/>
        <v>2.1735768881131053E-2</v>
      </c>
      <c r="G225" s="143">
        <f t="shared" si="5"/>
        <v>475.81380295069431</v>
      </c>
      <c r="H225" s="6"/>
      <c r="I225" s="6"/>
    </row>
    <row r="226" spans="1:9" x14ac:dyDescent="0.3">
      <c r="A226" s="143">
        <v>194</v>
      </c>
      <c r="B226" s="6"/>
      <c r="C226" s="143">
        <f t="shared" si="0"/>
        <v>175.0442625838615</v>
      </c>
      <c r="D226" s="6"/>
      <c r="E226" s="143">
        <f t="shared" si="16"/>
        <v>0.1913052050096847</v>
      </c>
      <c r="F226" s="143">
        <f t="shared" si="16"/>
        <v>2.1782511521137568E-2</v>
      </c>
      <c r="G226" s="143">
        <f t="shared" si="5"/>
        <v>476.83703766684749</v>
      </c>
      <c r="H226" s="143">
        <f>1/0.3754484</f>
        <v>2.6634818526327453</v>
      </c>
      <c r="I226" s="6"/>
    </row>
    <row r="227" spans="1:9" x14ac:dyDescent="0.3">
      <c r="A227" s="143">
        <v>195</v>
      </c>
      <c r="B227" s="143">
        <v>175.38320999999999</v>
      </c>
      <c r="C227" s="143">
        <f t="shared" si="0"/>
        <v>175.41976916505311</v>
      </c>
      <c r="D227" s="143">
        <v>175.46299999999999</v>
      </c>
      <c r="E227" s="143">
        <f t="shared" si="16"/>
        <v>3.9955371642754175E-5</v>
      </c>
      <c r="F227" s="143">
        <f t="shared" si="16"/>
        <v>5.3796459615334278E-6</v>
      </c>
      <c r="G227" s="143">
        <f t="shared" si="5"/>
        <v>0.10144843564399458</v>
      </c>
      <c r="H227" s="143">
        <f>1/0.3753314</f>
        <v>2.6643121252311959</v>
      </c>
      <c r="I227" s="6"/>
    </row>
    <row r="228" spans="1:9" x14ac:dyDescent="0.3">
      <c r="A228" s="143">
        <v>196</v>
      </c>
      <c r="B228" s="143">
        <v>175.75847999999999</v>
      </c>
      <c r="C228" s="143">
        <f t="shared" si="0"/>
        <v>175.79515847234401</v>
      </c>
      <c r="D228" s="6"/>
      <c r="E228" s="143">
        <f t="shared" si="16"/>
        <v>4.0085762124614082E-5</v>
      </c>
      <c r="F228" s="143">
        <f t="shared" si="16"/>
        <v>2.1875953020450971E-2</v>
      </c>
      <c r="G228" s="143">
        <f t="shared" si="5"/>
        <v>49.04261578570852</v>
      </c>
      <c r="H228" s="143">
        <f>1/0.3752144</f>
        <v>2.6651429156237074</v>
      </c>
      <c r="I228" s="6"/>
    </row>
    <row r="229" spans="1:9" x14ac:dyDescent="0.3">
      <c r="A229" s="143">
        <v>197</v>
      </c>
      <c r="B229" s="6"/>
      <c r="C229" s="143">
        <f t="shared" si="0"/>
        <v>176.17043050573412</v>
      </c>
      <c r="D229" s="6"/>
      <c r="E229" s="143">
        <f t="shared" si="16"/>
        <v>0.19253598962375312</v>
      </c>
      <c r="F229" s="143">
        <f t="shared" si="16"/>
        <v>2.1922651879757855E-2</v>
      </c>
      <c r="G229" s="143">
        <f t="shared" si="5"/>
        <v>479.90482502448174</v>
      </c>
      <c r="H229" s="6"/>
      <c r="I229" s="6"/>
    </row>
    <row r="230" spans="1:9" x14ac:dyDescent="0.3">
      <c r="A230" s="143">
        <v>198</v>
      </c>
      <c r="B230" s="6"/>
      <c r="C230" s="143">
        <f t="shared" si="0"/>
        <v>176.54558526522351</v>
      </c>
      <c r="D230" s="6"/>
      <c r="E230" s="143">
        <f t="shared" si="16"/>
        <v>0.19294599482538088</v>
      </c>
      <c r="F230" s="143">
        <f t="shared" si="16"/>
        <v>2.1969336145498196E-2</v>
      </c>
      <c r="G230" s="143">
        <f t="shared" si="5"/>
        <v>480.92678188008466</v>
      </c>
      <c r="H230" s="6"/>
      <c r="I230" s="6"/>
    </row>
    <row r="231" spans="1:9" x14ac:dyDescent="0.3">
      <c r="A231" s="143">
        <v>199</v>
      </c>
      <c r="B231" s="6"/>
      <c r="C231" s="143">
        <f t="shared" si="0"/>
        <v>176.92062275081213</v>
      </c>
      <c r="D231" s="6"/>
      <c r="E231" s="143">
        <f t="shared" si="16"/>
        <v>0.19335587185881106</v>
      </c>
      <c r="F231" s="143">
        <f t="shared" si="16"/>
        <v>2.2016005817671991E-2</v>
      </c>
      <c r="G231" s="143">
        <f t="shared" si="5"/>
        <v>481.94841927054995</v>
      </c>
      <c r="H231" s="6"/>
      <c r="I231" s="6"/>
    </row>
    <row r="232" spans="1:9" x14ac:dyDescent="0.3">
      <c r="A232" s="143">
        <v>200</v>
      </c>
      <c r="B232" s="143">
        <v>177.25839999999999</v>
      </c>
      <c r="C232" s="143">
        <f t="shared" si="0"/>
        <v>177.29554296250001</v>
      </c>
      <c r="D232" s="143">
        <v>177.33799999999999</v>
      </c>
      <c r="E232" s="143">
        <f t="shared" si="16"/>
        <v>4.059340163935875E-5</v>
      </c>
      <c r="F232" s="143">
        <f t="shared" si="16"/>
        <v>5.2833545918349892E-6</v>
      </c>
      <c r="G232" s="143">
        <f t="shared" si="5"/>
        <v>0.10266071125635379</v>
      </c>
      <c r="H232" s="143">
        <f>1/0.3747464</f>
        <v>2.6684712648340319</v>
      </c>
      <c r="I232" s="6"/>
    </row>
    <row r="233" spans="1:9" x14ac:dyDescent="0.3">
      <c r="A233" s="143">
        <v>201</v>
      </c>
      <c r="B233" s="6">
        <v>177.63309000000001</v>
      </c>
      <c r="C233" s="143">
        <f t="shared" si="0"/>
        <v>177.67034590028712</v>
      </c>
      <c r="D233" s="6"/>
      <c r="E233" s="143">
        <f t="shared" si="16"/>
        <v>4.0716830914871177E-5</v>
      </c>
      <c r="F233" s="143">
        <f t="shared" si="16"/>
        <v>2.2109301381319949E-2</v>
      </c>
      <c r="G233" s="143">
        <f t="shared" si="5"/>
        <v>49.566203254428473</v>
      </c>
      <c r="H233" s="6"/>
      <c r="I233" s="6"/>
    </row>
    <row r="234" spans="1:9" x14ac:dyDescent="0.3">
      <c r="A234" s="143">
        <v>202</v>
      </c>
      <c r="B234" s="6"/>
      <c r="C234" s="143">
        <f t="shared" si="0"/>
        <v>178.04503156417351</v>
      </c>
      <c r="D234" s="6"/>
      <c r="E234" s="143">
        <f t="shared" si="16"/>
        <v>0.19458473394991641</v>
      </c>
      <c r="F234" s="143">
        <f t="shared" si="16"/>
        <v>2.2155927272794116E-2</v>
      </c>
      <c r="G234" s="143">
        <f t="shared" si="5"/>
        <v>485.01141465112045</v>
      </c>
      <c r="H234" s="6"/>
      <c r="I234" s="6"/>
    </row>
    <row r="235" spans="1:9" x14ac:dyDescent="0.3">
      <c r="A235" s="143">
        <v>203</v>
      </c>
      <c r="B235" s="6"/>
      <c r="C235" s="143">
        <f t="shared" si="0"/>
        <v>178.41959995415914</v>
      </c>
      <c r="D235" s="6"/>
      <c r="E235" s="143">
        <f t="shared" si="16"/>
        <v>0.19499409831055645</v>
      </c>
      <c r="F235" s="143">
        <f t="shared" si="16"/>
        <v>2.2202538570701733E-2</v>
      </c>
      <c r="G235" s="143">
        <f t="shared" si="5"/>
        <v>486.03177418103547</v>
      </c>
      <c r="H235" s="6"/>
      <c r="I235" s="6"/>
    </row>
    <row r="236" spans="1:9" x14ac:dyDescent="0.3">
      <c r="A236" s="143">
        <v>204</v>
      </c>
      <c r="B236" s="6"/>
      <c r="C236" s="143">
        <f t="shared" si="0"/>
        <v>178.794051070244</v>
      </c>
      <c r="D236" s="6"/>
      <c r="E236" s="143">
        <f t="shared" si="16"/>
        <v>0.1954033345029989</v>
      </c>
      <c r="F236" s="143">
        <f t="shared" si="16"/>
        <v>2.2249135275042808E-2</v>
      </c>
      <c r="G236" s="143">
        <f t="shared" si="5"/>
        <v>487.05181424581281</v>
      </c>
      <c r="H236" s="6"/>
      <c r="I236" s="6"/>
    </row>
    <row r="237" spans="1:9" x14ac:dyDescent="0.3">
      <c r="A237" s="143">
        <v>205</v>
      </c>
      <c r="B237" s="6"/>
      <c r="C237" s="143">
        <f t="shared" si="0"/>
        <v>179.16838491242811</v>
      </c>
      <c r="D237" s="6"/>
      <c r="E237" s="143">
        <f t="shared" si="16"/>
        <v>0.19581244252724384</v>
      </c>
      <c r="F237" s="143">
        <f t="shared" si="16"/>
        <v>2.2295717385817336E-2</v>
      </c>
      <c r="G237" s="143">
        <f t="shared" si="5"/>
        <v>488.07153484545267</v>
      </c>
      <c r="H237" s="6"/>
      <c r="I237" s="6"/>
    </row>
    <row r="238" spans="1:9" x14ac:dyDescent="0.3">
      <c r="A238" s="143">
        <v>206</v>
      </c>
      <c r="B238" s="6"/>
      <c r="C238" s="143">
        <f t="shared" si="0"/>
        <v>179.54260148071151</v>
      </c>
      <c r="D238" s="6"/>
      <c r="E238" s="143">
        <f t="shared" si="16"/>
        <v>0.19622142238329127</v>
      </c>
      <c r="F238" s="143">
        <f t="shared" si="16"/>
        <v>2.2342284903025325E-2</v>
      </c>
      <c r="G238" s="143">
        <f t="shared" si="5"/>
        <v>489.09093597995491</v>
      </c>
      <c r="H238" s="6"/>
      <c r="I238" s="6"/>
    </row>
    <row r="239" spans="1:9" x14ac:dyDescent="0.3">
      <c r="A239" s="143">
        <v>207</v>
      </c>
      <c r="B239" s="6"/>
      <c r="C239" s="143">
        <f t="shared" si="0"/>
        <v>179.91670077509411</v>
      </c>
      <c r="D239" s="6"/>
      <c r="E239" s="143">
        <f t="shared" si="16"/>
        <v>0.19663027407114111</v>
      </c>
      <c r="F239" s="143">
        <f t="shared" si="16"/>
        <v>2.2388837826666765E-2</v>
      </c>
      <c r="G239" s="143">
        <f t="shared" si="5"/>
        <v>490.11001764931956</v>
      </c>
      <c r="H239" s="6"/>
      <c r="I239" s="6"/>
    </row>
    <row r="240" spans="1:9" x14ac:dyDescent="0.3">
      <c r="A240" s="143">
        <v>208</v>
      </c>
      <c r="B240" s="6"/>
      <c r="C240" s="143">
        <f t="shared" si="0"/>
        <v>180.29068279557598</v>
      </c>
      <c r="D240" s="6"/>
      <c r="E240" s="143">
        <f t="shared" ref="E240:F255" si="17">ABS(B240-C240)/(B$1-C$1)</f>
        <v>0.19703899759079341</v>
      </c>
      <c r="F240" s="143">
        <f t="shared" si="17"/>
        <v>2.2435376156741658E-2</v>
      </c>
      <c r="G240" s="143">
        <f t="shared" si="5"/>
        <v>491.12877985354658</v>
      </c>
      <c r="H240" s="6"/>
      <c r="I240" s="6"/>
    </row>
    <row r="241" spans="1:9" x14ac:dyDescent="0.3">
      <c r="A241" s="143">
        <v>209</v>
      </c>
      <c r="B241" s="6"/>
      <c r="C241" s="143">
        <f t="shared" si="0"/>
        <v>180.66454754215712</v>
      </c>
      <c r="D241" s="6"/>
      <c r="E241" s="143">
        <f t="shared" si="17"/>
        <v>0.19744759294224823</v>
      </c>
      <c r="F241" s="143">
        <f t="shared" si="17"/>
        <v>2.2481899893250015E-2</v>
      </c>
      <c r="G241" s="143">
        <f t="shared" si="5"/>
        <v>492.14722259263618</v>
      </c>
      <c r="H241" s="143">
        <f>1/0.3736935</f>
        <v>2.6759898151827635</v>
      </c>
      <c r="I241" s="6"/>
    </row>
    <row r="242" spans="1:9" x14ac:dyDescent="0.3">
      <c r="A242" s="143">
        <v>210</v>
      </c>
      <c r="B242" s="143">
        <v>181.00002000000001</v>
      </c>
      <c r="C242" s="143">
        <f t="shared" si="0"/>
        <v>181.03829501483753</v>
      </c>
      <c r="D242" s="143">
        <v>181.08099999999999</v>
      </c>
      <c r="E242" s="143">
        <f t="shared" si="17"/>
        <v>4.1830617308769088E-5</v>
      </c>
      <c r="F242" s="143">
        <f t="shared" si="17"/>
        <v>5.3142092038898457E-6</v>
      </c>
      <c r="G242" s="143">
        <f t="shared" si="5"/>
        <v>0.10549833552870252</v>
      </c>
      <c r="H242" s="143">
        <f>1/0.3735765</f>
        <v>2.6768279053955482</v>
      </c>
      <c r="I242" s="6"/>
    </row>
    <row r="243" spans="1:9" x14ac:dyDescent="0.3">
      <c r="A243" s="143">
        <v>211</v>
      </c>
      <c r="B243" s="143">
        <v>181.37353999999999</v>
      </c>
      <c r="C243" s="143">
        <f t="shared" si="0"/>
        <v>181.41192521361714</v>
      </c>
      <c r="D243" s="6"/>
      <c r="E243" s="143">
        <f t="shared" si="17"/>
        <v>4.1951053133493962E-5</v>
      </c>
      <c r="F243" s="143">
        <f t="shared" si="17"/>
        <v>2.2574903585567092E-2</v>
      </c>
      <c r="G243" s="143">
        <f t="shared" si="5"/>
        <v>50.610866467752231</v>
      </c>
      <c r="H243" s="143">
        <f>1/0.3734595</f>
        <v>2.6776665207338413</v>
      </c>
      <c r="I243" s="6"/>
    </row>
    <row r="244" spans="1:9" x14ac:dyDescent="0.3">
      <c r="A244" s="143">
        <v>212</v>
      </c>
      <c r="B244" s="6"/>
      <c r="C244" s="143">
        <f t="shared" si="0"/>
        <v>181.785438138496</v>
      </c>
      <c r="D244" s="6"/>
      <c r="E244" s="143">
        <f t="shared" si="17"/>
        <v>0.19867260998742733</v>
      </c>
      <c r="F244" s="143">
        <f t="shared" si="17"/>
        <v>2.2621383541375811E-2</v>
      </c>
      <c r="G244" s="143">
        <f t="shared" si="5"/>
        <v>495.20063401907919</v>
      </c>
      <c r="H244" s="6"/>
      <c r="I244" s="6"/>
    </row>
    <row r="245" spans="1:9" x14ac:dyDescent="0.3">
      <c r="A245" s="143">
        <v>213</v>
      </c>
      <c r="B245" s="6"/>
      <c r="C245" s="143">
        <f t="shared" si="0"/>
        <v>182.15883378947413</v>
      </c>
      <c r="D245" s="6"/>
      <c r="E245" s="143">
        <f t="shared" si="17"/>
        <v>0.19908069266609194</v>
      </c>
      <c r="F245" s="143">
        <f t="shared" si="17"/>
        <v>2.2667848903617987E-2</v>
      </c>
      <c r="G245" s="143">
        <f t="shared" si="5"/>
        <v>496.21779889761837</v>
      </c>
      <c r="H245" s="6"/>
      <c r="I245" s="6"/>
    </row>
    <row r="246" spans="1:9" x14ac:dyDescent="0.3">
      <c r="A246" s="143">
        <v>214</v>
      </c>
      <c r="B246" s="6"/>
      <c r="C246" s="143">
        <f t="shared" si="0"/>
        <v>182.53211216655151</v>
      </c>
      <c r="D246" s="6"/>
      <c r="E246" s="143">
        <f t="shared" si="17"/>
        <v>0.19948864717655904</v>
      </c>
      <c r="F246" s="143">
        <f t="shared" si="17"/>
        <v>2.2714299672293617E-2</v>
      </c>
      <c r="G246" s="143">
        <f t="shared" si="5"/>
        <v>497.23464431102008</v>
      </c>
      <c r="H246" s="6"/>
      <c r="I246" s="6"/>
    </row>
    <row r="247" spans="1:9" x14ac:dyDescent="0.3">
      <c r="A247" s="143">
        <v>215</v>
      </c>
      <c r="B247" s="6"/>
      <c r="C247" s="143">
        <f t="shared" si="0"/>
        <v>182.9052732697281</v>
      </c>
      <c r="D247" s="6"/>
      <c r="E247" s="143">
        <f t="shared" si="17"/>
        <v>0.19989647351882853</v>
      </c>
      <c r="F247" s="143">
        <f t="shared" si="17"/>
        <v>2.2760735847402701E-2</v>
      </c>
      <c r="G247" s="143">
        <f t="shared" si="5"/>
        <v>498.25117025928392</v>
      </c>
      <c r="H247" s="6"/>
      <c r="I247" s="6"/>
    </row>
    <row r="248" spans="1:9" x14ac:dyDescent="0.3">
      <c r="A248" s="143">
        <v>216</v>
      </c>
      <c r="B248" s="6"/>
      <c r="C248" s="143">
        <f t="shared" si="0"/>
        <v>183.278317099004</v>
      </c>
      <c r="D248" s="6"/>
      <c r="E248" s="143">
        <f t="shared" si="17"/>
        <v>0.20030417169290055</v>
      </c>
      <c r="F248" s="143">
        <f t="shared" si="17"/>
        <v>2.2807157428945245E-2</v>
      </c>
      <c r="G248" s="143">
        <f t="shared" si="5"/>
        <v>499.26737674241042</v>
      </c>
      <c r="H248" s="6"/>
      <c r="I248" s="6"/>
    </row>
    <row r="249" spans="1:9" x14ac:dyDescent="0.3">
      <c r="A249" s="143">
        <v>217</v>
      </c>
      <c r="B249" s="6"/>
      <c r="C249" s="143">
        <f t="shared" si="0"/>
        <v>183.65124365437913</v>
      </c>
      <c r="D249" s="6"/>
      <c r="E249" s="143">
        <f t="shared" si="17"/>
        <v>0.20071174169877501</v>
      </c>
      <c r="F249" s="143">
        <f t="shared" si="17"/>
        <v>2.2853564416921244E-2</v>
      </c>
      <c r="G249" s="143">
        <f t="shared" si="5"/>
        <v>500.28326376039928</v>
      </c>
      <c r="H249" s="6"/>
      <c r="I249" s="6"/>
    </row>
    <row r="250" spans="1:9" x14ac:dyDescent="0.3">
      <c r="A250" s="143">
        <v>218</v>
      </c>
      <c r="B250" s="6"/>
      <c r="C250" s="143">
        <f t="shared" si="0"/>
        <v>184.02405293585349</v>
      </c>
      <c r="D250" s="6"/>
      <c r="E250" s="143">
        <f t="shared" si="17"/>
        <v>0.20111918353645189</v>
      </c>
      <c r="F250" s="143">
        <f t="shared" si="17"/>
        <v>2.28999568113307E-2</v>
      </c>
      <c r="G250" s="143">
        <f t="shared" si="5"/>
        <v>501.2988313132505</v>
      </c>
      <c r="H250" s="6"/>
      <c r="I250" s="6"/>
    </row>
    <row r="251" spans="1:9" x14ac:dyDescent="0.3">
      <c r="A251" s="143">
        <v>219</v>
      </c>
      <c r="B251" s="6"/>
      <c r="C251" s="143">
        <f t="shared" si="0"/>
        <v>184.39674494342711</v>
      </c>
      <c r="D251" s="6"/>
      <c r="E251" s="143">
        <f t="shared" si="17"/>
        <v>0.20152649720593127</v>
      </c>
      <c r="F251" s="143">
        <f t="shared" si="17"/>
        <v>2.2946334612173606E-2</v>
      </c>
      <c r="G251" s="143">
        <f t="shared" si="5"/>
        <v>502.3140794009642</v>
      </c>
      <c r="H251" s="6"/>
      <c r="I251" s="6"/>
    </row>
    <row r="252" spans="1:9" x14ac:dyDescent="0.3">
      <c r="A252" s="143">
        <v>220</v>
      </c>
      <c r="B252" s="143">
        <v>184.72993</v>
      </c>
      <c r="C252" s="143">
        <f t="shared" si="0"/>
        <v>184.76931967710001</v>
      </c>
      <c r="D252" s="143">
        <v>184.81100000000001</v>
      </c>
      <c r="E252" s="143">
        <f t="shared" si="17"/>
        <v>4.3048827431714337E-5</v>
      </c>
      <c r="F252" s="143">
        <f t="shared" si="17"/>
        <v>5.1867002115470959E-6</v>
      </c>
      <c r="G252" s="143">
        <f t="shared" si="5"/>
        <v>0.10793905198370828</v>
      </c>
      <c r="H252" s="143">
        <f>1/0.3724066</f>
        <v>2.685237050041541</v>
      </c>
      <c r="I252" s="6"/>
    </row>
    <row r="253" spans="1:9" x14ac:dyDescent="0.3">
      <c r="A253" s="143">
        <v>221</v>
      </c>
      <c r="B253" s="6"/>
      <c r="C253" s="143">
        <f t="shared" si="0"/>
        <v>185.14177713687212</v>
      </c>
      <c r="D253" s="6"/>
      <c r="E253" s="143">
        <f t="shared" si="17"/>
        <v>0.2023407400402974</v>
      </c>
      <c r="F253" s="143">
        <f t="shared" si="17"/>
        <v>2.3039046433159797E-2</v>
      </c>
      <c r="G253" s="143">
        <f t="shared" si="5"/>
        <v>504.34361718097881</v>
      </c>
      <c r="H253" s="6"/>
      <c r="I253" s="6"/>
    </row>
    <row r="254" spans="1:9" x14ac:dyDescent="0.3">
      <c r="A254" s="143">
        <v>222</v>
      </c>
      <c r="B254" s="6"/>
      <c r="C254" s="143">
        <f t="shared" si="0"/>
        <v>185.51411732274349</v>
      </c>
      <c r="D254" s="6"/>
      <c r="E254" s="143">
        <f t="shared" si="17"/>
        <v>0.20274766920518414</v>
      </c>
      <c r="F254" s="143">
        <f t="shared" si="17"/>
        <v>2.3085380453303071E-2</v>
      </c>
      <c r="G254" s="143">
        <f t="shared" si="5"/>
        <v>505.35790687327977</v>
      </c>
      <c r="H254" s="6"/>
      <c r="I254" s="6"/>
    </row>
    <row r="255" spans="1:9" x14ac:dyDescent="0.3">
      <c r="A255" s="143">
        <v>223</v>
      </c>
      <c r="B255" s="6"/>
      <c r="C255" s="143">
        <f t="shared" si="0"/>
        <v>185.88634023471414</v>
      </c>
      <c r="D255" s="6"/>
      <c r="E255" s="143">
        <f t="shared" si="17"/>
        <v>0.20315447020187338</v>
      </c>
      <c r="F255" s="143">
        <f t="shared" si="17"/>
        <v>2.313169987987981E-2</v>
      </c>
      <c r="G255" s="143">
        <f t="shared" si="5"/>
        <v>506.37187710044321</v>
      </c>
      <c r="H255" s="6"/>
      <c r="I255" s="6"/>
    </row>
    <row r="256" spans="1:9" x14ac:dyDescent="0.3">
      <c r="A256" s="143">
        <v>224</v>
      </c>
      <c r="B256" s="6"/>
      <c r="C256" s="143">
        <f t="shared" si="0"/>
        <v>186.25844587278402</v>
      </c>
      <c r="D256" s="6"/>
      <c r="E256" s="143">
        <f t="shared" ref="E256:F271" si="18">ABS(B256-C256)/(B$1-C$1)</f>
        <v>0.20356114303036504</v>
      </c>
      <c r="F256" s="143">
        <f t="shared" si="18"/>
        <v>2.3178004712889999E-2</v>
      </c>
      <c r="G256" s="143">
        <f t="shared" si="5"/>
        <v>507.38552786246896</v>
      </c>
      <c r="H256" s="6"/>
      <c r="I256" s="6"/>
    </row>
    <row r="257" spans="1:9" x14ac:dyDescent="0.3">
      <c r="A257" s="143">
        <v>225</v>
      </c>
      <c r="B257" s="143">
        <v>186.59049999999999</v>
      </c>
      <c r="C257" s="143">
        <f t="shared" si="0"/>
        <v>186.63043423695314</v>
      </c>
      <c r="D257" s="143">
        <v>186.672</v>
      </c>
      <c r="E257" s="143">
        <f t="shared" si="18"/>
        <v>4.3643974812179134E-5</v>
      </c>
      <c r="F257" s="143">
        <f t="shared" si="18"/>
        <v>5.172444381142552E-6</v>
      </c>
      <c r="G257" s="143">
        <f t="shared" si="5"/>
        <v>0.1092389420498556</v>
      </c>
      <c r="H257" s="143">
        <f>1/0.3718217</f>
        <v>2.689461104610086</v>
      </c>
      <c r="I257" s="6"/>
    </row>
    <row r="258" spans="1:9" x14ac:dyDescent="0.3">
      <c r="A258" s="143">
        <v>226</v>
      </c>
      <c r="B258" s="6">
        <v>186.96226999999999</v>
      </c>
      <c r="C258" s="143">
        <f t="shared" si="0"/>
        <v>187.00230532722151</v>
      </c>
      <c r="D258" s="6"/>
      <c r="E258" s="143">
        <f t="shared" si="18"/>
        <v>4.3754455979800042E-5</v>
      </c>
      <c r="F258" s="143">
        <f t="shared" si="18"/>
        <v>2.3270570598210739E-2</v>
      </c>
      <c r="G258" s="143">
        <f t="shared" si="5"/>
        <v>52.171630890014875</v>
      </c>
      <c r="H258" s="6"/>
      <c r="I258" s="6"/>
    </row>
    <row r="259" spans="1:9" x14ac:dyDescent="0.3">
      <c r="A259" s="143">
        <v>227</v>
      </c>
      <c r="B259" s="6"/>
      <c r="C259" s="143">
        <f t="shared" si="0"/>
        <v>187.37405914358914</v>
      </c>
      <c r="D259" s="6"/>
      <c r="E259" s="143">
        <f t="shared" si="18"/>
        <v>0.20478039250665481</v>
      </c>
      <c r="F259" s="143">
        <f t="shared" si="18"/>
        <v>2.3316831650521296E-2</v>
      </c>
      <c r="G259" s="143">
        <f t="shared" si="5"/>
        <v>510.42456335772079</v>
      </c>
      <c r="H259" s="6"/>
      <c r="I259" s="6"/>
    </row>
    <row r="260" spans="1:9" x14ac:dyDescent="0.3">
      <c r="A260" s="143">
        <v>228</v>
      </c>
      <c r="B260" s="6"/>
      <c r="C260" s="143">
        <f t="shared" si="0"/>
        <v>187.745695686056</v>
      </c>
      <c r="D260" s="6"/>
      <c r="E260" s="143">
        <f t="shared" si="18"/>
        <v>0.20518655266235628</v>
      </c>
      <c r="F260" s="143">
        <f t="shared" si="18"/>
        <v>2.3363078109265304E-2</v>
      </c>
      <c r="G260" s="143">
        <f t="shared" si="5"/>
        <v>511.43693625919616</v>
      </c>
      <c r="H260" s="6"/>
      <c r="I260" s="6"/>
    </row>
    <row r="261" spans="1:9" x14ac:dyDescent="0.3">
      <c r="A261" s="143">
        <v>229</v>
      </c>
      <c r="B261" s="6"/>
      <c r="C261" s="143">
        <f t="shared" si="0"/>
        <v>188.11721495462211</v>
      </c>
      <c r="D261" s="6"/>
      <c r="E261" s="143">
        <f t="shared" si="18"/>
        <v>0.20559258464986024</v>
      </c>
      <c r="F261" s="143">
        <f t="shared" si="18"/>
        <v>2.3409309974442773E-2</v>
      </c>
      <c r="G261" s="143">
        <f t="shared" si="5"/>
        <v>512.44898969553401</v>
      </c>
      <c r="H261" s="6"/>
      <c r="I261" s="6"/>
    </row>
    <row r="262" spans="1:9" x14ac:dyDescent="0.3">
      <c r="A262" s="143">
        <v>230</v>
      </c>
      <c r="B262" s="6"/>
      <c r="C262" s="143">
        <f t="shared" si="0"/>
        <v>188.48861694928752</v>
      </c>
      <c r="D262" s="6"/>
      <c r="E262" s="143">
        <f t="shared" si="18"/>
        <v>0.20599848846916669</v>
      </c>
      <c r="F262" s="143">
        <f t="shared" si="18"/>
        <v>2.3455527246053699E-2</v>
      </c>
      <c r="G262" s="143">
        <f t="shared" si="5"/>
        <v>513.46072366673445</v>
      </c>
      <c r="H262" s="6"/>
      <c r="I262" s="6"/>
    </row>
    <row r="263" spans="1:9" x14ac:dyDescent="0.3">
      <c r="A263" s="143">
        <v>231</v>
      </c>
      <c r="B263" s="6"/>
      <c r="C263" s="143">
        <f t="shared" si="0"/>
        <v>188.85990167005212</v>
      </c>
      <c r="D263" s="6"/>
      <c r="E263" s="143">
        <f t="shared" si="18"/>
        <v>0.20640426412027554</v>
      </c>
      <c r="F263" s="143">
        <f t="shared" si="18"/>
        <v>2.3501729924098075E-2</v>
      </c>
      <c r="G263" s="143">
        <f t="shared" si="5"/>
        <v>514.47213817279703</v>
      </c>
      <c r="H263" s="6"/>
      <c r="I263" s="6"/>
    </row>
    <row r="264" spans="1:9" x14ac:dyDescent="0.3">
      <c r="A264" s="143">
        <v>232</v>
      </c>
      <c r="B264" s="6"/>
      <c r="C264" s="143">
        <f t="shared" si="0"/>
        <v>189.23106911691602</v>
      </c>
      <c r="D264" s="6"/>
      <c r="E264" s="143">
        <f t="shared" si="18"/>
        <v>0.2068099116031869</v>
      </c>
      <c r="F264" s="143">
        <f t="shared" si="18"/>
        <v>2.3547918008575912E-2</v>
      </c>
      <c r="G264" s="143">
        <f t="shared" si="5"/>
        <v>515.4832332137222</v>
      </c>
      <c r="H264" s="6"/>
      <c r="I264" s="6"/>
    </row>
    <row r="265" spans="1:9" x14ac:dyDescent="0.3">
      <c r="A265" s="143">
        <v>233</v>
      </c>
      <c r="B265" s="6"/>
      <c r="C265" s="143">
        <f t="shared" si="0"/>
        <v>189.60211928987911</v>
      </c>
      <c r="D265" s="6"/>
      <c r="E265" s="143">
        <f t="shared" si="18"/>
        <v>0.20721543091790068</v>
      </c>
      <c r="F265" s="143">
        <f t="shared" si="18"/>
        <v>2.3594091499487196E-2</v>
      </c>
      <c r="G265" s="143">
        <f t="shared" si="5"/>
        <v>516.49400878950973</v>
      </c>
      <c r="H265" s="6"/>
      <c r="I265" s="6"/>
    </row>
    <row r="266" spans="1:9" x14ac:dyDescent="0.3">
      <c r="A266" s="143">
        <v>234</v>
      </c>
      <c r="B266" s="6"/>
      <c r="C266" s="143">
        <f t="shared" si="0"/>
        <v>189.97305218894152</v>
      </c>
      <c r="D266" s="6"/>
      <c r="E266" s="143">
        <f t="shared" si="18"/>
        <v>0.20762082206441695</v>
      </c>
      <c r="F266" s="143">
        <f t="shared" si="18"/>
        <v>2.3640250396831947E-2</v>
      </c>
      <c r="G266" s="143">
        <f t="shared" si="5"/>
        <v>517.50446490015975</v>
      </c>
      <c r="H266" s="6"/>
      <c r="I266" s="6"/>
    </row>
    <row r="267" spans="1:9" x14ac:dyDescent="0.3">
      <c r="A267" s="143">
        <v>235</v>
      </c>
      <c r="B267" s="6"/>
      <c r="C267" s="143">
        <f t="shared" si="0"/>
        <v>190.34386781410313</v>
      </c>
      <c r="D267" s="6"/>
      <c r="E267" s="143">
        <f t="shared" si="18"/>
        <v>0.20802608504273568</v>
      </c>
      <c r="F267" s="143">
        <f t="shared" si="18"/>
        <v>2.3686394700610146E-2</v>
      </c>
      <c r="G267" s="143">
        <f t="shared" si="5"/>
        <v>518.51460154567212</v>
      </c>
      <c r="H267" s="6"/>
      <c r="I267" s="6"/>
    </row>
    <row r="268" spans="1:9" x14ac:dyDescent="0.3">
      <c r="A268" s="143">
        <v>236</v>
      </c>
      <c r="B268" s="6"/>
      <c r="C268" s="143">
        <f t="shared" si="0"/>
        <v>190.714566165364</v>
      </c>
      <c r="D268" s="6"/>
      <c r="E268" s="143">
        <f t="shared" si="18"/>
        <v>0.20843121985285684</v>
      </c>
      <c r="F268" s="143">
        <f t="shared" si="18"/>
        <v>2.3732524410821802E-2</v>
      </c>
      <c r="G268" s="143">
        <f t="shared" si="5"/>
        <v>519.52441872604686</v>
      </c>
      <c r="H268" s="6"/>
      <c r="I268" s="6"/>
    </row>
    <row r="269" spans="1:9" x14ac:dyDescent="0.3">
      <c r="A269" s="143">
        <v>237</v>
      </c>
      <c r="B269" s="6"/>
      <c r="C269" s="143">
        <f t="shared" si="0"/>
        <v>191.08514724272413</v>
      </c>
      <c r="D269" s="6"/>
      <c r="E269" s="143">
        <f t="shared" si="18"/>
        <v>0.20883622649478048</v>
      </c>
      <c r="F269" s="143">
        <f t="shared" si="18"/>
        <v>2.3778639527466915E-2</v>
      </c>
      <c r="G269" s="143">
        <f t="shared" si="5"/>
        <v>520.53391644128408</v>
      </c>
      <c r="H269" s="6"/>
      <c r="I269" s="6"/>
    </row>
    <row r="270" spans="1:9" x14ac:dyDescent="0.3">
      <c r="A270" s="143">
        <v>238</v>
      </c>
      <c r="B270" s="6"/>
      <c r="C270" s="143">
        <f t="shared" si="0"/>
        <v>191.45561104618352</v>
      </c>
      <c r="D270" s="6"/>
      <c r="E270" s="143">
        <f t="shared" si="18"/>
        <v>0.20924110496850659</v>
      </c>
      <c r="F270" s="143">
        <f t="shared" si="18"/>
        <v>2.3824740050545485E-2</v>
      </c>
      <c r="G270" s="143">
        <f t="shared" si="5"/>
        <v>521.54309469138377</v>
      </c>
      <c r="H270" s="6"/>
      <c r="I270" s="6"/>
    </row>
    <row r="271" spans="1:9" x14ac:dyDescent="0.3">
      <c r="A271" s="143">
        <v>239</v>
      </c>
      <c r="B271" s="6"/>
      <c r="C271" s="143">
        <f t="shared" si="0"/>
        <v>191.82595757574214</v>
      </c>
      <c r="D271" s="6"/>
      <c r="E271" s="143">
        <f t="shared" si="18"/>
        <v>0.20964585527403512</v>
      </c>
      <c r="F271" s="143">
        <f t="shared" si="18"/>
        <v>2.3870825980057509E-2</v>
      </c>
      <c r="G271" s="143">
        <f t="shared" si="5"/>
        <v>522.55195347634583</v>
      </c>
      <c r="H271" s="143">
        <f>1/0.3701838</f>
        <v>2.7013607834810709</v>
      </c>
      <c r="I271" s="6"/>
    </row>
    <row r="272" spans="1:9" x14ac:dyDescent="0.3">
      <c r="A272" s="143">
        <v>240</v>
      </c>
      <c r="B272" s="143">
        <v>192.15467000000001</v>
      </c>
      <c r="C272" s="143">
        <f t="shared" si="0"/>
        <v>192.19618683140001</v>
      </c>
      <c r="D272" s="143">
        <v>192.23699999999999</v>
      </c>
      <c r="E272" s="143">
        <f t="shared" ref="E272:F287" si="19">ABS(B272-C272)/(B$1-C$1)</f>
        <v>4.5373586229511177E-5</v>
      </c>
      <c r="F272" s="143">
        <f t="shared" si="19"/>
        <v>5.0787915131883975E-6</v>
      </c>
      <c r="G272" s="143">
        <f t="shared" si="5"/>
        <v>0.11289980829372596</v>
      </c>
      <c r="H272" s="143">
        <f>1/0.3700668</f>
        <v>2.7022148433742235</v>
      </c>
      <c r="I272" s="6"/>
    </row>
    <row r="273" spans="1:9" x14ac:dyDescent="0.3">
      <c r="A273" s="143">
        <v>241</v>
      </c>
      <c r="B273" s="143">
        <v>192.52467999999999</v>
      </c>
      <c r="C273" s="143">
        <f t="shared" si="0"/>
        <v>192.56629881315715</v>
      </c>
      <c r="D273" s="6"/>
      <c r="E273" s="143">
        <f t="shared" si="19"/>
        <v>4.5485041701811277E-5</v>
      </c>
      <c r="F273" s="143">
        <f t="shared" si="19"/>
        <v>2.3962954058381926E-2</v>
      </c>
      <c r="G273" s="143">
        <f t="shared" si="5"/>
        <v>53.724884596212377</v>
      </c>
      <c r="H273" s="143">
        <f>1/0.3699498</f>
        <v>2.7030694434758447</v>
      </c>
      <c r="I273" s="6"/>
    </row>
    <row r="274" spans="1:9" x14ac:dyDescent="0.3">
      <c r="A274" s="143">
        <v>242</v>
      </c>
      <c r="B274" s="6"/>
      <c r="C274" s="143">
        <f t="shared" si="0"/>
        <v>192.93629352101348</v>
      </c>
      <c r="D274" s="6"/>
      <c r="E274" s="143">
        <f t="shared" si="19"/>
        <v>0.21085933718143551</v>
      </c>
      <c r="F274" s="143">
        <f t="shared" si="19"/>
        <v>2.4008996207194312E-2</v>
      </c>
      <c r="G274" s="143">
        <f t="shared" si="5"/>
        <v>525.57661304040641</v>
      </c>
      <c r="H274" s="6"/>
      <c r="I274" s="6"/>
    </row>
    <row r="275" spans="1:9" x14ac:dyDescent="0.3">
      <c r="A275" s="143">
        <v>243</v>
      </c>
      <c r="B275" s="6"/>
      <c r="C275" s="143">
        <f t="shared" si="0"/>
        <v>193.30617095496913</v>
      </c>
      <c r="D275" s="6"/>
      <c r="E275" s="143">
        <f t="shared" si="19"/>
        <v>0.2112635748141739</v>
      </c>
      <c r="F275" s="143">
        <f t="shared" si="19"/>
        <v>2.4055023762440161E-2</v>
      </c>
      <c r="G275" s="143">
        <f t="shared" si="5"/>
        <v>526.58419396481816</v>
      </c>
      <c r="H275" s="6"/>
      <c r="I275" s="6"/>
    </row>
    <row r="276" spans="1:9" x14ac:dyDescent="0.3">
      <c r="A276" s="143">
        <v>244</v>
      </c>
      <c r="B276" s="6"/>
      <c r="C276" s="143">
        <f t="shared" si="0"/>
        <v>193.67593111502401</v>
      </c>
      <c r="D276" s="6"/>
      <c r="E276" s="143">
        <f t="shared" si="19"/>
        <v>0.21166768427871477</v>
      </c>
      <c r="F276" s="143">
        <f t="shared" si="19"/>
        <v>2.4101036724119465E-2</v>
      </c>
      <c r="G276" s="143">
        <f t="shared" si="5"/>
        <v>527.59145542409237</v>
      </c>
      <c r="H276" s="6"/>
      <c r="I276" s="6"/>
    </row>
    <row r="277" spans="1:9" x14ac:dyDescent="0.3">
      <c r="A277" s="143">
        <v>245</v>
      </c>
      <c r="B277" s="6"/>
      <c r="C277" s="143">
        <f t="shared" si="0"/>
        <v>194.04557400117815</v>
      </c>
      <c r="D277" s="6"/>
      <c r="E277" s="143">
        <f t="shared" si="19"/>
        <v>0.21207166557505808</v>
      </c>
      <c r="F277" s="143">
        <f t="shared" si="19"/>
        <v>2.4147035092232223E-2</v>
      </c>
      <c r="G277" s="143">
        <f t="shared" si="5"/>
        <v>528.59839741822884</v>
      </c>
      <c r="H277" s="6"/>
      <c r="I277" s="6"/>
    </row>
    <row r="278" spans="1:9" x14ac:dyDescent="0.3">
      <c r="A278" s="143">
        <v>246</v>
      </c>
      <c r="B278" s="6"/>
      <c r="C278" s="143">
        <f t="shared" si="0"/>
        <v>194.41509961343149</v>
      </c>
      <c r="D278" s="6"/>
      <c r="E278" s="143">
        <f t="shared" si="19"/>
        <v>0.21247551870320383</v>
      </c>
      <c r="F278" s="143">
        <f t="shared" si="19"/>
        <v>2.4193018866778434E-2</v>
      </c>
      <c r="G278" s="143">
        <f t="shared" si="5"/>
        <v>529.60501994722779</v>
      </c>
      <c r="H278" s="6"/>
      <c r="I278" s="6"/>
    </row>
    <row r="279" spans="1:9" x14ac:dyDescent="0.3">
      <c r="A279" s="143">
        <v>247</v>
      </c>
      <c r="B279" s="6"/>
      <c r="C279" s="143">
        <f t="shared" si="0"/>
        <v>194.78450795178412</v>
      </c>
      <c r="D279" s="6"/>
      <c r="E279" s="143">
        <f t="shared" si="19"/>
        <v>0.21287924366315206</v>
      </c>
      <c r="F279" s="143">
        <f t="shared" si="19"/>
        <v>2.4238988047758103E-2</v>
      </c>
      <c r="G279" s="143">
        <f t="shared" si="5"/>
        <v>530.61132301108921</v>
      </c>
      <c r="H279" s="6"/>
      <c r="I279" s="6"/>
    </row>
    <row r="280" spans="1:9" x14ac:dyDescent="0.3">
      <c r="A280" s="143">
        <v>248</v>
      </c>
      <c r="B280" s="6"/>
      <c r="C280" s="143">
        <f t="shared" si="0"/>
        <v>195.15379901623601</v>
      </c>
      <c r="D280" s="6"/>
      <c r="E280" s="143">
        <f t="shared" si="19"/>
        <v>0.21328284045490273</v>
      </c>
      <c r="F280" s="143">
        <f t="shared" si="19"/>
        <v>2.4284942635171232E-2</v>
      </c>
      <c r="G280" s="143">
        <f t="shared" si="5"/>
        <v>531.617306609813</v>
      </c>
      <c r="H280" s="6"/>
      <c r="I280" s="6"/>
    </row>
    <row r="281" spans="1:9" x14ac:dyDescent="0.3">
      <c r="A281" s="143">
        <v>249</v>
      </c>
      <c r="B281" s="6"/>
      <c r="C281" s="143">
        <f t="shared" si="0"/>
        <v>195.52297280678712</v>
      </c>
      <c r="D281" s="6"/>
      <c r="E281" s="143">
        <f t="shared" si="19"/>
        <v>0.21368630907845587</v>
      </c>
      <c r="F281" s="143">
        <f t="shared" si="19"/>
        <v>2.4330882629017812E-2</v>
      </c>
      <c r="G281" s="143">
        <f t="shared" si="5"/>
        <v>532.62297074339926</v>
      </c>
      <c r="H281" s="6"/>
      <c r="I281" s="6"/>
    </row>
    <row r="282" spans="1:9" x14ac:dyDescent="0.3">
      <c r="A282" s="143">
        <v>250</v>
      </c>
      <c r="B282" s="143">
        <v>195.84949</v>
      </c>
      <c r="C282" s="143">
        <f t="shared" si="0"/>
        <v>195.8920293234375</v>
      </c>
      <c r="D282" s="143">
        <v>195.93299999999999</v>
      </c>
      <c r="E282" s="143">
        <f t="shared" si="19"/>
        <v>4.6491063866114877E-5</v>
      </c>
      <c r="F282" s="143">
        <f t="shared" si="19"/>
        <v>5.0983918071795225E-6</v>
      </c>
      <c r="G282" s="143">
        <f t="shared" si="5"/>
        <v>0.11544430443291454</v>
      </c>
      <c r="H282" s="143">
        <f>1/0.3688969</f>
        <v>2.7107845037461686</v>
      </c>
      <c r="I282" s="6"/>
    </row>
    <row r="283" spans="1:9" x14ac:dyDescent="0.3">
      <c r="A283" s="143">
        <v>251</v>
      </c>
      <c r="B283" s="6">
        <v>196.58705</v>
      </c>
      <c r="C283" s="143">
        <f t="shared" si="0"/>
        <v>196.26096856618713</v>
      </c>
      <c r="D283" s="6"/>
      <c r="E283" s="143">
        <f t="shared" si="19"/>
        <v>3.5637315170805893E-4</v>
      </c>
      <c r="F283" s="143">
        <f t="shared" si="19"/>
        <v>2.442271883601134E-2</v>
      </c>
      <c r="G283" s="143">
        <f t="shared" si="5"/>
        <v>55.449413095519084</v>
      </c>
      <c r="H283" s="6"/>
      <c r="I283" s="6"/>
    </row>
    <row r="284" spans="1:9" x14ac:dyDescent="0.3">
      <c r="A284" s="143">
        <v>252</v>
      </c>
      <c r="B284" s="6"/>
      <c r="C284" s="143">
        <f t="shared" si="0"/>
        <v>196.62979053503602</v>
      </c>
      <c r="D284" s="6"/>
      <c r="E284" s="143">
        <f t="shared" si="19"/>
        <v>0.21489594593993008</v>
      </c>
      <c r="F284" s="143">
        <f t="shared" si="19"/>
        <v>2.4468615049158291E-2</v>
      </c>
      <c r="G284" s="143">
        <f t="shared" si="5"/>
        <v>535.63804635333247</v>
      </c>
      <c r="H284" s="6"/>
      <c r="I284" s="6"/>
    </row>
    <row r="285" spans="1:9" x14ac:dyDescent="0.3">
      <c r="A285" s="143">
        <v>253</v>
      </c>
      <c r="B285" s="6"/>
      <c r="C285" s="143">
        <f t="shared" si="0"/>
        <v>196.99849522998412</v>
      </c>
      <c r="D285" s="6"/>
      <c r="E285" s="143">
        <f t="shared" si="19"/>
        <v>0.21529890189069303</v>
      </c>
      <c r="F285" s="143">
        <f t="shared" si="19"/>
        <v>2.451449666873869E-2</v>
      </c>
      <c r="G285" s="143">
        <f t="shared" si="5"/>
        <v>536.64243262636842</v>
      </c>
      <c r="H285" s="6"/>
      <c r="I285" s="6"/>
    </row>
    <row r="286" spans="1:9" x14ac:dyDescent="0.3">
      <c r="A286" s="143">
        <v>254</v>
      </c>
      <c r="B286" s="6"/>
      <c r="C286" s="143">
        <f t="shared" si="0"/>
        <v>197.3670826510315</v>
      </c>
      <c r="D286" s="6"/>
      <c r="E286" s="143">
        <f t="shared" si="19"/>
        <v>0.21570172967325846</v>
      </c>
      <c r="F286" s="143">
        <f t="shared" si="19"/>
        <v>2.4560363694752549E-2</v>
      </c>
      <c r="G286" s="143">
        <f t="shared" si="5"/>
        <v>537.64649943426662</v>
      </c>
      <c r="H286" s="6"/>
      <c r="I286" s="6"/>
    </row>
    <row r="287" spans="1:9" x14ac:dyDescent="0.3">
      <c r="A287" s="143">
        <v>255</v>
      </c>
      <c r="B287" s="6"/>
      <c r="C287" s="143">
        <f t="shared" ref="C287:C532" si="20">99.97775*(1+0.00398405*A287-5.865*0.0000001*A287^2)</f>
        <v>197.73555279817813</v>
      </c>
      <c r="D287" s="6"/>
      <c r="E287" s="143">
        <f t="shared" si="19"/>
        <v>0.21610442928762638</v>
      </c>
      <c r="F287" s="143">
        <f t="shared" si="19"/>
        <v>2.4606216127199869E-2</v>
      </c>
      <c r="G287" s="143">
        <f t="shared" si="5"/>
        <v>538.65024677702741</v>
      </c>
      <c r="H287" s="6"/>
      <c r="I287" s="6"/>
    </row>
    <row r="288" spans="1:9" x14ac:dyDescent="0.3">
      <c r="A288" s="143">
        <v>256</v>
      </c>
      <c r="B288" s="6"/>
      <c r="C288" s="143">
        <f t="shared" si="20"/>
        <v>198.103905671424</v>
      </c>
      <c r="D288" s="6"/>
      <c r="E288" s="143">
        <f t="shared" ref="E288:F303" si="21">ABS(B288-C288)/(B$1-C$1)</f>
        <v>0.21650700073379672</v>
      </c>
      <c r="F288" s="143">
        <f t="shared" si="21"/>
        <v>2.4652053966080636E-2</v>
      </c>
      <c r="G288" s="143">
        <f t="shared" si="5"/>
        <v>539.65367465465056</v>
      </c>
      <c r="H288" s="6"/>
      <c r="I288" s="6"/>
    </row>
    <row r="289" spans="1:9" x14ac:dyDescent="0.3">
      <c r="A289" s="143">
        <v>257</v>
      </c>
      <c r="B289" s="6"/>
      <c r="C289" s="143">
        <f t="shared" si="20"/>
        <v>198.47214127076913</v>
      </c>
      <c r="D289" s="6"/>
      <c r="E289" s="143">
        <f t="shared" si="21"/>
        <v>0.21690944401176954</v>
      </c>
      <c r="F289" s="143">
        <f t="shared" si="21"/>
        <v>2.4697877211394863E-2</v>
      </c>
      <c r="G289" s="143">
        <f t="shared" si="5"/>
        <v>540.65678306713608</v>
      </c>
      <c r="H289" s="6"/>
      <c r="I289" s="6"/>
    </row>
    <row r="290" spans="1:9" x14ac:dyDescent="0.3">
      <c r="A290" s="143">
        <v>258</v>
      </c>
      <c r="B290" s="6"/>
      <c r="C290" s="143">
        <f t="shared" si="20"/>
        <v>198.84025959621351</v>
      </c>
      <c r="D290" s="6"/>
      <c r="E290" s="143">
        <f t="shared" si="21"/>
        <v>0.21731175912154482</v>
      </c>
      <c r="F290" s="143">
        <f t="shared" si="21"/>
        <v>2.4743685863142548E-2</v>
      </c>
      <c r="G290" s="143">
        <f t="shared" si="5"/>
        <v>541.65957201448418</v>
      </c>
      <c r="H290" s="6"/>
      <c r="I290" s="6"/>
    </row>
    <row r="291" spans="1:9" x14ac:dyDescent="0.3">
      <c r="A291" s="143">
        <v>259</v>
      </c>
      <c r="B291" s="6"/>
      <c r="C291" s="143">
        <f t="shared" si="20"/>
        <v>199.2082606477571</v>
      </c>
      <c r="D291" s="6"/>
      <c r="E291" s="143">
        <f t="shared" si="21"/>
        <v>0.21771394606312253</v>
      </c>
      <c r="F291" s="143">
        <f t="shared" si="21"/>
        <v>2.478947992132368E-2</v>
      </c>
      <c r="G291" s="143">
        <f t="shared" si="5"/>
        <v>542.66204149669454</v>
      </c>
      <c r="H291" s="6"/>
      <c r="I291" s="6"/>
    </row>
    <row r="292" spans="1:9" x14ac:dyDescent="0.3">
      <c r="A292" s="143">
        <v>260</v>
      </c>
      <c r="B292" s="143">
        <v>199.53261000000001</v>
      </c>
      <c r="C292" s="143">
        <f t="shared" si="20"/>
        <v>199.57614442540003</v>
      </c>
      <c r="D292" s="143">
        <v>199.61699999999999</v>
      </c>
      <c r="E292" s="143">
        <f t="shared" si="21"/>
        <v>4.757860699456351E-5</v>
      </c>
      <c r="F292" s="143">
        <f t="shared" si="21"/>
        <v>5.084068516669892E-6</v>
      </c>
      <c r="G292" s="143">
        <f t="shared" si="5"/>
        <v>0.11784590212526254</v>
      </c>
      <c r="H292" s="143">
        <f>1/0.367727</f>
        <v>2.7194086917740603</v>
      </c>
      <c r="I292" s="6"/>
    </row>
    <row r="293" spans="1:9" x14ac:dyDescent="0.3">
      <c r="A293" s="143">
        <v>261</v>
      </c>
      <c r="B293" s="6"/>
      <c r="C293" s="143">
        <f t="shared" si="20"/>
        <v>199.94391092914213</v>
      </c>
      <c r="D293" s="6"/>
      <c r="E293" s="143">
        <f t="shared" si="21"/>
        <v>0.21851793544168538</v>
      </c>
      <c r="F293" s="143">
        <f t="shared" si="21"/>
        <v>2.488102425698633E-2</v>
      </c>
      <c r="G293" s="143">
        <f t="shared" si="5"/>
        <v>544.66602206570258</v>
      </c>
      <c r="H293" s="6"/>
      <c r="I293" s="6"/>
    </row>
    <row r="294" spans="1:9" x14ac:dyDescent="0.3">
      <c r="A294" s="143">
        <v>262</v>
      </c>
      <c r="B294" s="6"/>
      <c r="C294" s="143">
        <f t="shared" si="20"/>
        <v>200.31156015898353</v>
      </c>
      <c r="D294" s="6"/>
      <c r="E294" s="143">
        <f t="shared" si="21"/>
        <v>0.21891973787867053</v>
      </c>
      <c r="F294" s="143">
        <f t="shared" si="21"/>
        <v>2.4926774534467837E-2</v>
      </c>
      <c r="G294" s="143">
        <f t="shared" si="5"/>
        <v>545.66753315250037</v>
      </c>
      <c r="H294" s="6"/>
      <c r="I294" s="6"/>
    </row>
    <row r="295" spans="1:9" x14ac:dyDescent="0.3">
      <c r="A295" s="143">
        <v>263</v>
      </c>
      <c r="B295" s="6"/>
      <c r="C295" s="143">
        <f t="shared" si="20"/>
        <v>200.67909211492417</v>
      </c>
      <c r="D295" s="6"/>
      <c r="E295" s="143">
        <f t="shared" si="21"/>
        <v>0.21932141214745812</v>
      </c>
      <c r="F295" s="143">
        <f t="shared" si="21"/>
        <v>2.4972510218382798E-2</v>
      </c>
      <c r="G295" s="143">
        <f t="shared" si="5"/>
        <v>546.66872477416052</v>
      </c>
      <c r="H295" s="6"/>
      <c r="I295" s="6"/>
    </row>
    <row r="296" spans="1:9" x14ac:dyDescent="0.3">
      <c r="A296" s="143">
        <v>264</v>
      </c>
      <c r="B296" s="6"/>
      <c r="C296" s="143">
        <f t="shared" si="20"/>
        <v>201.046506796964</v>
      </c>
      <c r="D296" s="6"/>
      <c r="E296" s="143">
        <f t="shared" si="21"/>
        <v>0.21972295824804808</v>
      </c>
      <c r="F296" s="143">
        <f t="shared" si="21"/>
        <v>2.5018231308731209E-2</v>
      </c>
      <c r="G296" s="143">
        <f t="shared" si="5"/>
        <v>547.66959693068281</v>
      </c>
      <c r="H296" s="6"/>
      <c r="I296" s="6"/>
    </row>
    <row r="297" spans="1:9" x14ac:dyDescent="0.3">
      <c r="A297" s="143">
        <v>265</v>
      </c>
      <c r="B297" s="6"/>
      <c r="C297" s="143">
        <f t="shared" si="20"/>
        <v>201.41380420510316</v>
      </c>
      <c r="D297" s="6"/>
      <c r="E297" s="143">
        <f t="shared" si="21"/>
        <v>0.22012437618044062</v>
      </c>
      <c r="F297" s="143">
        <f t="shared" si="21"/>
        <v>2.5063937805513085E-2</v>
      </c>
      <c r="G297" s="143">
        <f t="shared" si="5"/>
        <v>548.67014962206792</v>
      </c>
      <c r="H297" s="6"/>
      <c r="I297" s="6"/>
    </row>
    <row r="298" spans="1:9" x14ac:dyDescent="0.3">
      <c r="A298" s="143">
        <v>266</v>
      </c>
      <c r="B298" s="6"/>
      <c r="C298" s="143">
        <f t="shared" si="20"/>
        <v>201.78098433934153</v>
      </c>
      <c r="D298" s="6"/>
      <c r="E298" s="143">
        <f t="shared" si="21"/>
        <v>0.22052566594463555</v>
      </c>
      <c r="F298" s="143">
        <f t="shared" si="21"/>
        <v>2.5109629708728414E-2</v>
      </c>
      <c r="G298" s="143">
        <f t="shared" si="5"/>
        <v>549.67038284831517</v>
      </c>
      <c r="H298" s="6"/>
      <c r="I298" s="6"/>
    </row>
    <row r="299" spans="1:9" x14ac:dyDescent="0.3">
      <c r="A299" s="143">
        <v>267</v>
      </c>
      <c r="B299" s="6"/>
      <c r="C299" s="143">
        <f t="shared" si="20"/>
        <v>202.14804719967913</v>
      </c>
      <c r="D299" s="6"/>
      <c r="E299" s="143">
        <f t="shared" si="21"/>
        <v>0.22092682754063292</v>
      </c>
      <c r="F299" s="143">
        <f t="shared" si="21"/>
        <v>2.5155307018377194E-2</v>
      </c>
      <c r="G299" s="143">
        <f t="shared" si="5"/>
        <v>550.67029660942489</v>
      </c>
      <c r="H299" s="6"/>
      <c r="I299" s="6"/>
    </row>
    <row r="300" spans="1:9" x14ac:dyDescent="0.3">
      <c r="A300" s="143">
        <v>268</v>
      </c>
      <c r="B300" s="6"/>
      <c r="C300" s="143">
        <f t="shared" si="20"/>
        <v>202.51499278611601</v>
      </c>
      <c r="D300" s="6"/>
      <c r="E300" s="143">
        <f t="shared" si="21"/>
        <v>0.22132786096843279</v>
      </c>
      <c r="F300" s="143">
        <f t="shared" si="21"/>
        <v>2.5200969734459434E-2</v>
      </c>
      <c r="G300" s="143">
        <f t="shared" si="5"/>
        <v>551.6698909053971</v>
      </c>
      <c r="H300" s="6"/>
      <c r="I300" s="6"/>
    </row>
    <row r="301" spans="1:9" x14ac:dyDescent="0.3">
      <c r="A301" s="143">
        <v>269</v>
      </c>
      <c r="B301" s="6"/>
      <c r="C301" s="143">
        <f t="shared" si="20"/>
        <v>202.88182109865213</v>
      </c>
      <c r="D301" s="6"/>
      <c r="E301" s="143">
        <f t="shared" si="21"/>
        <v>0.22172876622803511</v>
      </c>
      <c r="F301" s="143">
        <f t="shared" si="21"/>
        <v>2.5246617856975129E-2</v>
      </c>
      <c r="G301" s="143">
        <f t="shared" si="5"/>
        <v>552.66916573623166</v>
      </c>
      <c r="H301" s="143">
        <f>1/0.3666741</f>
        <v>2.72721743913737</v>
      </c>
      <c r="I301" s="6"/>
    </row>
    <row r="302" spans="1:9" x14ac:dyDescent="0.3">
      <c r="A302" s="143">
        <v>270</v>
      </c>
      <c r="B302" s="143">
        <v>203.20402999999999</v>
      </c>
      <c r="C302" s="143">
        <f t="shared" si="20"/>
        <v>203.2485321372875</v>
      </c>
      <c r="D302" s="143">
        <v>203.28899999999999</v>
      </c>
      <c r="E302" s="143">
        <f t="shared" si="21"/>
        <v>4.863621561476389E-5</v>
      </c>
      <c r="F302" s="143">
        <f t="shared" si="21"/>
        <v>5.0358216416736531E-6</v>
      </c>
      <c r="G302" s="143">
        <f t="shared" si="5"/>
        <v>0.12010460137059312</v>
      </c>
      <c r="H302" s="143">
        <f>1/0.3665571</f>
        <v>2.7280879295476748</v>
      </c>
      <c r="I302" s="6"/>
    </row>
    <row r="303" spans="1:9" x14ac:dyDescent="0.3">
      <c r="A303" s="143">
        <v>271</v>
      </c>
      <c r="B303" s="143">
        <v>203.57052999999999</v>
      </c>
      <c r="C303" s="143">
        <f t="shared" si="20"/>
        <v>203.61512590202213</v>
      </c>
      <c r="D303" s="6"/>
      <c r="E303" s="143">
        <f t="shared" si="21"/>
        <v>4.8738690734577086E-5</v>
      </c>
      <c r="F303" s="143">
        <f t="shared" si="21"/>
        <v>2.5337870321306886E-2</v>
      </c>
      <c r="G303" s="143">
        <f t="shared" si="5"/>
        <v>56.808884316695782</v>
      </c>
      <c r="H303" s="143">
        <f>1/0.3664401</f>
        <v>2.7289589758326125</v>
      </c>
      <c r="I303" s="6"/>
    </row>
    <row r="304" spans="1:9" x14ac:dyDescent="0.3">
      <c r="A304" s="143">
        <v>272</v>
      </c>
      <c r="B304" s="6"/>
      <c r="C304" s="143">
        <f t="shared" si="20"/>
        <v>203.98160239285602</v>
      </c>
      <c r="D304" s="6"/>
      <c r="E304" s="143">
        <f t="shared" ref="E304:F319" si="22">ABS(B304-C304)/(B$1-C$1)</f>
        <v>0.22293071299765685</v>
      </c>
      <c r="F304" s="143">
        <f t="shared" si="22"/>
        <v>2.5383474663122949E-2</v>
      </c>
      <c r="G304" s="143">
        <f t="shared" si="5"/>
        <v>555.66507343791</v>
      </c>
      <c r="H304" s="6"/>
      <c r="I304" s="6"/>
    </row>
    <row r="305" spans="1:9" x14ac:dyDescent="0.3">
      <c r="A305" s="143">
        <v>273</v>
      </c>
      <c r="B305" s="6"/>
      <c r="C305" s="143">
        <f t="shared" si="20"/>
        <v>204.34796160978908</v>
      </c>
      <c r="D305" s="6"/>
      <c r="E305" s="143">
        <f t="shared" si="22"/>
        <v>0.22333110558446895</v>
      </c>
      <c r="F305" s="143">
        <f t="shared" si="22"/>
        <v>2.5429064411372458E-2</v>
      </c>
      <c r="G305" s="143">
        <f t="shared" si="5"/>
        <v>556.66307040819413</v>
      </c>
      <c r="H305" s="6"/>
      <c r="I305" s="6"/>
    </row>
    <row r="306" spans="1:9" x14ac:dyDescent="0.3">
      <c r="A306" s="143">
        <v>274</v>
      </c>
      <c r="B306" s="6"/>
      <c r="C306" s="143">
        <f t="shared" si="20"/>
        <v>204.71420355282154</v>
      </c>
      <c r="D306" s="6"/>
      <c r="E306" s="143">
        <f t="shared" si="22"/>
        <v>0.22373137000308366</v>
      </c>
      <c r="F306" s="143">
        <f t="shared" si="22"/>
        <v>2.5474639566055442E-2</v>
      </c>
      <c r="G306" s="143">
        <f t="shared" ref="G306:G382" si="23">(E306+F306)/2*E$1</f>
        <v>557.66074791334108</v>
      </c>
      <c r="H306" s="6"/>
      <c r="I306" s="6"/>
    </row>
    <row r="307" spans="1:9" x14ac:dyDescent="0.3">
      <c r="A307" s="143">
        <v>275</v>
      </c>
      <c r="B307" s="143">
        <v>205.03534999999999</v>
      </c>
      <c r="C307" s="143">
        <f t="shared" si="20"/>
        <v>205.08032822195312</v>
      </c>
      <c r="D307" s="143">
        <v>205.12100000000001</v>
      </c>
      <c r="E307" s="143">
        <f t="shared" si="22"/>
        <v>4.9156526724732307E-5</v>
      </c>
      <c r="F307" s="143">
        <f t="shared" si="22"/>
        <v>5.0611968699459015E-6</v>
      </c>
      <c r="G307" s="143">
        <f t="shared" si="23"/>
        <v>0.12132571097399115</v>
      </c>
      <c r="H307" s="143">
        <f>1/0.3659722</f>
        <v>2.732447983753957</v>
      </c>
      <c r="I307" s="6"/>
    </row>
    <row r="308" spans="1:9" x14ac:dyDescent="0.3">
      <c r="A308" s="143">
        <v>276</v>
      </c>
      <c r="B308" s="6"/>
      <c r="C308" s="143">
        <f t="shared" si="20"/>
        <v>205.44633561718402</v>
      </c>
      <c r="D308" s="6"/>
      <c r="E308" s="143">
        <f t="shared" si="22"/>
        <v>0.22453151433572024</v>
      </c>
      <c r="F308" s="143">
        <f t="shared" si="22"/>
        <v>2.5565746094721755E-2</v>
      </c>
      <c r="G308" s="143">
        <f t="shared" si="23"/>
        <v>559.65514452822163</v>
      </c>
      <c r="H308" s="6"/>
      <c r="I308" s="6"/>
    </row>
    <row r="309" spans="1:9" x14ac:dyDescent="0.3">
      <c r="A309" s="143">
        <v>277</v>
      </c>
      <c r="B309" s="6"/>
      <c r="C309" s="143">
        <f t="shared" si="20"/>
        <v>205.81222573851414</v>
      </c>
      <c r="D309" s="6"/>
      <c r="E309" s="143">
        <f t="shared" si="22"/>
        <v>0.22493139424974223</v>
      </c>
      <c r="F309" s="143">
        <f t="shared" si="22"/>
        <v>2.5611277468705094E-2</v>
      </c>
      <c r="G309" s="143">
        <f t="shared" si="23"/>
        <v>560.65186363795556</v>
      </c>
      <c r="H309" s="6"/>
      <c r="I309" s="6"/>
    </row>
    <row r="310" spans="1:9" x14ac:dyDescent="0.3">
      <c r="A310" s="143">
        <v>278</v>
      </c>
      <c r="B310" s="6"/>
      <c r="C310" s="143">
        <f t="shared" si="20"/>
        <v>206.1779985859435</v>
      </c>
      <c r="D310" s="6"/>
      <c r="E310" s="143">
        <f t="shared" si="22"/>
        <v>0.22533114599556667</v>
      </c>
      <c r="F310" s="143">
        <f t="shared" si="22"/>
        <v>2.565679424912189E-2</v>
      </c>
      <c r="G310" s="143">
        <f t="shared" si="23"/>
        <v>561.64826328255185</v>
      </c>
      <c r="H310" s="6"/>
      <c r="I310" s="6"/>
    </row>
    <row r="311" spans="1:9" x14ac:dyDescent="0.3">
      <c r="A311" s="143">
        <v>279</v>
      </c>
      <c r="B311" s="6"/>
      <c r="C311" s="143">
        <f t="shared" si="20"/>
        <v>206.54365415947211</v>
      </c>
      <c r="D311" s="6"/>
      <c r="E311" s="143">
        <f t="shared" si="22"/>
        <v>0.22573076957319357</v>
      </c>
      <c r="F311" s="143">
        <f t="shared" si="22"/>
        <v>2.570229643597214E-2</v>
      </c>
      <c r="G311" s="143">
        <f t="shared" si="23"/>
        <v>562.64434346201051</v>
      </c>
      <c r="H311" s="6"/>
      <c r="I311" s="6"/>
    </row>
    <row r="312" spans="1:9" x14ac:dyDescent="0.3">
      <c r="A312" s="143">
        <v>280</v>
      </c>
      <c r="B312" s="143">
        <v>206.86375000000001</v>
      </c>
      <c r="C312" s="143">
        <f t="shared" si="20"/>
        <v>206.90919245910001</v>
      </c>
      <c r="D312" s="143">
        <v>206.95</v>
      </c>
      <c r="E312" s="143">
        <f t="shared" si="22"/>
        <v>4.9663889726778142E-5</v>
      </c>
      <c r="F312" s="143">
        <f t="shared" si="22"/>
        <v>5.0780912020876558E-6</v>
      </c>
      <c r="G312" s="143">
        <f t="shared" si="23"/>
        <v>0.12249886782356945</v>
      </c>
      <c r="H312" s="143">
        <f>1/0.3653872</f>
        <v>2.7368227458433134</v>
      </c>
      <c r="I312" s="6"/>
    </row>
    <row r="313" spans="1:9" x14ac:dyDescent="0.3">
      <c r="A313" s="143">
        <v>281</v>
      </c>
      <c r="B313" s="6"/>
      <c r="C313" s="143">
        <f t="shared" si="20"/>
        <v>207.27461348482711</v>
      </c>
      <c r="D313" s="6"/>
      <c r="E313" s="143">
        <f t="shared" si="22"/>
        <v>0.22652963222385478</v>
      </c>
      <c r="F313" s="143">
        <f t="shared" si="22"/>
        <v>2.5793257028973011E-2</v>
      </c>
      <c r="G313" s="143">
        <f t="shared" si="23"/>
        <v>564.63554542551537</v>
      </c>
      <c r="H313" s="6"/>
      <c r="I313" s="6"/>
    </row>
    <row r="314" spans="1:9" x14ac:dyDescent="0.3">
      <c r="A314" s="143">
        <v>282</v>
      </c>
      <c r="B314" s="6"/>
      <c r="C314" s="143">
        <f t="shared" si="20"/>
        <v>207.6399172366535</v>
      </c>
      <c r="D314" s="6"/>
      <c r="E314" s="143">
        <f t="shared" si="22"/>
        <v>0.22692887129688907</v>
      </c>
      <c r="F314" s="143">
        <f t="shared" si="22"/>
        <v>2.583871543512363E-2</v>
      </c>
      <c r="G314" s="143">
        <f t="shared" si="23"/>
        <v>565.63066720956147</v>
      </c>
      <c r="H314" s="6"/>
      <c r="I314" s="6"/>
    </row>
    <row r="315" spans="1:9" x14ac:dyDescent="0.3">
      <c r="A315" s="143">
        <v>283</v>
      </c>
      <c r="B315" s="6"/>
      <c r="C315" s="143">
        <f t="shared" si="20"/>
        <v>208.00510371457918</v>
      </c>
      <c r="D315" s="6"/>
      <c r="E315" s="143">
        <f t="shared" si="22"/>
        <v>0.22732798220172587</v>
      </c>
      <c r="F315" s="143">
        <f t="shared" si="22"/>
        <v>2.5884159247707712E-2</v>
      </c>
      <c r="G315" s="143">
        <f t="shared" si="23"/>
        <v>566.62546952847003</v>
      </c>
      <c r="H315" s="6"/>
      <c r="I315" s="6"/>
    </row>
    <row r="316" spans="1:9" x14ac:dyDescent="0.3">
      <c r="A316" s="143">
        <v>284</v>
      </c>
      <c r="B316" s="6"/>
      <c r="C316" s="143">
        <f t="shared" si="20"/>
        <v>208.370172918604</v>
      </c>
      <c r="D316" s="6"/>
      <c r="E316" s="143">
        <f t="shared" si="22"/>
        <v>0.22772696493836503</v>
      </c>
      <c r="F316" s="143">
        <f t="shared" si="22"/>
        <v>2.5929588466725235E-2</v>
      </c>
      <c r="G316" s="143">
        <f t="shared" si="23"/>
        <v>567.61995238224074</v>
      </c>
      <c r="H316" s="6"/>
      <c r="I316" s="6"/>
    </row>
    <row r="317" spans="1:9" x14ac:dyDescent="0.3">
      <c r="A317" s="143">
        <v>285</v>
      </c>
      <c r="B317" s="6"/>
      <c r="C317" s="143">
        <f t="shared" si="20"/>
        <v>208.73512484872811</v>
      </c>
      <c r="D317" s="6"/>
      <c r="E317" s="143">
        <f t="shared" si="22"/>
        <v>0.22812581950680666</v>
      </c>
      <c r="F317" s="143">
        <f t="shared" si="22"/>
        <v>2.5975003092176221E-2</v>
      </c>
      <c r="G317" s="143">
        <f t="shared" si="23"/>
        <v>568.61411577087392</v>
      </c>
      <c r="H317" s="6"/>
      <c r="I317" s="6"/>
    </row>
    <row r="318" spans="1:9" x14ac:dyDescent="0.3">
      <c r="A318" s="143">
        <v>286</v>
      </c>
      <c r="B318" s="6"/>
      <c r="C318" s="143">
        <f t="shared" si="20"/>
        <v>209.09995950495153</v>
      </c>
      <c r="D318" s="6"/>
      <c r="E318" s="143">
        <f t="shared" si="22"/>
        <v>0.22852454590705085</v>
      </c>
      <c r="F318" s="143">
        <f t="shared" si="22"/>
        <v>2.6020403124060669E-2</v>
      </c>
      <c r="G318" s="143">
        <f t="shared" si="23"/>
        <v>569.60795969436981</v>
      </c>
      <c r="H318" s="6"/>
      <c r="I318" s="6"/>
    </row>
    <row r="319" spans="1:9" x14ac:dyDescent="0.3">
      <c r="A319" s="143">
        <v>287</v>
      </c>
      <c r="B319" s="6"/>
      <c r="C319" s="143">
        <f t="shared" si="20"/>
        <v>209.46467688727409</v>
      </c>
      <c r="D319" s="6"/>
      <c r="E319" s="143">
        <f t="shared" si="22"/>
        <v>0.22892314413909737</v>
      </c>
      <c r="F319" s="143">
        <f t="shared" si="22"/>
        <v>2.606578856237856E-2</v>
      </c>
      <c r="G319" s="143">
        <f t="shared" si="23"/>
        <v>570.60148415272772</v>
      </c>
      <c r="H319" s="6"/>
      <c r="I319" s="6"/>
    </row>
    <row r="320" spans="1:9" x14ac:dyDescent="0.3">
      <c r="A320" s="143">
        <v>288</v>
      </c>
      <c r="B320" s="6"/>
      <c r="C320" s="143">
        <f t="shared" si="20"/>
        <v>209.82927699569606</v>
      </c>
      <c r="D320" s="6"/>
      <c r="E320" s="143">
        <f t="shared" ref="E320:F335" si="24">ABS(B320-C320)/(B$1-C$1)</f>
        <v>0.22932161420294653</v>
      </c>
      <c r="F320" s="143">
        <f t="shared" si="24"/>
        <v>2.6111159407129922E-2</v>
      </c>
      <c r="G320" s="143">
        <f t="shared" si="23"/>
        <v>571.59468914594856</v>
      </c>
      <c r="H320" s="6"/>
      <c r="I320" s="6"/>
    </row>
    <row r="321" spans="1:9" x14ac:dyDescent="0.3">
      <c r="A321" s="143">
        <v>289</v>
      </c>
      <c r="B321" s="6"/>
      <c r="C321" s="143">
        <f t="shared" si="20"/>
        <v>210.19375983021715</v>
      </c>
      <c r="D321" s="6"/>
      <c r="E321" s="143">
        <f t="shared" si="24"/>
        <v>0.22971995609859797</v>
      </c>
      <c r="F321" s="143">
        <f t="shared" si="24"/>
        <v>2.6156515658314727E-2</v>
      </c>
      <c r="G321" s="143">
        <f t="shared" si="23"/>
        <v>572.58757467403143</v>
      </c>
      <c r="H321" s="6"/>
      <c r="I321" s="6"/>
    </row>
    <row r="322" spans="1:9" x14ac:dyDescent="0.3">
      <c r="A322" s="143">
        <v>290</v>
      </c>
      <c r="B322" s="143">
        <v>210.51177000000001</v>
      </c>
      <c r="C322" s="143">
        <f t="shared" si="20"/>
        <v>210.55812539083749</v>
      </c>
      <c r="D322" s="143">
        <v>210.59899999999999</v>
      </c>
      <c r="E322" s="143">
        <f t="shared" si="24"/>
        <v>5.0661629330575196E-5</v>
      </c>
      <c r="F322" s="143">
        <f t="shared" si="24"/>
        <v>5.086437178011513E-6</v>
      </c>
      <c r="G322" s="143">
        <f t="shared" si="23"/>
        <v>0.1247502358295899</v>
      </c>
      <c r="H322" s="143">
        <f>1/0.3642173</f>
        <v>2.7456136762311947</v>
      </c>
      <c r="I322" s="6"/>
    </row>
    <row r="323" spans="1:9" x14ac:dyDescent="0.3">
      <c r="A323" s="143">
        <v>291</v>
      </c>
      <c r="B323" s="143">
        <v>210.87593000000001</v>
      </c>
      <c r="C323" s="143">
        <f t="shared" si="20"/>
        <v>210.92237367755718</v>
      </c>
      <c r="D323" s="143">
        <v>210.964</v>
      </c>
      <c r="E323" s="143">
        <f t="shared" si="24"/>
        <v>5.0758117548813291E-5</v>
      </c>
      <c r="F323" s="143">
        <f t="shared" si="24"/>
        <v>5.1799803935818183E-6</v>
      </c>
      <c r="G323" s="143">
        <f t="shared" si="23"/>
        <v>0.12517547867059467</v>
      </c>
      <c r="H323" s="143">
        <f>1/0.3641003</f>
        <v>2.746495951802292</v>
      </c>
      <c r="I323" s="6"/>
    </row>
    <row r="324" spans="1:9" x14ac:dyDescent="0.3">
      <c r="A324" s="143">
        <v>292</v>
      </c>
      <c r="B324" s="6"/>
      <c r="C324" s="143">
        <f t="shared" si="20"/>
        <v>211.28650469037598</v>
      </c>
      <c r="D324" s="6"/>
      <c r="E324" s="143">
        <f t="shared" si="24"/>
        <v>0.2309142127763672</v>
      </c>
      <c r="F324" s="143">
        <f t="shared" si="24"/>
        <v>2.6292496850469884E-2</v>
      </c>
      <c r="G324" s="143">
        <f t="shared" si="23"/>
        <v>575.56431446745466</v>
      </c>
      <c r="H324" s="6"/>
      <c r="I324" s="6"/>
    </row>
    <row r="325" spans="1:9" x14ac:dyDescent="0.3">
      <c r="A325" s="143">
        <v>293</v>
      </c>
      <c r="B325" s="6"/>
      <c r="C325" s="143">
        <f t="shared" si="20"/>
        <v>211.65051842929412</v>
      </c>
      <c r="D325" s="6"/>
      <c r="E325" s="143">
        <f t="shared" si="24"/>
        <v>0.23131204199922856</v>
      </c>
      <c r="F325" s="143">
        <f t="shared" si="24"/>
        <v>2.6337794727388519E-2</v>
      </c>
      <c r="G325" s="143">
        <f t="shared" si="23"/>
        <v>576.55592213498733</v>
      </c>
      <c r="H325" s="6"/>
      <c r="I325" s="6"/>
    </row>
    <row r="326" spans="1:9" x14ac:dyDescent="0.3">
      <c r="A326" s="143">
        <v>294</v>
      </c>
      <c r="B326" s="6"/>
      <c r="C326" s="143">
        <f t="shared" si="20"/>
        <v>212.01441489431153</v>
      </c>
      <c r="D326" s="6"/>
      <c r="E326" s="143">
        <f t="shared" si="24"/>
        <v>0.23170974305389239</v>
      </c>
      <c r="F326" s="143">
        <f t="shared" si="24"/>
        <v>2.6383078010740607E-2</v>
      </c>
      <c r="G326" s="143">
        <f t="shared" si="23"/>
        <v>577.54721033738247</v>
      </c>
      <c r="H326" s="6"/>
      <c r="I326" s="6"/>
    </row>
    <row r="327" spans="1:9" x14ac:dyDescent="0.3">
      <c r="A327" s="143">
        <v>295</v>
      </c>
      <c r="B327" s="6"/>
      <c r="C327" s="143">
        <f t="shared" si="20"/>
        <v>212.37819408542811</v>
      </c>
      <c r="D327" s="6"/>
      <c r="E327" s="143">
        <f t="shared" si="24"/>
        <v>0.23210731594035858</v>
      </c>
      <c r="F327" s="143">
        <f t="shared" si="24"/>
        <v>2.6428346700526146E-2</v>
      </c>
      <c r="G327" s="143">
        <f t="shared" si="23"/>
        <v>578.53817907463986</v>
      </c>
      <c r="H327" s="6"/>
      <c r="I327" s="6"/>
    </row>
    <row r="328" spans="1:9" x14ac:dyDescent="0.3">
      <c r="A328" s="143">
        <v>296</v>
      </c>
      <c r="B328" s="6"/>
      <c r="C328" s="143">
        <f t="shared" si="20"/>
        <v>212.741856002644</v>
      </c>
      <c r="D328" s="6"/>
      <c r="E328" s="143">
        <f t="shared" si="24"/>
        <v>0.23250476065862732</v>
      </c>
      <c r="F328" s="143">
        <f t="shared" si="24"/>
        <v>2.6473600796745145E-2</v>
      </c>
      <c r="G328" s="143">
        <f t="shared" si="23"/>
        <v>579.52882834675972</v>
      </c>
      <c r="H328" s="6"/>
      <c r="I328" s="6"/>
    </row>
    <row r="329" spans="1:9" x14ac:dyDescent="0.3">
      <c r="A329" s="143">
        <v>297</v>
      </c>
      <c r="B329" s="6"/>
      <c r="C329" s="143">
        <f t="shared" si="20"/>
        <v>213.10540064595915</v>
      </c>
      <c r="D329" s="6"/>
      <c r="E329" s="143">
        <f t="shared" si="24"/>
        <v>0.23290207720869852</v>
      </c>
      <c r="F329" s="143">
        <f t="shared" si="24"/>
        <v>2.6518840299397606E-2</v>
      </c>
      <c r="G329" s="143">
        <f t="shared" si="23"/>
        <v>580.51915815374218</v>
      </c>
      <c r="H329" s="6"/>
      <c r="I329" s="6"/>
    </row>
    <row r="330" spans="1:9" x14ac:dyDescent="0.3">
      <c r="A330" s="143">
        <v>298</v>
      </c>
      <c r="B330" s="6"/>
      <c r="C330" s="143">
        <f t="shared" si="20"/>
        <v>213.4688280153735</v>
      </c>
      <c r="D330" s="6"/>
      <c r="E330" s="143">
        <f t="shared" si="24"/>
        <v>0.23329926559057212</v>
      </c>
      <c r="F330" s="143">
        <f t="shared" si="24"/>
        <v>2.6564065208483513E-2</v>
      </c>
      <c r="G330" s="143">
        <f t="shared" si="23"/>
        <v>581.50916849558678</v>
      </c>
      <c r="H330" s="143">
        <f>1/0.3632814</f>
        <v>2.7526870354496542</v>
      </c>
      <c r="I330" s="6"/>
    </row>
    <row r="331" spans="1:9" x14ac:dyDescent="0.3">
      <c r="A331" s="143">
        <v>299</v>
      </c>
      <c r="B331" s="143">
        <v>213.78498999999999</v>
      </c>
      <c r="C331" s="143">
        <f t="shared" si="20"/>
        <v>213.83213811088712</v>
      </c>
      <c r="D331" s="143">
        <v>213.874</v>
      </c>
      <c r="E331" s="143">
        <f t="shared" si="24"/>
        <v>5.1527990040570138E-5</v>
      </c>
      <c r="F331" s="143">
        <f t="shared" si="24"/>
        <v>5.2092943146938942E-6</v>
      </c>
      <c r="G331" s="143">
        <f t="shared" si="23"/>
        <v>0.12696385806599209</v>
      </c>
      <c r="H331" s="143">
        <f>1/0.3631644</f>
        <v>2.7535738635174591</v>
      </c>
      <c r="I331" s="6"/>
    </row>
    <row r="332" spans="1:9" x14ac:dyDescent="0.3">
      <c r="A332" s="143">
        <v>300</v>
      </c>
      <c r="B332" s="143">
        <v>214.1481</v>
      </c>
      <c r="C332" s="143">
        <f t="shared" si="20"/>
        <v>214.19533093250001</v>
      </c>
      <c r="D332" s="143">
        <v>214.23699999999999</v>
      </c>
      <c r="E332" s="143">
        <f t="shared" si="24"/>
        <v>5.1618505464496152E-5</v>
      </c>
      <c r="F332" s="143">
        <f t="shared" si="24"/>
        <v>5.1852995893456117E-6</v>
      </c>
      <c r="G332" s="143">
        <f t="shared" si="23"/>
        <v>0.12711271475923441</v>
      </c>
      <c r="H332" s="143">
        <f>1/0.3629304</f>
        <v>2.7553492350048385</v>
      </c>
      <c r="I332" s="6"/>
    </row>
    <row r="333" spans="1:9" x14ac:dyDescent="0.3">
      <c r="A333" s="143">
        <v>301</v>
      </c>
      <c r="B333" s="6"/>
      <c r="C333" s="143">
        <f t="shared" si="20"/>
        <v>214.55840648021211</v>
      </c>
      <c r="D333" s="6"/>
      <c r="E333" s="143">
        <f t="shared" si="24"/>
        <v>0.23449006172700779</v>
      </c>
      <c r="F333" s="143">
        <f t="shared" si="24"/>
        <v>2.6699652374341975E-2</v>
      </c>
      <c r="G333" s="143">
        <f t="shared" si="23"/>
        <v>584.47728273029543</v>
      </c>
      <c r="H333" s="6"/>
      <c r="I333" s="6"/>
    </row>
    <row r="334" spans="1:9" x14ac:dyDescent="0.3">
      <c r="A334" s="143">
        <v>302</v>
      </c>
      <c r="B334" s="6"/>
      <c r="C334" s="143">
        <f t="shared" si="20"/>
        <v>214.92136475402356</v>
      </c>
      <c r="D334" s="6"/>
      <c r="E334" s="143">
        <f t="shared" si="24"/>
        <v>0.23488673743609131</v>
      </c>
      <c r="F334" s="143">
        <f t="shared" si="24"/>
        <v>2.6744818909161718E-2</v>
      </c>
      <c r="G334" s="143">
        <f t="shared" si="23"/>
        <v>585.46601521158993</v>
      </c>
      <c r="H334" s="6"/>
      <c r="I334" s="6"/>
    </row>
    <row r="335" spans="1:9" x14ac:dyDescent="0.3">
      <c r="A335" s="143">
        <v>303</v>
      </c>
      <c r="B335" s="6"/>
      <c r="C335" s="143">
        <f t="shared" si="20"/>
        <v>215.28420575393412</v>
      </c>
      <c r="D335" s="6"/>
      <c r="E335" s="143">
        <f t="shared" si="24"/>
        <v>0.23528328497697718</v>
      </c>
      <c r="F335" s="143">
        <f t="shared" si="24"/>
        <v>2.6789970850414898E-2</v>
      </c>
      <c r="G335" s="143">
        <f t="shared" si="23"/>
        <v>586.45442822774658</v>
      </c>
      <c r="H335" s="6"/>
      <c r="I335" s="6"/>
    </row>
    <row r="336" spans="1:9" x14ac:dyDescent="0.3">
      <c r="A336" s="143">
        <v>304</v>
      </c>
      <c r="B336" s="6"/>
      <c r="C336" s="143">
        <f t="shared" si="20"/>
        <v>215.64692947994396</v>
      </c>
      <c r="D336" s="6"/>
      <c r="E336" s="143">
        <f t="shared" ref="E336:F351" si="25">ABS(B336-C336)/(B$1-C$1)</f>
        <v>0.23567970434966554</v>
      </c>
      <c r="F336" s="143">
        <f t="shared" si="25"/>
        <v>2.6835108198101539E-2</v>
      </c>
      <c r="G336" s="143">
        <f t="shared" si="23"/>
        <v>587.44252177876581</v>
      </c>
      <c r="H336" s="6"/>
      <c r="I336" s="6"/>
    </row>
    <row r="337" spans="1:9" x14ac:dyDescent="0.3">
      <c r="A337" s="143">
        <v>305</v>
      </c>
      <c r="B337" s="6"/>
      <c r="C337" s="143">
        <f t="shared" si="20"/>
        <v>216.00953593205315</v>
      </c>
      <c r="D337" s="6"/>
      <c r="E337" s="143">
        <f t="shared" si="25"/>
        <v>0.23607599555415645</v>
      </c>
      <c r="F337" s="143">
        <f t="shared" si="25"/>
        <v>2.6880230952221647E-2</v>
      </c>
      <c r="G337" s="143">
        <f t="shared" si="23"/>
        <v>588.43029586464763</v>
      </c>
      <c r="H337" s="6"/>
      <c r="I337" s="6"/>
    </row>
    <row r="338" spans="1:9" x14ac:dyDescent="0.3">
      <c r="A338" s="143">
        <v>306</v>
      </c>
      <c r="B338" s="6"/>
      <c r="C338" s="143">
        <f t="shared" si="20"/>
        <v>216.37202511026149</v>
      </c>
      <c r="D338" s="6"/>
      <c r="E338" s="143">
        <f t="shared" si="25"/>
        <v>0.2364721585904497</v>
      </c>
      <c r="F338" s="143">
        <f t="shared" si="25"/>
        <v>2.6925339112775198E-2</v>
      </c>
      <c r="G338" s="143">
        <f t="shared" si="23"/>
        <v>589.41775048539148</v>
      </c>
      <c r="H338" s="6"/>
      <c r="I338" s="6"/>
    </row>
    <row r="339" spans="1:9" x14ac:dyDescent="0.3">
      <c r="A339" s="143">
        <v>307</v>
      </c>
      <c r="B339" s="6"/>
      <c r="C339" s="143">
        <f t="shared" si="20"/>
        <v>216.73439701456914</v>
      </c>
      <c r="D339" s="6"/>
      <c r="E339" s="143">
        <f t="shared" si="25"/>
        <v>0.23686819345854551</v>
      </c>
      <c r="F339" s="143">
        <f t="shared" si="25"/>
        <v>2.6970432679762211E-2</v>
      </c>
      <c r="G339" s="143">
        <f t="shared" si="23"/>
        <v>590.40488564099815</v>
      </c>
      <c r="H339" s="6"/>
      <c r="I339" s="6"/>
    </row>
    <row r="340" spans="1:9" x14ac:dyDescent="0.3">
      <c r="A340" s="143">
        <v>308</v>
      </c>
      <c r="B340" s="6"/>
      <c r="C340" s="143">
        <f t="shared" si="20"/>
        <v>217.09665164497602</v>
      </c>
      <c r="D340" s="6"/>
      <c r="E340" s="143">
        <f t="shared" si="25"/>
        <v>0.23726410015844374</v>
      </c>
      <c r="F340" s="143">
        <f t="shared" si="25"/>
        <v>2.7015511653182681E-2</v>
      </c>
      <c r="G340" s="143">
        <f t="shared" si="23"/>
        <v>591.39170133146695</v>
      </c>
      <c r="H340" s="6"/>
      <c r="I340" s="6"/>
    </row>
    <row r="341" spans="1:9" x14ac:dyDescent="0.3">
      <c r="A341" s="143">
        <v>309</v>
      </c>
      <c r="B341" s="6"/>
      <c r="C341" s="143">
        <f t="shared" si="20"/>
        <v>217.45878900148213</v>
      </c>
      <c r="D341" s="6"/>
      <c r="E341" s="143">
        <f t="shared" si="25"/>
        <v>0.2376598786901444</v>
      </c>
      <c r="F341" s="143">
        <f t="shared" si="25"/>
        <v>2.7060576033036601E-2</v>
      </c>
      <c r="G341" s="143">
        <f t="shared" si="23"/>
        <v>592.37819755679834</v>
      </c>
      <c r="H341" s="6"/>
      <c r="I341" s="6"/>
    </row>
    <row r="342" spans="1:9" x14ac:dyDescent="0.3">
      <c r="A342" s="143">
        <v>310</v>
      </c>
      <c r="B342" s="6"/>
      <c r="C342" s="143">
        <f t="shared" si="20"/>
        <v>217.8208090840875</v>
      </c>
      <c r="D342" s="6"/>
      <c r="E342" s="143">
        <f t="shared" si="25"/>
        <v>0.23805552905364755</v>
      </c>
      <c r="F342" s="143">
        <f t="shared" si="25"/>
        <v>2.7105625819323978E-2</v>
      </c>
      <c r="G342" s="143">
        <f t="shared" si="23"/>
        <v>593.3643743169921</v>
      </c>
      <c r="H342" s="6"/>
      <c r="I342" s="6"/>
    </row>
    <row r="343" spans="1:9" x14ac:dyDescent="0.3">
      <c r="A343" s="143">
        <v>311</v>
      </c>
      <c r="B343" s="6"/>
      <c r="C343" s="143">
        <f t="shared" si="20"/>
        <v>218.18271189279216</v>
      </c>
      <c r="D343" s="6"/>
      <c r="E343" s="143">
        <f t="shared" si="25"/>
        <v>0.23845105124895319</v>
      </c>
      <c r="F343" s="143">
        <f t="shared" si="25"/>
        <v>2.715066101204482E-2</v>
      </c>
      <c r="G343" s="143">
        <f t="shared" si="23"/>
        <v>594.35023161204822</v>
      </c>
      <c r="H343" s="6"/>
      <c r="I343" s="6"/>
    </row>
    <row r="344" spans="1:9" x14ac:dyDescent="0.3">
      <c r="A344" s="143">
        <v>312</v>
      </c>
      <c r="B344" s="6"/>
      <c r="C344" s="143">
        <f t="shared" si="20"/>
        <v>218.54449742759601</v>
      </c>
      <c r="D344" s="6"/>
      <c r="E344" s="143">
        <f t="shared" si="25"/>
        <v>0.23884644527606122</v>
      </c>
      <c r="F344" s="143">
        <f t="shared" si="25"/>
        <v>2.7195681611199105E-2</v>
      </c>
      <c r="G344" s="143">
        <f t="shared" si="23"/>
        <v>595.3357694419667</v>
      </c>
      <c r="H344" s="6"/>
      <c r="I344" s="6"/>
    </row>
    <row r="345" spans="1:9" x14ac:dyDescent="0.3">
      <c r="A345" s="143">
        <v>313</v>
      </c>
      <c r="B345" s="6"/>
      <c r="C345" s="143">
        <f t="shared" si="20"/>
        <v>218.90616568849916</v>
      </c>
      <c r="D345" s="6"/>
      <c r="E345" s="143">
        <f t="shared" si="25"/>
        <v>0.23924171113497175</v>
      </c>
      <c r="F345" s="143">
        <f t="shared" si="25"/>
        <v>2.7240687616786854E-2</v>
      </c>
      <c r="G345" s="143">
        <f t="shared" si="23"/>
        <v>596.32098780674778</v>
      </c>
      <c r="H345" s="6"/>
      <c r="I345" s="6"/>
    </row>
    <row r="346" spans="1:9" x14ac:dyDescent="0.3">
      <c r="A346" s="143">
        <v>314</v>
      </c>
      <c r="B346" s="6"/>
      <c r="C346" s="143">
        <f t="shared" si="20"/>
        <v>219.2677166755015</v>
      </c>
      <c r="D346" s="6"/>
      <c r="E346" s="143">
        <f t="shared" si="25"/>
        <v>0.2396368488256847</v>
      </c>
      <c r="F346" s="143">
        <f t="shared" si="25"/>
        <v>2.7285679028808053E-2</v>
      </c>
      <c r="G346" s="143">
        <f t="shared" si="23"/>
        <v>597.30588670639122</v>
      </c>
      <c r="H346" s="6"/>
      <c r="I346" s="6"/>
    </row>
    <row r="347" spans="1:9" x14ac:dyDescent="0.3">
      <c r="A347" s="143">
        <v>315</v>
      </c>
      <c r="B347" s="6"/>
      <c r="C347" s="143">
        <f t="shared" si="20"/>
        <v>219.62915038860311</v>
      </c>
      <c r="D347" s="6"/>
      <c r="E347" s="143">
        <f t="shared" si="25"/>
        <v>0.24003185834820012</v>
      </c>
      <c r="F347" s="143">
        <f t="shared" si="25"/>
        <v>2.7330655847262707E-2</v>
      </c>
      <c r="G347" s="143">
        <f t="shared" si="23"/>
        <v>598.29046614089691</v>
      </c>
      <c r="H347" s="6"/>
      <c r="I347" s="6"/>
    </row>
    <row r="348" spans="1:9" x14ac:dyDescent="0.3">
      <c r="A348" s="143">
        <v>316</v>
      </c>
      <c r="B348" s="6"/>
      <c r="C348" s="143">
        <f t="shared" si="20"/>
        <v>219.99046682780406</v>
      </c>
      <c r="D348" s="6"/>
      <c r="E348" s="143">
        <f t="shared" si="25"/>
        <v>0.2404267397025181</v>
      </c>
      <c r="F348" s="143">
        <f t="shared" si="25"/>
        <v>2.7375618072150828E-2</v>
      </c>
      <c r="G348" s="143">
        <f t="shared" si="23"/>
        <v>599.27472611026542</v>
      </c>
      <c r="H348" s="6"/>
      <c r="I348" s="6"/>
    </row>
    <row r="349" spans="1:9" x14ac:dyDescent="0.3">
      <c r="A349" s="143">
        <v>317</v>
      </c>
      <c r="B349" s="6"/>
      <c r="C349" s="143">
        <f t="shared" si="20"/>
        <v>220.35166599310415</v>
      </c>
      <c r="D349" s="6"/>
      <c r="E349" s="143">
        <f t="shared" si="25"/>
        <v>0.24082149288863841</v>
      </c>
      <c r="F349" s="143">
        <f t="shared" si="25"/>
        <v>2.7420565703472392E-2</v>
      </c>
      <c r="G349" s="143">
        <f t="shared" si="23"/>
        <v>600.25866661449595</v>
      </c>
      <c r="H349" s="6"/>
      <c r="I349" s="6"/>
    </row>
    <row r="350" spans="1:9" x14ac:dyDescent="0.3">
      <c r="A350" s="143">
        <v>318</v>
      </c>
      <c r="B350" s="6"/>
      <c r="C350" s="143">
        <f t="shared" si="20"/>
        <v>220.7127478845035</v>
      </c>
      <c r="D350" s="6"/>
      <c r="E350" s="143">
        <f t="shared" si="25"/>
        <v>0.24121611790656119</v>
      </c>
      <c r="F350" s="143">
        <f t="shared" si="25"/>
        <v>2.7465498741227414E-2</v>
      </c>
      <c r="G350" s="143">
        <f t="shared" si="23"/>
        <v>601.24228765358896</v>
      </c>
      <c r="H350" s="6"/>
      <c r="I350" s="6"/>
    </row>
    <row r="351" spans="1:9" x14ac:dyDescent="0.3">
      <c r="A351" s="143">
        <v>319</v>
      </c>
      <c r="B351" s="6"/>
      <c r="C351" s="143">
        <f t="shared" si="20"/>
        <v>221.07371250200217</v>
      </c>
      <c r="D351" s="6"/>
      <c r="E351" s="143">
        <f t="shared" si="25"/>
        <v>0.24161061475628651</v>
      </c>
      <c r="F351" s="143">
        <f t="shared" si="25"/>
        <v>2.75104171854159E-2</v>
      </c>
      <c r="G351" s="143">
        <f t="shared" si="23"/>
        <v>602.22558922754456</v>
      </c>
      <c r="H351" s="6"/>
      <c r="I351" s="6"/>
    </row>
    <row r="352" spans="1:9" x14ac:dyDescent="0.3">
      <c r="A352" s="143">
        <v>320</v>
      </c>
      <c r="B352" s="6"/>
      <c r="C352" s="143">
        <f t="shared" si="20"/>
        <v>221.43455984560001</v>
      </c>
      <c r="D352" s="6"/>
      <c r="E352" s="143">
        <f t="shared" ref="E352:F367" si="26">ABS(B352-C352)/(B$1-C$1)</f>
        <v>0.24200498343781421</v>
      </c>
      <c r="F352" s="143">
        <f t="shared" si="26"/>
        <v>2.755532103603783E-2</v>
      </c>
      <c r="G352" s="143">
        <f t="shared" si="23"/>
        <v>603.20857133636241</v>
      </c>
      <c r="H352" s="6"/>
      <c r="I352" s="6"/>
    </row>
    <row r="353" spans="1:9" x14ac:dyDescent="0.3">
      <c r="A353" s="143">
        <v>321</v>
      </c>
      <c r="B353" s="6"/>
      <c r="C353" s="143">
        <f t="shared" si="20"/>
        <v>221.79528991529713</v>
      </c>
      <c r="D353" s="6"/>
      <c r="E353" s="143">
        <f t="shared" si="26"/>
        <v>0.24239922395114441</v>
      </c>
      <c r="F353" s="143">
        <f t="shared" si="26"/>
        <v>2.7600210293093223E-2</v>
      </c>
      <c r="G353" s="143">
        <f t="shared" si="23"/>
        <v>604.19123398004274</v>
      </c>
      <c r="H353" s="6"/>
      <c r="I353" s="6"/>
    </row>
    <row r="354" spans="1:9" x14ac:dyDescent="0.3">
      <c r="A354" s="143">
        <v>322</v>
      </c>
      <c r="B354" s="6"/>
      <c r="C354" s="143">
        <f t="shared" si="20"/>
        <v>222.15590271109352</v>
      </c>
      <c r="D354" s="6"/>
      <c r="E354" s="143">
        <f t="shared" si="26"/>
        <v>0.24279333629627706</v>
      </c>
      <c r="F354" s="143">
        <f t="shared" si="26"/>
        <v>2.7645084956582071E-2</v>
      </c>
      <c r="G354" s="143">
        <f t="shared" si="23"/>
        <v>605.17357715858543</v>
      </c>
      <c r="H354" s="6"/>
      <c r="I354" s="6"/>
    </row>
    <row r="355" spans="1:9" x14ac:dyDescent="0.3">
      <c r="A355" s="143">
        <v>323</v>
      </c>
      <c r="B355" s="6"/>
      <c r="C355" s="143">
        <f t="shared" si="20"/>
        <v>222.51639823298913</v>
      </c>
      <c r="D355" s="6"/>
      <c r="E355" s="143">
        <f t="shared" si="26"/>
        <v>0.24318732047321218</v>
      </c>
      <c r="F355" s="143">
        <f t="shared" si="26"/>
        <v>2.7689945026504372E-2</v>
      </c>
      <c r="G355" s="143">
        <f t="shared" si="23"/>
        <v>606.1556008719906</v>
      </c>
      <c r="H355" s="6"/>
      <c r="I355" s="6"/>
    </row>
    <row r="356" spans="1:9" x14ac:dyDescent="0.3">
      <c r="A356" s="143">
        <v>324</v>
      </c>
      <c r="B356" s="6"/>
      <c r="C356" s="143">
        <f t="shared" si="20"/>
        <v>222.87677648098403</v>
      </c>
      <c r="D356" s="6"/>
      <c r="E356" s="143">
        <f t="shared" si="26"/>
        <v>0.24358117648194977</v>
      </c>
      <c r="F356" s="143">
        <f t="shared" si="26"/>
        <v>2.7734790502860134E-2</v>
      </c>
      <c r="G356" s="143">
        <f t="shared" si="23"/>
        <v>607.13730512025836</v>
      </c>
      <c r="H356" s="6"/>
      <c r="I356" s="6"/>
    </row>
    <row r="357" spans="1:9" x14ac:dyDescent="0.3">
      <c r="A357" s="143">
        <v>325</v>
      </c>
      <c r="B357" s="6"/>
      <c r="C357" s="143">
        <f t="shared" si="20"/>
        <v>223.23703745507814</v>
      </c>
      <c r="D357" s="6"/>
      <c r="E357" s="143">
        <f t="shared" si="26"/>
        <v>0.24397490432248978</v>
      </c>
      <c r="F357" s="143">
        <f t="shared" si="26"/>
        <v>2.7779621385649347E-2</v>
      </c>
      <c r="G357" s="143">
        <f t="shared" si="23"/>
        <v>608.11868990338837</v>
      </c>
      <c r="H357" s="6"/>
      <c r="I357" s="6"/>
    </row>
    <row r="358" spans="1:9" x14ac:dyDescent="0.3">
      <c r="A358" s="143">
        <v>326</v>
      </c>
      <c r="B358" s="6"/>
      <c r="C358" s="143">
        <f t="shared" si="20"/>
        <v>223.59718115527147</v>
      </c>
      <c r="D358" s="6"/>
      <c r="E358" s="143">
        <f t="shared" si="26"/>
        <v>0.2443685039948322</v>
      </c>
      <c r="F358" s="143">
        <f t="shared" si="26"/>
        <v>2.7824437674872009E-2</v>
      </c>
      <c r="G358" s="143">
        <f t="shared" si="23"/>
        <v>609.09975522138063</v>
      </c>
      <c r="H358" s="6"/>
      <c r="I358" s="6"/>
    </row>
    <row r="359" spans="1:9" x14ac:dyDescent="0.3">
      <c r="A359" s="143">
        <v>327</v>
      </c>
      <c r="B359" s="6"/>
      <c r="C359" s="143">
        <f t="shared" si="20"/>
        <v>223.95720758156412</v>
      </c>
      <c r="D359" s="6"/>
      <c r="E359" s="143">
        <f t="shared" si="26"/>
        <v>0.24476197549897719</v>
      </c>
      <c r="F359" s="143">
        <f t="shared" si="26"/>
        <v>2.786923937052814E-2</v>
      </c>
      <c r="G359" s="143">
        <f t="shared" si="23"/>
        <v>610.08050107423549</v>
      </c>
      <c r="H359" s="6"/>
      <c r="I359" s="6"/>
    </row>
    <row r="360" spans="1:9" x14ac:dyDescent="0.3">
      <c r="A360" s="143">
        <v>328</v>
      </c>
      <c r="B360" s="6"/>
      <c r="C360" s="143">
        <f t="shared" si="20"/>
        <v>224.317116733956</v>
      </c>
      <c r="D360" s="6"/>
      <c r="E360" s="143">
        <f t="shared" si="26"/>
        <v>0.24515531883492458</v>
      </c>
      <c r="F360" s="143">
        <f t="shared" si="26"/>
        <v>2.7914026472617721E-2</v>
      </c>
      <c r="G360" s="143">
        <f t="shared" si="23"/>
        <v>611.0609274619527</v>
      </c>
      <c r="H360" s="6"/>
      <c r="I360" s="6"/>
    </row>
    <row r="361" spans="1:9" x14ac:dyDescent="0.3">
      <c r="A361" s="143">
        <v>329</v>
      </c>
      <c r="B361" s="6"/>
      <c r="C361" s="143">
        <f t="shared" si="20"/>
        <v>224.67690861244711</v>
      </c>
      <c r="D361" s="6"/>
      <c r="E361" s="143">
        <f t="shared" si="26"/>
        <v>0.24554853400267443</v>
      </c>
      <c r="F361" s="143">
        <f t="shared" si="26"/>
        <v>2.7958798981140755E-2</v>
      </c>
      <c r="G361" s="143">
        <f t="shared" si="23"/>
        <v>612.0410343845324</v>
      </c>
      <c r="H361" s="6"/>
      <c r="I361" s="6"/>
    </row>
    <row r="362" spans="1:9" x14ac:dyDescent="0.3">
      <c r="A362" s="143">
        <v>330</v>
      </c>
      <c r="B362" s="6"/>
      <c r="C362" s="143">
        <f t="shared" si="20"/>
        <v>225.03658321703753</v>
      </c>
      <c r="D362" s="6"/>
      <c r="E362" s="143">
        <f t="shared" si="26"/>
        <v>0.2459416210022268</v>
      </c>
      <c r="F362" s="143">
        <f t="shared" si="26"/>
        <v>2.8003556896097254E-2</v>
      </c>
      <c r="G362" s="143">
        <f t="shared" si="23"/>
        <v>613.02082184197468</v>
      </c>
      <c r="H362" s="6"/>
      <c r="I362" s="6"/>
    </row>
    <row r="363" spans="1:9" x14ac:dyDescent="0.3">
      <c r="A363" s="143">
        <v>331</v>
      </c>
      <c r="B363" s="6"/>
      <c r="C363" s="143">
        <f t="shared" si="20"/>
        <v>225.39614054772713</v>
      </c>
      <c r="D363" s="6"/>
      <c r="E363" s="143">
        <f t="shared" si="26"/>
        <v>0.24633457983358156</v>
      </c>
      <c r="F363" s="143">
        <f t="shared" si="26"/>
        <v>2.80483002174872E-2</v>
      </c>
      <c r="G363" s="143">
        <f t="shared" si="23"/>
        <v>614.0002898342791</v>
      </c>
      <c r="H363" s="6"/>
      <c r="I363" s="6"/>
    </row>
    <row r="364" spans="1:9" x14ac:dyDescent="0.3">
      <c r="A364" s="143">
        <v>332</v>
      </c>
      <c r="B364" s="6"/>
      <c r="C364" s="143">
        <f t="shared" si="20"/>
        <v>225.75558060451601</v>
      </c>
      <c r="D364" s="6"/>
      <c r="E364" s="143">
        <f t="shared" si="26"/>
        <v>0.24672741049673882</v>
      </c>
      <c r="F364" s="143">
        <f t="shared" si="26"/>
        <v>2.8093028945310603E-2</v>
      </c>
      <c r="G364" s="143">
        <f t="shared" si="23"/>
        <v>614.97943836144611</v>
      </c>
      <c r="H364" s="6"/>
      <c r="I364" s="6"/>
    </row>
    <row r="365" spans="1:9" x14ac:dyDescent="0.3">
      <c r="A365" s="143">
        <v>333</v>
      </c>
      <c r="B365" s="6"/>
      <c r="C365" s="143">
        <f t="shared" si="20"/>
        <v>226.11490338740415</v>
      </c>
      <c r="D365" s="6"/>
      <c r="E365" s="143">
        <f t="shared" si="26"/>
        <v>0.24712011299169853</v>
      </c>
      <c r="F365" s="143">
        <f t="shared" si="26"/>
        <v>2.8137743079567467E-2</v>
      </c>
      <c r="G365" s="143">
        <f t="shared" si="23"/>
        <v>615.95826742347549</v>
      </c>
      <c r="H365" s="6"/>
      <c r="I365" s="6"/>
    </row>
    <row r="366" spans="1:9" x14ac:dyDescent="0.3">
      <c r="A366" s="143">
        <v>334</v>
      </c>
      <c r="B366" s="6"/>
      <c r="C366" s="143">
        <f t="shared" si="20"/>
        <v>226.4741088963915</v>
      </c>
      <c r="D366" s="6"/>
      <c r="E366" s="143">
        <f t="shared" si="26"/>
        <v>0.24751268731846066</v>
      </c>
      <c r="F366" s="143">
        <f t="shared" si="26"/>
        <v>2.8182442620257778E-2</v>
      </c>
      <c r="G366" s="143">
        <f t="shared" si="23"/>
        <v>616.93677702036712</v>
      </c>
      <c r="H366" s="6"/>
      <c r="I366" s="6"/>
    </row>
    <row r="367" spans="1:9" x14ac:dyDescent="0.3">
      <c r="A367" s="143">
        <v>335</v>
      </c>
      <c r="B367" s="6"/>
      <c r="C367" s="143">
        <f t="shared" si="20"/>
        <v>226.83319713147813</v>
      </c>
      <c r="D367" s="6"/>
      <c r="E367" s="143">
        <f t="shared" si="26"/>
        <v>0.24790513347702528</v>
      </c>
      <c r="F367" s="143">
        <f t="shared" si="26"/>
        <v>2.8227127567381549E-2</v>
      </c>
      <c r="G367" s="143">
        <f t="shared" si="23"/>
        <v>617.91496715212133</v>
      </c>
      <c r="H367" s="6"/>
      <c r="I367" s="6"/>
    </row>
    <row r="368" spans="1:9" x14ac:dyDescent="0.3">
      <c r="A368" s="143">
        <v>336</v>
      </c>
      <c r="B368" s="6"/>
      <c r="C368" s="143">
        <f t="shared" si="20"/>
        <v>227.19216809266405</v>
      </c>
      <c r="D368" s="6"/>
      <c r="E368" s="143">
        <f t="shared" ref="E368:F383" si="27">ABS(B368-C368)/(B$1-C$1)</f>
        <v>0.2482974514673924</v>
      </c>
      <c r="F368" s="143">
        <f t="shared" si="27"/>
        <v>2.8271797920938781E-2</v>
      </c>
      <c r="G368" s="143">
        <f t="shared" si="23"/>
        <v>618.89283781873803</v>
      </c>
      <c r="H368" s="6"/>
      <c r="I368" s="6"/>
    </row>
    <row r="369" spans="1:9" x14ac:dyDescent="0.3">
      <c r="A369" s="143">
        <v>337</v>
      </c>
      <c r="B369" s="6"/>
      <c r="C369" s="143">
        <f t="shared" si="20"/>
        <v>227.55102177994914</v>
      </c>
      <c r="D369" s="6"/>
      <c r="E369" s="143">
        <f t="shared" si="27"/>
        <v>0.24868964128956189</v>
      </c>
      <c r="F369" s="143">
        <f t="shared" si="27"/>
        <v>2.831645368092946E-2</v>
      </c>
      <c r="G369" s="143">
        <f t="shared" si="23"/>
        <v>619.87038902021698</v>
      </c>
      <c r="H369" s="6"/>
      <c r="I369" s="6"/>
    </row>
    <row r="370" spans="1:9" x14ac:dyDescent="0.3">
      <c r="A370" s="143">
        <v>338</v>
      </c>
      <c r="B370" s="6"/>
      <c r="C370" s="143">
        <f t="shared" si="20"/>
        <v>227.90975819333349</v>
      </c>
      <c r="D370" s="6"/>
      <c r="E370" s="143">
        <f t="shared" si="27"/>
        <v>0.24908170294353388</v>
      </c>
      <c r="F370" s="143">
        <f t="shared" si="27"/>
        <v>2.8361094847353593E-2</v>
      </c>
      <c r="G370" s="143">
        <f t="shared" si="23"/>
        <v>620.84762075655851</v>
      </c>
      <c r="H370" s="6"/>
      <c r="I370" s="6"/>
    </row>
    <row r="371" spans="1:9" x14ac:dyDescent="0.3">
      <c r="A371" s="143">
        <v>339</v>
      </c>
      <c r="B371" s="6"/>
      <c r="C371" s="143">
        <f t="shared" si="20"/>
        <v>228.26837733281715</v>
      </c>
      <c r="D371" s="6"/>
      <c r="E371" s="143">
        <f t="shared" si="27"/>
        <v>0.24947363642930837</v>
      </c>
      <c r="F371" s="143">
        <f t="shared" si="27"/>
        <v>2.8405721420211194E-2</v>
      </c>
      <c r="G371" s="143">
        <f t="shared" si="23"/>
        <v>621.82453302776241</v>
      </c>
      <c r="H371" s="6"/>
      <c r="I371" s="6"/>
    </row>
    <row r="372" spans="1:9" x14ac:dyDescent="0.3">
      <c r="A372" s="143">
        <v>340</v>
      </c>
      <c r="B372" s="6"/>
      <c r="C372" s="143">
        <f t="shared" si="20"/>
        <v>228.62687919839996</v>
      </c>
      <c r="D372" s="6"/>
      <c r="E372" s="143">
        <f t="shared" si="27"/>
        <v>0.24986544174688521</v>
      </c>
      <c r="F372" s="143">
        <f t="shared" si="27"/>
        <v>2.8450333399502235E-2</v>
      </c>
      <c r="G372" s="143">
        <f t="shared" si="23"/>
        <v>622.80112583382845</v>
      </c>
      <c r="H372" s="6"/>
      <c r="I372" s="6"/>
    </row>
    <row r="373" spans="1:9" x14ac:dyDescent="0.3">
      <c r="A373" s="143">
        <v>341</v>
      </c>
      <c r="B373" s="6"/>
      <c r="C373" s="143">
        <f t="shared" si="20"/>
        <v>228.98526379008214</v>
      </c>
      <c r="D373" s="6"/>
      <c r="E373" s="143">
        <f t="shared" si="27"/>
        <v>0.25025711889626462</v>
      </c>
      <c r="F373" s="143">
        <f t="shared" si="27"/>
        <v>2.8494930785226746E-2</v>
      </c>
      <c r="G373" s="143">
        <f t="shared" si="23"/>
        <v>623.77739917475731</v>
      </c>
      <c r="H373" s="6"/>
      <c r="I373" s="6"/>
    </row>
    <row r="374" spans="1:9" x14ac:dyDescent="0.3">
      <c r="A374" s="143">
        <v>342</v>
      </c>
      <c r="B374" s="6"/>
      <c r="C374" s="143">
        <f t="shared" si="20"/>
        <v>229.34353110786353</v>
      </c>
      <c r="D374" s="6"/>
      <c r="E374" s="143">
        <f t="shared" si="27"/>
        <v>0.2506486678774465</v>
      </c>
      <c r="F374" s="143">
        <f t="shared" si="27"/>
        <v>2.8539513577384708E-2</v>
      </c>
      <c r="G374" s="143">
        <f t="shared" si="23"/>
        <v>624.75335305054853</v>
      </c>
      <c r="H374" s="6"/>
      <c r="I374" s="6"/>
    </row>
    <row r="375" spans="1:9" x14ac:dyDescent="0.3">
      <c r="A375" s="143">
        <v>343</v>
      </c>
      <c r="B375" s="6"/>
      <c r="C375" s="143">
        <f t="shared" si="20"/>
        <v>229.70168115174411</v>
      </c>
      <c r="D375" s="6"/>
      <c r="E375" s="143">
        <f t="shared" si="27"/>
        <v>0.25104008869043071</v>
      </c>
      <c r="F375" s="143">
        <f t="shared" si="27"/>
        <v>2.8584081775976121E-2</v>
      </c>
      <c r="G375" s="143">
        <f t="shared" si="23"/>
        <v>625.72898746120188</v>
      </c>
      <c r="H375" s="6"/>
      <c r="I375" s="6"/>
    </row>
    <row r="376" spans="1:9" x14ac:dyDescent="0.3">
      <c r="A376" s="143">
        <v>344</v>
      </c>
      <c r="B376" s="6"/>
      <c r="C376" s="143">
        <f t="shared" si="20"/>
        <v>230.05971392172401</v>
      </c>
      <c r="D376" s="6"/>
      <c r="E376" s="143">
        <f t="shared" si="27"/>
        <v>0.25143138133521747</v>
      </c>
      <c r="F376" s="143">
        <f t="shared" si="27"/>
        <v>2.8628635381000998E-2</v>
      </c>
      <c r="G376" s="143">
        <f t="shared" si="23"/>
        <v>626.70430240671794</v>
      </c>
      <c r="H376" s="6"/>
      <c r="I376" s="6"/>
    </row>
    <row r="377" spans="1:9" x14ac:dyDescent="0.3">
      <c r="A377" s="143">
        <v>345</v>
      </c>
      <c r="B377" s="6"/>
      <c r="C377" s="143">
        <f t="shared" si="20"/>
        <v>230.41762941780311</v>
      </c>
      <c r="D377" s="6"/>
      <c r="E377" s="143">
        <f t="shared" si="27"/>
        <v>0.25182254581180669</v>
      </c>
      <c r="F377" s="143">
        <f t="shared" si="27"/>
        <v>2.8673174392459321E-2</v>
      </c>
      <c r="G377" s="143">
        <f t="shared" si="23"/>
        <v>627.67929788709625</v>
      </c>
      <c r="H377" s="6"/>
      <c r="I377" s="6"/>
    </row>
    <row r="378" spans="1:9" x14ac:dyDescent="0.3">
      <c r="A378" s="143">
        <v>346</v>
      </c>
      <c r="B378" s="6"/>
      <c r="C378" s="143">
        <f t="shared" si="20"/>
        <v>230.7754276399815</v>
      </c>
      <c r="D378" s="6"/>
      <c r="E378" s="143">
        <f t="shared" si="27"/>
        <v>0.25221358212019834</v>
      </c>
      <c r="F378" s="143">
        <f t="shared" si="27"/>
        <v>2.8717698810351109E-2</v>
      </c>
      <c r="G378" s="143">
        <f t="shared" si="23"/>
        <v>628.65397390233704</v>
      </c>
      <c r="H378" s="6"/>
      <c r="I378" s="6"/>
    </row>
    <row r="379" spans="1:9" x14ac:dyDescent="0.3">
      <c r="A379" s="143">
        <v>347</v>
      </c>
      <c r="B379" s="6"/>
      <c r="C379" s="143">
        <f t="shared" si="20"/>
        <v>231.13310858825915</v>
      </c>
      <c r="D379" s="6"/>
      <c r="E379" s="143">
        <f t="shared" si="27"/>
        <v>0.2526044902603925</v>
      </c>
      <c r="F379" s="143">
        <f t="shared" si="27"/>
        <v>2.8762208634676351E-2</v>
      </c>
      <c r="G379" s="143">
        <f t="shared" si="23"/>
        <v>629.62833045244031</v>
      </c>
      <c r="H379" s="6"/>
      <c r="I379" s="6"/>
    </row>
    <row r="380" spans="1:9" x14ac:dyDescent="0.3">
      <c r="A380" s="143">
        <v>348</v>
      </c>
      <c r="B380" s="6"/>
      <c r="C380" s="143">
        <f t="shared" si="20"/>
        <v>231.490672262636</v>
      </c>
      <c r="D380" s="6"/>
      <c r="E380" s="143">
        <f t="shared" si="27"/>
        <v>0.25299527023238905</v>
      </c>
      <c r="F380" s="143">
        <f t="shared" si="27"/>
        <v>2.8806703865435043E-2</v>
      </c>
      <c r="G380" s="143">
        <f t="shared" si="23"/>
        <v>630.60236753740583</v>
      </c>
      <c r="H380" s="143">
        <f>1/0.3574319</f>
        <v>2.7977357365137245</v>
      </c>
      <c r="I380" s="6"/>
    </row>
    <row r="381" spans="1:9" x14ac:dyDescent="0.3">
      <c r="A381" s="143">
        <v>349</v>
      </c>
      <c r="B381" s="143">
        <v>231.79696999999999</v>
      </c>
      <c r="C381" s="143">
        <f t="shared" si="20"/>
        <v>231.84811866311213</v>
      </c>
      <c r="D381" s="143">
        <v>231.893</v>
      </c>
      <c r="E381" s="143">
        <f t="shared" si="27"/>
        <v>5.5900178264638555E-5</v>
      </c>
      <c r="F381" s="143">
        <f t="shared" si="27"/>
        <v>5.5850344559319167E-6</v>
      </c>
      <c r="G381" s="143">
        <f t="shared" si="23"/>
        <v>0.13758853476545657</v>
      </c>
      <c r="H381" s="143">
        <f>1/0.3573149</f>
        <v>2.7986518334387958</v>
      </c>
      <c r="I381" s="6"/>
    </row>
    <row r="382" spans="1:9" x14ac:dyDescent="0.3">
      <c r="A382" s="143">
        <v>350</v>
      </c>
      <c r="B382" s="143">
        <v>232.15423000000001</v>
      </c>
      <c r="C382" s="143">
        <f t="shared" si="20"/>
        <v>232.20544778968753</v>
      </c>
      <c r="D382" s="143">
        <v>232.251</v>
      </c>
      <c r="E382" s="143">
        <f t="shared" si="27"/>
        <v>5.5975726434440445E-5</v>
      </c>
      <c r="F382" s="143">
        <f t="shared" si="27"/>
        <v>5.6685179582477912E-6</v>
      </c>
      <c r="G382" s="143">
        <f t="shared" si="23"/>
        <v>0.13794440788973811</v>
      </c>
      <c r="H382" s="143">
        <f>1/0.3571979</f>
        <v>2.7995685304980795</v>
      </c>
      <c r="I382" s="6"/>
    </row>
    <row r="383" spans="1:9" x14ac:dyDescent="0.3">
      <c r="A383" s="143">
        <v>351</v>
      </c>
      <c r="B383" s="6"/>
      <c r="C383" s="143">
        <f t="shared" si="20"/>
        <v>232.56265964236212</v>
      </c>
      <c r="D383" s="6"/>
      <c r="E383" s="143">
        <f t="shared" si="27"/>
        <v>0.25416684113919358</v>
      </c>
      <c r="F383" s="143">
        <f t="shared" si="27"/>
        <v>2.8940101996311862E-2</v>
      </c>
      <c r="G383" s="6"/>
      <c r="H383" s="6"/>
      <c r="I383" s="6"/>
    </row>
    <row r="384" spans="1:9" x14ac:dyDescent="0.3">
      <c r="A384" s="143">
        <v>352</v>
      </c>
      <c r="B384" s="6"/>
      <c r="C384" s="143">
        <f t="shared" si="20"/>
        <v>232.919754221136</v>
      </c>
      <c r="D384" s="6"/>
      <c r="E384" s="143">
        <f t="shared" ref="E384:F399" si="28">ABS(B384-C384)/(B$1-C$1)</f>
        <v>0.25455710843840001</v>
      </c>
      <c r="F384" s="143">
        <f t="shared" si="28"/>
        <v>2.898453885280438E-2</v>
      </c>
      <c r="G384" s="6"/>
      <c r="H384" s="6"/>
      <c r="I384" s="6"/>
    </row>
    <row r="385" spans="1:9" x14ac:dyDescent="0.3">
      <c r="A385" s="143">
        <v>353</v>
      </c>
      <c r="B385" s="6"/>
      <c r="C385" s="143">
        <f t="shared" si="20"/>
        <v>233.27673152600914</v>
      </c>
      <c r="D385" s="6"/>
      <c r="E385" s="143">
        <f t="shared" si="28"/>
        <v>0.2549472475694089</v>
      </c>
      <c r="F385" s="143">
        <f t="shared" si="28"/>
        <v>2.9028961115730355E-2</v>
      </c>
      <c r="G385" s="6"/>
      <c r="H385" s="6"/>
      <c r="I385" s="6"/>
    </row>
    <row r="386" spans="1:9" x14ac:dyDescent="0.3">
      <c r="A386" s="143">
        <v>354</v>
      </c>
      <c r="B386" s="6"/>
      <c r="C386" s="143">
        <f t="shared" si="20"/>
        <v>233.63359155698151</v>
      </c>
      <c r="D386" s="6"/>
      <c r="E386" s="143">
        <f t="shared" si="28"/>
        <v>0.25533725853222022</v>
      </c>
      <c r="F386" s="143">
        <f t="shared" si="28"/>
        <v>2.9073368785089784E-2</v>
      </c>
      <c r="G386" s="6"/>
      <c r="H386" s="6"/>
      <c r="I386" s="6"/>
    </row>
    <row r="387" spans="1:9" x14ac:dyDescent="0.3">
      <c r="A387" s="143">
        <v>355</v>
      </c>
      <c r="B387" s="6"/>
      <c r="C387" s="143">
        <f t="shared" si="20"/>
        <v>233.99033431405314</v>
      </c>
      <c r="D387" s="6"/>
      <c r="E387" s="143">
        <f t="shared" si="28"/>
        <v>0.25572714132683405</v>
      </c>
      <c r="F387" s="143">
        <f t="shared" si="28"/>
        <v>2.911776186088267E-2</v>
      </c>
      <c r="G387" s="6"/>
      <c r="H387" s="6"/>
      <c r="I387" s="6"/>
    </row>
    <row r="388" spans="1:9" x14ac:dyDescent="0.3">
      <c r="A388" s="143">
        <v>356</v>
      </c>
      <c r="B388" s="6"/>
      <c r="C388" s="143">
        <f t="shared" si="20"/>
        <v>234.346959797224</v>
      </c>
      <c r="D388" s="6"/>
      <c r="E388" s="143">
        <f t="shared" si="28"/>
        <v>0.25611689595325027</v>
      </c>
      <c r="F388" s="143">
        <f t="shared" si="28"/>
        <v>2.916214034310901E-2</v>
      </c>
      <c r="G388" s="6"/>
      <c r="H388" s="6"/>
      <c r="I388" s="6"/>
    </row>
    <row r="389" spans="1:9" x14ac:dyDescent="0.3">
      <c r="A389" s="143">
        <v>357</v>
      </c>
      <c r="B389" s="6"/>
      <c r="C389" s="143">
        <f t="shared" si="20"/>
        <v>234.70346800649409</v>
      </c>
      <c r="D389" s="6"/>
      <c r="E389" s="143">
        <f t="shared" si="28"/>
        <v>0.25650652241146893</v>
      </c>
      <c r="F389" s="143">
        <f t="shared" si="28"/>
        <v>2.9206504231768803E-2</v>
      </c>
      <c r="G389" s="6"/>
      <c r="H389" s="6"/>
      <c r="I389" s="6"/>
    </row>
    <row r="390" spans="1:9" x14ac:dyDescent="0.3">
      <c r="A390" s="143">
        <v>358</v>
      </c>
      <c r="B390" s="6"/>
      <c r="C390" s="143">
        <f t="shared" si="20"/>
        <v>235.0598589418635</v>
      </c>
      <c r="D390" s="6"/>
      <c r="E390" s="143">
        <f t="shared" si="28"/>
        <v>0.25689602070149015</v>
      </c>
      <c r="F390" s="143">
        <f t="shared" si="28"/>
        <v>2.9250853526862058E-2</v>
      </c>
      <c r="G390" s="6"/>
      <c r="H390" s="6"/>
      <c r="I390" s="6"/>
    </row>
    <row r="391" spans="1:9" x14ac:dyDescent="0.3">
      <c r="A391" s="143">
        <v>359</v>
      </c>
      <c r="B391" s="6"/>
      <c r="C391" s="143">
        <f t="shared" si="20"/>
        <v>235.41613260333213</v>
      </c>
      <c r="D391" s="6"/>
      <c r="E391" s="143">
        <f t="shared" si="28"/>
        <v>0.25728539082331381</v>
      </c>
      <c r="F391" s="143">
        <f t="shared" si="28"/>
        <v>2.9295188228388766E-2</v>
      </c>
      <c r="G391" s="6"/>
      <c r="H391" s="6"/>
      <c r="I391" s="6"/>
    </row>
    <row r="392" spans="1:9" x14ac:dyDescent="0.3">
      <c r="A392" s="143">
        <v>360</v>
      </c>
      <c r="B392" s="6"/>
      <c r="C392" s="143">
        <f t="shared" si="20"/>
        <v>235.77228899089999</v>
      </c>
      <c r="D392" s="6"/>
      <c r="E392" s="143">
        <f t="shared" si="28"/>
        <v>0.25767463277693986</v>
      </c>
      <c r="F392" s="143">
        <f t="shared" si="28"/>
        <v>2.9339508336348928E-2</v>
      </c>
      <c r="G392" s="6"/>
      <c r="H392" s="6"/>
      <c r="I392" s="6"/>
    </row>
    <row r="393" spans="1:9" x14ac:dyDescent="0.3">
      <c r="A393" s="143">
        <v>361</v>
      </c>
      <c r="B393" s="6"/>
      <c r="C393" s="143">
        <f t="shared" si="20"/>
        <v>236.12832810456715</v>
      </c>
      <c r="D393" s="6"/>
      <c r="E393" s="143">
        <f t="shared" si="28"/>
        <v>0.25806374656236847</v>
      </c>
      <c r="F393" s="143">
        <f t="shared" si="28"/>
        <v>2.9383813850742551E-2</v>
      </c>
      <c r="G393" s="6"/>
      <c r="H393" s="6"/>
      <c r="I393" s="6"/>
    </row>
    <row r="394" spans="1:9" x14ac:dyDescent="0.3">
      <c r="A394" s="143">
        <v>362</v>
      </c>
      <c r="B394" s="6"/>
      <c r="C394" s="143">
        <f t="shared" si="20"/>
        <v>236.4842499443335</v>
      </c>
      <c r="D394" s="6"/>
      <c r="E394" s="143">
        <f t="shared" si="28"/>
        <v>0.25845273217959946</v>
      </c>
      <c r="F394" s="143">
        <f t="shared" si="28"/>
        <v>2.9428104771569624E-2</v>
      </c>
      <c r="G394" s="6"/>
      <c r="H394" s="6"/>
      <c r="I394" s="6"/>
    </row>
    <row r="395" spans="1:9" x14ac:dyDescent="0.3">
      <c r="A395" s="143">
        <v>363</v>
      </c>
      <c r="B395" s="6"/>
      <c r="C395" s="143">
        <f t="shared" si="20"/>
        <v>236.84005451019914</v>
      </c>
      <c r="D395" s="6"/>
      <c r="E395" s="143">
        <f t="shared" si="28"/>
        <v>0.25884158962863296</v>
      </c>
      <c r="F395" s="143">
        <f t="shared" si="28"/>
        <v>2.9472381098830158E-2</v>
      </c>
      <c r="G395" s="6"/>
      <c r="H395" s="6"/>
      <c r="I395" s="6"/>
    </row>
    <row r="396" spans="1:9" x14ac:dyDescent="0.3">
      <c r="A396" s="143">
        <v>364</v>
      </c>
      <c r="B396" s="6"/>
      <c r="C396" s="143">
        <f t="shared" si="20"/>
        <v>237.19574180216404</v>
      </c>
      <c r="D396" s="6"/>
      <c r="E396" s="143">
        <f t="shared" si="28"/>
        <v>0.2592303189094689</v>
      </c>
      <c r="F396" s="143">
        <f t="shared" si="28"/>
        <v>2.9516642832524146E-2</v>
      </c>
      <c r="G396" s="6"/>
      <c r="H396" s="6"/>
      <c r="I396" s="6"/>
    </row>
    <row r="397" spans="1:9" x14ac:dyDescent="0.3">
      <c r="A397" s="143">
        <v>365</v>
      </c>
      <c r="B397" s="6"/>
      <c r="C397" s="143">
        <f t="shared" si="20"/>
        <v>237.55131182022814</v>
      </c>
      <c r="D397" s="6"/>
      <c r="E397" s="143">
        <f t="shared" si="28"/>
        <v>0.25961892002210724</v>
      </c>
      <c r="F397" s="143">
        <f t="shared" si="28"/>
        <v>2.9560889972651584E-2</v>
      </c>
      <c r="G397" s="6"/>
      <c r="H397" s="6"/>
      <c r="I397" s="6"/>
    </row>
    <row r="398" spans="1:9" x14ac:dyDescent="0.3">
      <c r="A398" s="143">
        <v>366</v>
      </c>
      <c r="B398" s="6"/>
      <c r="C398" s="143">
        <f t="shared" si="20"/>
        <v>237.90676456439152</v>
      </c>
      <c r="D398" s="6"/>
      <c r="E398" s="143">
        <f t="shared" si="28"/>
        <v>0.26000739296654812</v>
      </c>
      <c r="F398" s="143">
        <f t="shared" si="28"/>
        <v>2.9605122519212483E-2</v>
      </c>
      <c r="G398" s="6"/>
      <c r="H398" s="6"/>
      <c r="I398" s="6"/>
    </row>
    <row r="399" spans="1:9" x14ac:dyDescent="0.3">
      <c r="A399" s="143">
        <v>367</v>
      </c>
      <c r="B399" s="6"/>
      <c r="C399" s="143">
        <f t="shared" si="20"/>
        <v>238.26210003465414</v>
      </c>
      <c r="D399" s="6"/>
      <c r="E399" s="143">
        <f t="shared" si="28"/>
        <v>0.2603957377427914</v>
      </c>
      <c r="F399" s="143">
        <f t="shared" si="28"/>
        <v>2.9649340472206836E-2</v>
      </c>
      <c r="G399" s="6"/>
      <c r="H399" s="6"/>
      <c r="I399" s="6"/>
    </row>
    <row r="400" spans="1:9" x14ac:dyDescent="0.3">
      <c r="A400" s="143">
        <v>368</v>
      </c>
      <c r="B400" s="6"/>
      <c r="C400" s="143">
        <f t="shared" si="20"/>
        <v>238.61731823101599</v>
      </c>
      <c r="D400" s="6"/>
      <c r="E400" s="143">
        <f t="shared" ref="E400:F415" si="29">ABS(B400-C400)/(B$1-C$1)</f>
        <v>0.26078395435083712</v>
      </c>
      <c r="F400" s="143">
        <f t="shared" si="29"/>
        <v>2.9693543831634642E-2</v>
      </c>
      <c r="G400" s="6"/>
      <c r="H400" s="6"/>
      <c r="I400" s="6"/>
    </row>
    <row r="401" spans="1:9" x14ac:dyDescent="0.3">
      <c r="A401" s="143">
        <v>369</v>
      </c>
      <c r="B401" s="6"/>
      <c r="C401" s="143">
        <f t="shared" si="20"/>
        <v>238.97241915347715</v>
      </c>
      <c r="D401" s="6"/>
      <c r="E401" s="143">
        <f t="shared" si="29"/>
        <v>0.2611720427906854</v>
      </c>
      <c r="F401" s="143">
        <f t="shared" si="29"/>
        <v>2.9737732597495913E-2</v>
      </c>
      <c r="G401" s="6"/>
      <c r="H401" s="6"/>
      <c r="I401" s="6"/>
    </row>
    <row r="402" spans="1:9" x14ac:dyDescent="0.3">
      <c r="A402" s="143">
        <v>370</v>
      </c>
      <c r="B402" s="6"/>
      <c r="C402" s="143">
        <f t="shared" si="20"/>
        <v>239.32740280203751</v>
      </c>
      <c r="D402" s="6"/>
      <c r="E402" s="143">
        <f t="shared" si="29"/>
        <v>0.26156000306233607</v>
      </c>
      <c r="F402" s="143">
        <f t="shared" si="29"/>
        <v>2.9781906769790631E-2</v>
      </c>
      <c r="G402" s="6"/>
      <c r="H402" s="6"/>
      <c r="I402" s="6"/>
    </row>
    <row r="403" spans="1:9" x14ac:dyDescent="0.3">
      <c r="A403" s="143">
        <v>371</v>
      </c>
      <c r="B403" s="6"/>
      <c r="C403" s="143">
        <f t="shared" si="20"/>
        <v>239.68226917669713</v>
      </c>
      <c r="D403" s="6"/>
      <c r="E403" s="143">
        <f t="shared" si="29"/>
        <v>0.26194783516578923</v>
      </c>
      <c r="F403" s="143">
        <f t="shared" si="29"/>
        <v>2.9826066348518806E-2</v>
      </c>
      <c r="G403" s="6"/>
      <c r="H403" s="6"/>
      <c r="I403" s="6"/>
    </row>
    <row r="404" spans="1:9" x14ac:dyDescent="0.3">
      <c r="A404" s="143">
        <v>372</v>
      </c>
      <c r="B404" s="6"/>
      <c r="C404" s="143">
        <f t="shared" si="20"/>
        <v>240.03701827745599</v>
      </c>
      <c r="D404" s="6"/>
      <c r="E404" s="143">
        <f t="shared" si="29"/>
        <v>0.26233553910104479</v>
      </c>
      <c r="F404" s="143">
        <f t="shared" si="29"/>
        <v>2.9870211333680435E-2</v>
      </c>
      <c r="G404" s="6"/>
      <c r="H404" s="6"/>
      <c r="I404" s="6"/>
    </row>
    <row r="405" spans="1:9" x14ac:dyDescent="0.3">
      <c r="A405" s="143">
        <v>373</v>
      </c>
      <c r="B405" s="6"/>
      <c r="C405" s="143">
        <f t="shared" si="20"/>
        <v>240.39165010431415</v>
      </c>
      <c r="D405" s="6"/>
      <c r="E405" s="143">
        <f t="shared" si="29"/>
        <v>0.2627231148681029</v>
      </c>
      <c r="F405" s="143">
        <f t="shared" si="29"/>
        <v>2.9914341725275528E-2</v>
      </c>
      <c r="G405" s="6"/>
      <c r="H405" s="6"/>
      <c r="I405" s="6"/>
    </row>
    <row r="406" spans="1:9" x14ac:dyDescent="0.3">
      <c r="A406" s="143">
        <v>374</v>
      </c>
      <c r="B406" s="6"/>
      <c r="C406" s="143">
        <f t="shared" si="20"/>
        <v>240.74616465727146</v>
      </c>
      <c r="D406" s="6"/>
      <c r="E406" s="143">
        <f t="shared" si="29"/>
        <v>0.26311056246696335</v>
      </c>
      <c r="F406" s="143">
        <f t="shared" si="29"/>
        <v>2.9958457523304064E-2</v>
      </c>
      <c r="G406" s="6"/>
      <c r="H406" s="6"/>
      <c r="I406" s="6"/>
    </row>
    <row r="407" spans="1:9" x14ac:dyDescent="0.3">
      <c r="A407" s="143">
        <v>375</v>
      </c>
      <c r="B407" s="6"/>
      <c r="C407" s="143">
        <f t="shared" si="20"/>
        <v>241.10056193632815</v>
      </c>
      <c r="D407" s="6"/>
      <c r="E407" s="143">
        <f t="shared" si="29"/>
        <v>0.26349788189762641</v>
      </c>
      <c r="F407" s="143">
        <f t="shared" si="29"/>
        <v>3.0002558727766072E-2</v>
      </c>
      <c r="G407" s="6"/>
      <c r="H407" s="6"/>
      <c r="I407" s="6"/>
    </row>
    <row r="408" spans="1:9" x14ac:dyDescent="0.3">
      <c r="A408" s="143">
        <v>376</v>
      </c>
      <c r="B408" s="6"/>
      <c r="C408" s="143">
        <f t="shared" si="20"/>
        <v>241.45484194148401</v>
      </c>
      <c r="D408" s="6"/>
      <c r="E408" s="143">
        <f t="shared" si="29"/>
        <v>0.2638850731600918</v>
      </c>
      <c r="F408" s="143">
        <f t="shared" si="29"/>
        <v>3.0046645338661523E-2</v>
      </c>
      <c r="G408" s="6"/>
      <c r="H408" s="6"/>
      <c r="I408" s="6"/>
    </row>
    <row r="409" spans="1:9" x14ac:dyDescent="0.3">
      <c r="A409" s="143">
        <v>377</v>
      </c>
      <c r="B409" s="6"/>
      <c r="C409" s="143">
        <f t="shared" si="20"/>
        <v>241.80900467273915</v>
      </c>
      <c r="D409" s="6"/>
      <c r="E409" s="143">
        <f t="shared" si="29"/>
        <v>0.26427213625435975</v>
      </c>
      <c r="F409" s="143">
        <f t="shared" si="29"/>
        <v>3.0090717355990438E-2</v>
      </c>
      <c r="G409" s="6"/>
      <c r="H409" s="6"/>
      <c r="I409" s="6"/>
    </row>
    <row r="410" spans="1:9" x14ac:dyDescent="0.3">
      <c r="A410" s="143">
        <v>378</v>
      </c>
      <c r="B410" s="6"/>
      <c r="C410" s="143">
        <f t="shared" si="20"/>
        <v>242.16305013009352</v>
      </c>
      <c r="D410" s="6"/>
      <c r="E410" s="143">
        <f t="shared" si="29"/>
        <v>0.26465907118043008</v>
      </c>
      <c r="F410" s="143">
        <f t="shared" si="29"/>
        <v>3.0134774779752804E-2</v>
      </c>
      <c r="G410" s="6"/>
      <c r="H410" s="6"/>
      <c r="I410" s="6"/>
    </row>
    <row r="411" spans="1:9" x14ac:dyDescent="0.3">
      <c r="A411" s="143">
        <v>379</v>
      </c>
      <c r="B411" s="6"/>
      <c r="C411" s="143">
        <f t="shared" si="20"/>
        <v>242.5169783135471</v>
      </c>
      <c r="D411" s="6"/>
      <c r="E411" s="143">
        <f t="shared" si="29"/>
        <v>0.26504587793830287</v>
      </c>
      <c r="F411" s="143">
        <f t="shared" si="29"/>
        <v>3.017881760994862E-2</v>
      </c>
      <c r="G411" s="6"/>
      <c r="H411" s="6"/>
      <c r="I411" s="6"/>
    </row>
    <row r="412" spans="1:9" x14ac:dyDescent="0.3">
      <c r="A412" s="143">
        <v>380</v>
      </c>
      <c r="B412" s="6"/>
      <c r="C412" s="143">
        <f t="shared" si="20"/>
        <v>242.87078922310002</v>
      </c>
      <c r="D412" s="6"/>
      <c r="E412" s="143">
        <f t="shared" si="29"/>
        <v>0.26543255652797815</v>
      </c>
      <c r="F412" s="143">
        <f t="shared" si="29"/>
        <v>3.0222845846577903E-2</v>
      </c>
      <c r="G412" s="6"/>
      <c r="H412" s="6"/>
      <c r="I412" s="6"/>
    </row>
    <row r="413" spans="1:9" x14ac:dyDescent="0.3">
      <c r="A413" s="143">
        <v>381</v>
      </c>
      <c r="B413" s="6"/>
      <c r="C413" s="143">
        <f t="shared" si="20"/>
        <v>243.22448285875214</v>
      </c>
      <c r="D413" s="6"/>
      <c r="E413" s="143">
        <f t="shared" si="29"/>
        <v>0.26581910694945587</v>
      </c>
      <c r="F413" s="143">
        <f t="shared" si="29"/>
        <v>3.0266859489640634E-2</v>
      </c>
      <c r="G413" s="6"/>
      <c r="H413" s="6"/>
      <c r="I413" s="6"/>
    </row>
    <row r="414" spans="1:9" x14ac:dyDescent="0.3">
      <c r="A414" s="143">
        <v>382</v>
      </c>
      <c r="B414" s="6"/>
      <c r="C414" s="143">
        <f t="shared" si="20"/>
        <v>243.57805922050349</v>
      </c>
      <c r="D414" s="6"/>
      <c r="E414" s="143">
        <f t="shared" si="29"/>
        <v>0.26620552920273605</v>
      </c>
      <c r="F414" s="143">
        <f t="shared" si="29"/>
        <v>3.0310858539136822E-2</v>
      </c>
      <c r="G414" s="6"/>
      <c r="H414" s="6"/>
      <c r="I414" s="6"/>
    </row>
    <row r="415" spans="1:9" x14ac:dyDescent="0.3">
      <c r="A415" s="143">
        <v>383</v>
      </c>
      <c r="B415" s="6"/>
      <c r="C415" s="143">
        <f t="shared" si="20"/>
        <v>243.93151830835413</v>
      </c>
      <c r="D415" s="6"/>
      <c r="E415" s="143">
        <f t="shared" si="29"/>
        <v>0.26659182328781872</v>
      </c>
      <c r="F415" s="143">
        <f t="shared" si="29"/>
        <v>3.0354842995066467E-2</v>
      </c>
      <c r="G415" s="6"/>
      <c r="H415" s="6"/>
      <c r="I415" s="6"/>
    </row>
    <row r="416" spans="1:9" x14ac:dyDescent="0.3">
      <c r="A416" s="143">
        <v>384</v>
      </c>
      <c r="B416" s="6"/>
      <c r="C416" s="143">
        <f t="shared" si="20"/>
        <v>244.284860122304</v>
      </c>
      <c r="D416" s="6"/>
      <c r="E416" s="143">
        <f t="shared" ref="E416:F431" si="30">ABS(B416-C416)/(B$1-C$1)</f>
        <v>0.26697798920470384</v>
      </c>
      <c r="F416" s="143">
        <f t="shared" si="30"/>
        <v>3.0398812857429566E-2</v>
      </c>
      <c r="G416" s="6"/>
      <c r="H416" s="6"/>
      <c r="I416" s="6"/>
    </row>
    <row r="417" spans="1:9" x14ac:dyDescent="0.3">
      <c r="A417" s="143">
        <v>385</v>
      </c>
      <c r="B417" s="6"/>
      <c r="C417" s="143">
        <f t="shared" si="20"/>
        <v>244.63808466235312</v>
      </c>
      <c r="D417" s="6"/>
      <c r="E417" s="143">
        <f t="shared" si="30"/>
        <v>0.2673640269533914</v>
      </c>
      <c r="F417" s="143">
        <f t="shared" si="30"/>
        <v>3.0442768126226122E-2</v>
      </c>
      <c r="G417" s="6"/>
      <c r="H417" s="6"/>
      <c r="I417" s="6"/>
    </row>
    <row r="418" spans="1:9" x14ac:dyDescent="0.3">
      <c r="A418" s="143">
        <v>386</v>
      </c>
      <c r="B418" s="6"/>
      <c r="C418" s="143">
        <f t="shared" si="20"/>
        <v>244.99119192850151</v>
      </c>
      <c r="D418" s="6"/>
      <c r="E418" s="143">
        <f t="shared" si="30"/>
        <v>0.26774993653388141</v>
      </c>
      <c r="F418" s="143">
        <f t="shared" si="30"/>
        <v>3.0486708801456135E-2</v>
      </c>
      <c r="G418" s="6"/>
      <c r="H418" s="6"/>
      <c r="I418" s="6"/>
    </row>
    <row r="419" spans="1:9" x14ac:dyDescent="0.3">
      <c r="A419" s="143">
        <v>387</v>
      </c>
      <c r="B419" s="6"/>
      <c r="C419" s="143">
        <f t="shared" si="20"/>
        <v>245.34418192074915</v>
      </c>
      <c r="D419" s="6"/>
      <c r="E419" s="143">
        <f t="shared" si="30"/>
        <v>0.26813571794617391</v>
      </c>
      <c r="F419" s="143">
        <f t="shared" si="30"/>
        <v>3.0530634883119606E-2</v>
      </c>
      <c r="G419" s="6"/>
      <c r="H419" s="6"/>
      <c r="I419" s="6"/>
    </row>
    <row r="420" spans="1:9" x14ac:dyDescent="0.3">
      <c r="A420" s="143">
        <v>388</v>
      </c>
      <c r="B420" s="6"/>
      <c r="C420" s="143">
        <f t="shared" si="20"/>
        <v>245.69705463909597</v>
      </c>
      <c r="D420" s="6"/>
      <c r="E420" s="143">
        <f t="shared" si="30"/>
        <v>0.26852137119026881</v>
      </c>
      <c r="F420" s="143">
        <f t="shared" si="30"/>
        <v>3.057454637121652E-2</v>
      </c>
      <c r="G420" s="6"/>
      <c r="H420" s="6"/>
      <c r="I420" s="6"/>
    </row>
    <row r="421" spans="1:9" x14ac:dyDescent="0.3">
      <c r="A421" s="143">
        <v>389</v>
      </c>
      <c r="B421" s="6"/>
      <c r="C421" s="143">
        <f t="shared" si="20"/>
        <v>246.04981008354218</v>
      </c>
      <c r="D421" s="6"/>
      <c r="E421" s="143">
        <f t="shared" si="30"/>
        <v>0.26890689626616632</v>
      </c>
      <c r="F421" s="143">
        <f t="shared" si="30"/>
        <v>3.0618443265746913E-2</v>
      </c>
      <c r="G421" s="6"/>
      <c r="H421" s="6"/>
      <c r="I421" s="6"/>
    </row>
    <row r="422" spans="1:9" x14ac:dyDescent="0.3">
      <c r="A422" s="143">
        <v>390</v>
      </c>
      <c r="B422" s="6"/>
      <c r="C422" s="143">
        <f t="shared" si="20"/>
        <v>246.40244825408752</v>
      </c>
      <c r="D422" s="6"/>
      <c r="E422" s="143">
        <f t="shared" si="30"/>
        <v>0.26929229317386616</v>
      </c>
      <c r="F422" s="143">
        <f t="shared" si="30"/>
        <v>3.0662325566710742E-2</v>
      </c>
      <c r="G422" s="6"/>
      <c r="H422" s="6"/>
      <c r="I422" s="6"/>
    </row>
    <row r="423" spans="1:9" x14ac:dyDescent="0.3">
      <c r="A423" s="143">
        <v>391</v>
      </c>
      <c r="B423" s="6"/>
      <c r="C423" s="143">
        <f t="shared" si="20"/>
        <v>246.75496915073214</v>
      </c>
      <c r="D423" s="6"/>
      <c r="E423" s="143">
        <f t="shared" si="30"/>
        <v>0.26967756191336845</v>
      </c>
      <c r="F423" s="143">
        <f t="shared" si="30"/>
        <v>3.0706193274108031E-2</v>
      </c>
      <c r="G423" s="6"/>
      <c r="H423" s="6"/>
      <c r="I423" s="6"/>
    </row>
    <row r="424" spans="1:9" x14ac:dyDescent="0.3">
      <c r="A424" s="143">
        <v>392</v>
      </c>
      <c r="B424" s="6"/>
      <c r="C424" s="143">
        <f t="shared" si="20"/>
        <v>247.10737277347604</v>
      </c>
      <c r="D424" s="6"/>
      <c r="E424" s="143">
        <f t="shared" si="30"/>
        <v>0.27006270248467329</v>
      </c>
      <c r="F424" s="143">
        <f t="shared" si="30"/>
        <v>3.0750046387938781E-2</v>
      </c>
      <c r="G424" s="6"/>
      <c r="H424" s="6"/>
      <c r="I424" s="6"/>
    </row>
    <row r="425" spans="1:9" x14ac:dyDescent="0.3">
      <c r="A425" s="143">
        <v>393</v>
      </c>
      <c r="B425" s="6"/>
      <c r="C425" s="143">
        <f t="shared" si="20"/>
        <v>247.45965912231915</v>
      </c>
      <c r="D425" s="6"/>
      <c r="E425" s="143">
        <f t="shared" si="30"/>
        <v>0.27044771488778052</v>
      </c>
      <c r="F425" s="143">
        <f t="shared" si="30"/>
        <v>3.0793884908202982E-2</v>
      </c>
      <c r="G425" s="6"/>
      <c r="H425" s="6"/>
      <c r="I425" s="6"/>
    </row>
    <row r="426" spans="1:9" x14ac:dyDescent="0.3">
      <c r="A426" s="143">
        <v>394</v>
      </c>
      <c r="B426" s="6"/>
      <c r="C426" s="143">
        <f t="shared" si="20"/>
        <v>247.81182819726152</v>
      </c>
      <c r="D426" s="6"/>
      <c r="E426" s="143">
        <f t="shared" si="30"/>
        <v>0.2708325991226902</v>
      </c>
      <c r="F426" s="143">
        <f t="shared" si="30"/>
        <v>3.0837708834900637E-2</v>
      </c>
      <c r="G426" s="6"/>
      <c r="H426" s="6"/>
      <c r="I426" s="6"/>
    </row>
    <row r="427" spans="1:9" x14ac:dyDescent="0.3">
      <c r="A427" s="143">
        <v>395</v>
      </c>
      <c r="B427" s="6"/>
      <c r="C427" s="143">
        <f t="shared" si="20"/>
        <v>248.16387999830317</v>
      </c>
      <c r="D427" s="6"/>
      <c r="E427" s="143">
        <f t="shared" si="30"/>
        <v>0.27121735518940238</v>
      </c>
      <c r="F427" s="143">
        <f t="shared" si="30"/>
        <v>3.0881518168031755E-2</v>
      </c>
      <c r="G427" s="6"/>
      <c r="H427" s="6"/>
      <c r="I427" s="6"/>
    </row>
    <row r="428" spans="1:9" x14ac:dyDescent="0.3">
      <c r="A428" s="143">
        <v>396</v>
      </c>
      <c r="B428" s="6"/>
      <c r="C428" s="143">
        <f t="shared" si="20"/>
        <v>248.515814525444</v>
      </c>
      <c r="D428" s="6"/>
      <c r="E428" s="143">
        <f t="shared" si="30"/>
        <v>0.27160198308791694</v>
      </c>
      <c r="F428" s="143">
        <f t="shared" si="30"/>
        <v>3.0925312907596317E-2</v>
      </c>
      <c r="G428" s="6"/>
      <c r="H428" s="6"/>
      <c r="I428" s="6"/>
    </row>
    <row r="429" spans="1:9" x14ac:dyDescent="0.3">
      <c r="A429" s="143">
        <v>397</v>
      </c>
      <c r="B429" s="6"/>
      <c r="C429" s="143">
        <f t="shared" si="20"/>
        <v>248.86763177868414</v>
      </c>
      <c r="D429" s="6"/>
      <c r="E429" s="143">
        <f t="shared" si="30"/>
        <v>0.27198648281823401</v>
      </c>
      <c r="F429" s="143">
        <f t="shared" si="30"/>
        <v>3.0969093053594344E-2</v>
      </c>
      <c r="G429" s="6"/>
      <c r="H429" s="6"/>
      <c r="I429" s="6"/>
    </row>
    <row r="430" spans="1:9" x14ac:dyDescent="0.3">
      <c r="A430" s="143">
        <v>398</v>
      </c>
      <c r="B430" s="6"/>
      <c r="C430" s="143">
        <f t="shared" si="20"/>
        <v>249.21933175802354</v>
      </c>
      <c r="D430" s="6"/>
      <c r="E430" s="143">
        <f t="shared" si="30"/>
        <v>0.27237085438035358</v>
      </c>
      <c r="F430" s="143">
        <f t="shared" si="30"/>
        <v>3.1012858606025828E-2</v>
      </c>
      <c r="G430" s="6"/>
      <c r="H430" s="143">
        <f>1/0.3515824</f>
        <v>2.8442834453601771</v>
      </c>
      <c r="I430" s="6"/>
    </row>
    <row r="431" spans="1:9" x14ac:dyDescent="0.3">
      <c r="A431" s="143">
        <v>399</v>
      </c>
      <c r="B431" s="143">
        <v>249.51648</v>
      </c>
      <c r="C431" s="143">
        <f t="shared" si="20"/>
        <v>249.57091446346212</v>
      </c>
      <c r="D431" s="143">
        <v>249.624</v>
      </c>
      <c r="E431" s="143">
        <f t="shared" si="30"/>
        <v>5.9491216898486825E-5</v>
      </c>
      <c r="F431" s="143">
        <f t="shared" si="30"/>
        <v>6.6059652237280236E-6</v>
      </c>
      <c r="G431" s="6"/>
      <c r="H431" s="143">
        <f>1/0.3514654</f>
        <v>2.8452302844035291</v>
      </c>
      <c r="I431" s="6"/>
    </row>
    <row r="432" spans="1:9" x14ac:dyDescent="0.3">
      <c r="A432" s="143">
        <v>400</v>
      </c>
      <c r="B432" s="143">
        <v>249.86788999999999</v>
      </c>
      <c r="C432" s="143">
        <f t="shared" si="20"/>
        <v>249.92237989499998</v>
      </c>
      <c r="D432" s="6"/>
      <c r="E432" s="143">
        <f t="shared" ref="E432:F447" si="31">ABS(B432-C432)/(B$1-C$1)</f>
        <v>5.9551797814195648E-5</v>
      </c>
      <c r="F432" s="143">
        <f t="shared" si="31"/>
        <v>3.1100345930189146E-2</v>
      </c>
      <c r="G432" s="6"/>
      <c r="H432" s="143">
        <f>1/0.3513484</f>
        <v>2.8461777540469799</v>
      </c>
      <c r="I432" s="6"/>
    </row>
    <row r="433" spans="1:9" x14ac:dyDescent="0.3">
      <c r="A433" s="143">
        <v>401</v>
      </c>
      <c r="B433" s="6"/>
      <c r="C433" s="143">
        <f t="shared" si="20"/>
        <v>250.27372805263713</v>
      </c>
      <c r="D433" s="6"/>
      <c r="E433" s="143">
        <f t="shared" si="31"/>
        <v>0.27352320005752689</v>
      </c>
      <c r="F433" s="143">
        <f t="shared" si="31"/>
        <v>3.1144067701920995E-2</v>
      </c>
      <c r="G433" s="6"/>
      <c r="H433" s="6"/>
      <c r="I433" s="6"/>
    </row>
    <row r="434" spans="1:9" x14ac:dyDescent="0.3">
      <c r="A434" s="143">
        <v>402</v>
      </c>
      <c r="B434" s="6"/>
      <c r="C434" s="143">
        <f t="shared" si="20"/>
        <v>250.62495893637347</v>
      </c>
      <c r="D434" s="6"/>
      <c r="E434" s="143">
        <f t="shared" si="31"/>
        <v>0.27390705894685624</v>
      </c>
      <c r="F434" s="143">
        <f t="shared" si="31"/>
        <v>3.1187774880086297E-2</v>
      </c>
      <c r="G434" s="6"/>
      <c r="H434" s="6"/>
      <c r="I434" s="6"/>
    </row>
    <row r="435" spans="1:9" x14ac:dyDescent="0.3">
      <c r="A435" s="143">
        <v>403</v>
      </c>
      <c r="B435" s="6"/>
      <c r="C435" s="143">
        <f t="shared" si="20"/>
        <v>250.97607254620914</v>
      </c>
      <c r="D435" s="6"/>
      <c r="E435" s="143">
        <f t="shared" si="31"/>
        <v>0.27429078966798814</v>
      </c>
      <c r="F435" s="143">
        <f t="shared" si="31"/>
        <v>3.123146746468506E-2</v>
      </c>
      <c r="G435" s="6"/>
      <c r="H435" s="6"/>
      <c r="I435" s="6"/>
    </row>
    <row r="436" spans="1:9" x14ac:dyDescent="0.3">
      <c r="A436" s="143">
        <v>404</v>
      </c>
      <c r="B436" s="6"/>
      <c r="C436" s="143">
        <f t="shared" si="20"/>
        <v>251.327068882144</v>
      </c>
      <c r="D436" s="6"/>
      <c r="E436" s="143">
        <f t="shared" si="31"/>
        <v>0.27467439222092244</v>
      </c>
      <c r="F436" s="143">
        <f t="shared" si="31"/>
        <v>3.1275145455717274E-2</v>
      </c>
      <c r="G436" s="6"/>
      <c r="H436" s="6"/>
      <c r="I436" s="6"/>
    </row>
    <row r="437" spans="1:9" x14ac:dyDescent="0.3">
      <c r="A437" s="143">
        <v>405</v>
      </c>
      <c r="B437" s="6"/>
      <c r="C437" s="143">
        <f t="shared" si="20"/>
        <v>251.67794794417813</v>
      </c>
      <c r="D437" s="6"/>
      <c r="E437" s="143">
        <f t="shared" si="31"/>
        <v>0.27505786660565917</v>
      </c>
      <c r="F437" s="143">
        <f t="shared" si="31"/>
        <v>3.1318808853182944E-2</v>
      </c>
      <c r="G437" s="6"/>
      <c r="H437" s="6"/>
      <c r="I437" s="6"/>
    </row>
    <row r="438" spans="1:9" x14ac:dyDescent="0.3">
      <c r="A438" s="143">
        <v>406</v>
      </c>
      <c r="B438" s="6"/>
      <c r="C438" s="143">
        <f t="shared" si="20"/>
        <v>252.02870973231151</v>
      </c>
      <c r="D438" s="6"/>
      <c r="E438" s="143">
        <f t="shared" si="31"/>
        <v>0.27544121282219836</v>
      </c>
      <c r="F438" s="143">
        <f t="shared" si="31"/>
        <v>3.1362457657082073E-2</v>
      </c>
      <c r="G438" s="6"/>
      <c r="H438" s="6"/>
      <c r="I438" s="6"/>
    </row>
    <row r="439" spans="1:9" x14ac:dyDescent="0.3">
      <c r="A439" s="143">
        <v>407</v>
      </c>
      <c r="B439" s="6"/>
      <c r="C439" s="143">
        <f t="shared" si="20"/>
        <v>252.37935424654412</v>
      </c>
      <c r="D439" s="6"/>
      <c r="E439" s="143">
        <f t="shared" si="31"/>
        <v>0.27582443087054004</v>
      </c>
      <c r="F439" s="143">
        <f t="shared" si="31"/>
        <v>3.1406091867414651E-2</v>
      </c>
      <c r="G439" s="6"/>
      <c r="H439" s="6"/>
      <c r="I439" s="6"/>
    </row>
    <row r="440" spans="1:9" x14ac:dyDescent="0.3">
      <c r="A440" s="143">
        <v>408</v>
      </c>
      <c r="B440" s="6"/>
      <c r="C440" s="143">
        <f t="shared" si="20"/>
        <v>252.72988148687602</v>
      </c>
      <c r="D440" s="6"/>
      <c r="E440" s="143">
        <f t="shared" si="31"/>
        <v>0.27620752075068417</v>
      </c>
      <c r="F440" s="143">
        <f t="shared" si="31"/>
        <v>3.1449711484180687E-2</v>
      </c>
      <c r="G440" s="6"/>
      <c r="H440" s="6"/>
      <c r="I440" s="6"/>
    </row>
    <row r="441" spans="1:9" x14ac:dyDescent="0.3">
      <c r="A441" s="143">
        <v>409</v>
      </c>
      <c r="B441" s="6"/>
      <c r="C441" s="143">
        <f t="shared" si="20"/>
        <v>253.08029145330713</v>
      </c>
      <c r="D441" s="6"/>
      <c r="E441" s="143">
        <f t="shared" si="31"/>
        <v>0.27659048246263074</v>
      </c>
      <c r="F441" s="143">
        <f t="shared" si="31"/>
        <v>3.149331650738018E-2</v>
      </c>
      <c r="G441" s="6"/>
      <c r="H441" s="6"/>
      <c r="I441" s="6"/>
    </row>
    <row r="442" spans="1:9" x14ac:dyDescent="0.3">
      <c r="A442" s="143">
        <v>410</v>
      </c>
      <c r="B442" s="6"/>
      <c r="C442" s="143">
        <f t="shared" si="20"/>
        <v>253.43058414583749</v>
      </c>
      <c r="D442" s="6"/>
      <c r="E442" s="143">
        <f t="shared" si="31"/>
        <v>0.27697331600637976</v>
      </c>
      <c r="F442" s="143">
        <f t="shared" si="31"/>
        <v>3.1536906937013123E-2</v>
      </c>
      <c r="G442" s="6"/>
      <c r="H442" s="6"/>
      <c r="I442" s="6"/>
    </row>
    <row r="443" spans="1:9" x14ac:dyDescent="0.3">
      <c r="A443" s="143">
        <v>411</v>
      </c>
      <c r="B443" s="6"/>
      <c r="C443" s="143">
        <f t="shared" si="20"/>
        <v>253.78075956446713</v>
      </c>
      <c r="D443" s="6"/>
      <c r="E443" s="143">
        <f t="shared" si="31"/>
        <v>0.27735602138193127</v>
      </c>
      <c r="F443" s="143">
        <f t="shared" si="31"/>
        <v>3.1580482773079531E-2</v>
      </c>
      <c r="G443" s="6"/>
      <c r="H443" s="6"/>
      <c r="I443" s="6"/>
    </row>
    <row r="444" spans="1:9" x14ac:dyDescent="0.3">
      <c r="A444" s="143">
        <v>412</v>
      </c>
      <c r="B444" s="6"/>
      <c r="C444" s="143">
        <f t="shared" si="20"/>
        <v>254.13081770919601</v>
      </c>
      <c r="D444" s="6"/>
      <c r="E444" s="143">
        <f t="shared" si="31"/>
        <v>0.27773859858928523</v>
      </c>
      <c r="F444" s="143">
        <f t="shared" si="31"/>
        <v>3.1624044015579396E-2</v>
      </c>
      <c r="G444" s="6"/>
      <c r="H444" s="6"/>
      <c r="I444" s="6"/>
    </row>
    <row r="445" spans="1:9" x14ac:dyDescent="0.3">
      <c r="A445" s="143">
        <v>413</v>
      </c>
      <c r="B445" s="6"/>
      <c r="C445" s="143">
        <f t="shared" si="20"/>
        <v>254.48075858002412</v>
      </c>
      <c r="D445" s="6"/>
      <c r="E445" s="143">
        <f t="shared" si="31"/>
        <v>0.27812104762844164</v>
      </c>
      <c r="F445" s="143">
        <f t="shared" si="31"/>
        <v>3.1667590664512704E-2</v>
      </c>
      <c r="G445" s="6"/>
      <c r="H445" s="6"/>
      <c r="I445" s="6"/>
    </row>
    <row r="446" spans="1:9" x14ac:dyDescent="0.3">
      <c r="A446" s="143">
        <v>414</v>
      </c>
      <c r="B446" s="6"/>
      <c r="C446" s="143">
        <f t="shared" si="20"/>
        <v>254.83058217695148</v>
      </c>
      <c r="D446" s="6"/>
      <c r="E446" s="143">
        <f t="shared" si="31"/>
        <v>0.27850336849940055</v>
      </c>
      <c r="F446" s="143">
        <f t="shared" si="31"/>
        <v>3.1711122719879477E-2</v>
      </c>
      <c r="G446" s="6"/>
      <c r="H446" s="6"/>
      <c r="I446" s="6"/>
    </row>
    <row r="447" spans="1:9" x14ac:dyDescent="0.3">
      <c r="A447" s="143">
        <v>415</v>
      </c>
      <c r="B447" s="6"/>
      <c r="C447" s="143">
        <f t="shared" si="20"/>
        <v>255.18028849997813</v>
      </c>
      <c r="D447" s="6"/>
      <c r="E447" s="143">
        <f t="shared" si="31"/>
        <v>0.2788855612021619</v>
      </c>
      <c r="F447" s="143">
        <f t="shared" si="31"/>
        <v>3.1754640181679707E-2</v>
      </c>
      <c r="G447" s="6"/>
      <c r="H447" s="6"/>
      <c r="I447" s="6"/>
    </row>
    <row r="448" spans="1:9" x14ac:dyDescent="0.3">
      <c r="A448" s="143">
        <v>416</v>
      </c>
      <c r="B448" s="6"/>
      <c r="C448" s="143">
        <f t="shared" si="20"/>
        <v>255.52987754910396</v>
      </c>
      <c r="D448" s="6"/>
      <c r="E448" s="143">
        <f t="shared" ref="E448:F463" si="32">ABS(B448-C448)/(B$1-C$1)</f>
        <v>0.27926762573672564</v>
      </c>
      <c r="F448" s="143">
        <f t="shared" si="32"/>
        <v>3.1798143049913387E-2</v>
      </c>
      <c r="G448" s="6"/>
      <c r="H448" s="6"/>
      <c r="I448" s="6"/>
    </row>
    <row r="449" spans="1:9" x14ac:dyDescent="0.3">
      <c r="A449" s="143">
        <v>417</v>
      </c>
      <c r="B449" s="6"/>
      <c r="C449" s="143">
        <f t="shared" si="20"/>
        <v>255.87934932432916</v>
      </c>
      <c r="D449" s="6"/>
      <c r="E449" s="143">
        <f t="shared" si="32"/>
        <v>0.279649562103092</v>
      </c>
      <c r="F449" s="143">
        <f t="shared" si="32"/>
        <v>3.1841631324580531E-2</v>
      </c>
      <c r="G449" s="6"/>
      <c r="H449" s="6"/>
      <c r="I449" s="6"/>
    </row>
    <row r="450" spans="1:9" x14ac:dyDescent="0.3">
      <c r="A450" s="143">
        <v>418</v>
      </c>
      <c r="B450" s="6"/>
      <c r="C450" s="143">
        <f t="shared" si="20"/>
        <v>256.2287038256535</v>
      </c>
      <c r="D450" s="6"/>
      <c r="E450" s="143">
        <f t="shared" si="32"/>
        <v>0.28003137030126063</v>
      </c>
      <c r="F450" s="143">
        <f t="shared" si="32"/>
        <v>3.1885105005681119E-2</v>
      </c>
      <c r="G450" s="6"/>
      <c r="H450" s="6"/>
      <c r="I450" s="6"/>
    </row>
    <row r="451" spans="1:9" x14ac:dyDescent="0.3">
      <c r="A451" s="143">
        <v>419</v>
      </c>
      <c r="B451" s="6"/>
      <c r="C451" s="143">
        <f t="shared" si="20"/>
        <v>256.5779410530771</v>
      </c>
      <c r="D451" s="6"/>
      <c r="E451" s="143">
        <f t="shared" si="32"/>
        <v>0.28041305033123182</v>
      </c>
      <c r="F451" s="143">
        <f t="shared" si="32"/>
        <v>3.1928564093215171E-2</v>
      </c>
      <c r="G451" s="6"/>
      <c r="H451" s="6"/>
      <c r="I451" s="6"/>
    </row>
    <row r="452" spans="1:9" x14ac:dyDescent="0.3">
      <c r="A452" s="143">
        <v>420</v>
      </c>
      <c r="B452" s="6"/>
      <c r="C452" s="143">
        <f t="shared" si="20"/>
        <v>256.92706100660001</v>
      </c>
      <c r="D452" s="6"/>
      <c r="E452" s="143">
        <f t="shared" si="32"/>
        <v>0.2807946021930055</v>
      </c>
      <c r="F452" s="143">
        <f t="shared" si="32"/>
        <v>3.1972008587182681E-2</v>
      </c>
      <c r="G452" s="6"/>
      <c r="H452" s="6"/>
      <c r="I452" s="6"/>
    </row>
    <row r="453" spans="1:9" x14ac:dyDescent="0.3">
      <c r="A453" s="143">
        <v>421</v>
      </c>
      <c r="B453" s="6"/>
      <c r="C453" s="143">
        <f t="shared" si="20"/>
        <v>257.27606368622213</v>
      </c>
      <c r="D453" s="6"/>
      <c r="E453" s="143">
        <f t="shared" si="32"/>
        <v>0.28117602588658158</v>
      </c>
      <c r="F453" s="143">
        <f t="shared" si="32"/>
        <v>3.201543848758364E-2</v>
      </c>
      <c r="G453" s="6"/>
      <c r="H453" s="6"/>
      <c r="I453" s="6"/>
    </row>
    <row r="454" spans="1:9" x14ac:dyDescent="0.3">
      <c r="A454" s="143">
        <v>422</v>
      </c>
      <c r="B454" s="6"/>
      <c r="C454" s="143">
        <f t="shared" si="20"/>
        <v>257.62494909194351</v>
      </c>
      <c r="D454" s="6"/>
      <c r="E454" s="143">
        <f t="shared" si="32"/>
        <v>0.2815573214119601</v>
      </c>
      <c r="F454" s="143">
        <f t="shared" si="32"/>
        <v>3.2058853794418057E-2</v>
      </c>
      <c r="G454" s="6"/>
      <c r="H454" s="6"/>
      <c r="I454" s="6"/>
    </row>
    <row r="455" spans="1:9" x14ac:dyDescent="0.3">
      <c r="A455" s="143">
        <v>423</v>
      </c>
      <c r="B455" s="6"/>
      <c r="C455" s="143">
        <f t="shared" si="20"/>
        <v>257.97371722376414</v>
      </c>
      <c r="D455" s="6"/>
      <c r="E455" s="143">
        <f t="shared" si="32"/>
        <v>0.28193848876914113</v>
      </c>
      <c r="F455" s="143">
        <f t="shared" si="32"/>
        <v>3.2102254507685932E-2</v>
      </c>
      <c r="G455" s="6"/>
      <c r="H455" s="6"/>
      <c r="I455" s="6"/>
    </row>
    <row r="456" spans="1:9" x14ac:dyDescent="0.3">
      <c r="A456" s="143">
        <v>424</v>
      </c>
      <c r="B456" s="6"/>
      <c r="C456" s="143">
        <f t="shared" si="20"/>
        <v>258.32236808168398</v>
      </c>
      <c r="D456" s="6"/>
      <c r="E456" s="143">
        <f t="shared" si="32"/>
        <v>0.28231952795812454</v>
      </c>
      <c r="F456" s="143">
        <f t="shared" si="32"/>
        <v>3.2145640627387256E-2</v>
      </c>
      <c r="G456" s="6"/>
      <c r="H456" s="6"/>
      <c r="I456" s="6"/>
    </row>
    <row r="457" spans="1:9" x14ac:dyDescent="0.3">
      <c r="A457" s="143">
        <v>425</v>
      </c>
      <c r="B457" s="6"/>
      <c r="C457" s="143">
        <f t="shared" si="20"/>
        <v>258.67090166570313</v>
      </c>
      <c r="D457" s="6"/>
      <c r="E457" s="143">
        <f t="shared" si="32"/>
        <v>0.28270043897891051</v>
      </c>
      <c r="F457" s="143">
        <f t="shared" si="32"/>
        <v>3.2189012153522038E-2</v>
      </c>
      <c r="G457" s="6"/>
      <c r="H457" s="6"/>
      <c r="I457" s="6"/>
    </row>
    <row r="458" spans="1:9" x14ac:dyDescent="0.3">
      <c r="A458" s="143">
        <v>426</v>
      </c>
      <c r="B458" s="6"/>
      <c r="C458" s="143">
        <f t="shared" si="20"/>
        <v>259.01931797582154</v>
      </c>
      <c r="D458" s="6"/>
      <c r="E458" s="143">
        <f t="shared" si="32"/>
        <v>0.28308122183149892</v>
      </c>
      <c r="F458" s="143">
        <f t="shared" si="32"/>
        <v>3.2232369086090285E-2</v>
      </c>
      <c r="G458" s="6"/>
      <c r="H458" s="6"/>
      <c r="I458" s="6"/>
    </row>
    <row r="459" spans="1:9" x14ac:dyDescent="0.3">
      <c r="A459" s="143">
        <v>427</v>
      </c>
      <c r="B459" s="6"/>
      <c r="C459" s="143">
        <f t="shared" si="20"/>
        <v>259.36761701203915</v>
      </c>
      <c r="D459" s="6"/>
      <c r="E459" s="143">
        <f t="shared" si="32"/>
        <v>0.28346187651588978</v>
      </c>
      <c r="F459" s="143">
        <f t="shared" si="32"/>
        <v>3.2275711425091981E-2</v>
      </c>
      <c r="G459" s="6"/>
      <c r="H459" s="6"/>
      <c r="I459" s="6"/>
    </row>
    <row r="460" spans="1:9" x14ac:dyDescent="0.3">
      <c r="A460" s="143">
        <v>428</v>
      </c>
      <c r="B460" s="6"/>
      <c r="C460" s="143">
        <f t="shared" si="20"/>
        <v>259.71579877435596</v>
      </c>
      <c r="D460" s="6"/>
      <c r="E460" s="143">
        <f t="shared" si="32"/>
        <v>0.28384240303208302</v>
      </c>
      <c r="F460" s="143">
        <f t="shared" si="32"/>
        <v>3.2319039170527121E-2</v>
      </c>
      <c r="G460" s="6"/>
      <c r="H460" s="6"/>
      <c r="I460" s="6"/>
    </row>
    <row r="461" spans="1:9" x14ac:dyDescent="0.3">
      <c r="A461" s="143">
        <v>429</v>
      </c>
      <c r="B461" s="6"/>
      <c r="C461" s="143">
        <f t="shared" si="20"/>
        <v>260.06386326277214</v>
      </c>
      <c r="D461" s="6"/>
      <c r="E461" s="143">
        <f t="shared" si="32"/>
        <v>0.28422280138007883</v>
      </c>
      <c r="F461" s="143">
        <f t="shared" si="32"/>
        <v>3.2362352322395739E-2</v>
      </c>
      <c r="G461" s="6"/>
      <c r="H461" s="6"/>
      <c r="I461" s="6"/>
    </row>
    <row r="462" spans="1:9" x14ac:dyDescent="0.3">
      <c r="A462" s="143">
        <v>430</v>
      </c>
      <c r="B462" s="6"/>
      <c r="C462" s="143">
        <f t="shared" si="20"/>
        <v>260.41181047728747</v>
      </c>
      <c r="D462" s="6"/>
      <c r="E462" s="143">
        <f t="shared" si="32"/>
        <v>0.28460307155987702</v>
      </c>
      <c r="F462" s="143">
        <f t="shared" si="32"/>
        <v>3.2405650880697794E-2</v>
      </c>
      <c r="G462" s="6"/>
      <c r="H462" s="6"/>
      <c r="I462" s="6"/>
    </row>
    <row r="463" spans="1:9" x14ac:dyDescent="0.3">
      <c r="A463" s="143">
        <v>431</v>
      </c>
      <c r="B463" s="6"/>
      <c r="C463" s="143">
        <f t="shared" si="20"/>
        <v>260.75964041790218</v>
      </c>
      <c r="D463" s="6"/>
      <c r="E463" s="143">
        <f t="shared" si="32"/>
        <v>0.28498321357147777</v>
      </c>
      <c r="F463" s="143">
        <f t="shared" si="32"/>
        <v>3.2448934845433319E-2</v>
      </c>
      <c r="G463" s="6"/>
      <c r="H463" s="6"/>
      <c r="I463" s="6"/>
    </row>
    <row r="464" spans="1:9" x14ac:dyDescent="0.3">
      <c r="A464" s="143">
        <v>432</v>
      </c>
      <c r="B464" s="6"/>
      <c r="C464" s="143">
        <f t="shared" si="20"/>
        <v>261.10735308461602</v>
      </c>
      <c r="D464" s="6"/>
      <c r="E464" s="143">
        <f t="shared" ref="E464:F479" si="33">ABS(B464-C464)/(B$1-C$1)</f>
        <v>0.2853632274148809</v>
      </c>
      <c r="F464" s="143">
        <f t="shared" si="33"/>
        <v>3.2492204216602295E-2</v>
      </c>
      <c r="G464" s="6"/>
      <c r="H464" s="6"/>
      <c r="I464" s="6"/>
    </row>
    <row r="465" spans="1:9" x14ac:dyDescent="0.3">
      <c r="A465" s="143">
        <v>433</v>
      </c>
      <c r="B465" s="6"/>
      <c r="C465" s="143">
        <f t="shared" si="20"/>
        <v>261.45494847742907</v>
      </c>
      <c r="D465" s="6"/>
      <c r="E465" s="143">
        <f t="shared" si="33"/>
        <v>0.28574311309008643</v>
      </c>
      <c r="F465" s="143">
        <f t="shared" si="33"/>
        <v>3.2535458994204715E-2</v>
      </c>
      <c r="G465" s="6"/>
      <c r="H465" s="6"/>
      <c r="I465" s="6"/>
    </row>
    <row r="466" spans="1:9" x14ac:dyDescent="0.3">
      <c r="A466" s="143">
        <v>434</v>
      </c>
      <c r="B466" s="6"/>
      <c r="C466" s="143">
        <f t="shared" si="20"/>
        <v>261.80242659634155</v>
      </c>
      <c r="D466" s="6"/>
      <c r="E466" s="143">
        <f t="shared" si="33"/>
        <v>0.28612287059709457</v>
      </c>
      <c r="F466" s="143">
        <f t="shared" si="33"/>
        <v>3.2578699178240612E-2</v>
      </c>
      <c r="G466" s="6"/>
      <c r="H466" s="6"/>
      <c r="I466" s="6"/>
    </row>
    <row r="467" spans="1:9" x14ac:dyDescent="0.3">
      <c r="A467" s="143">
        <v>435</v>
      </c>
      <c r="B467" s="6"/>
      <c r="C467" s="143">
        <f t="shared" si="20"/>
        <v>262.14978744135311</v>
      </c>
      <c r="D467" s="6"/>
      <c r="E467" s="143">
        <f t="shared" si="33"/>
        <v>0.28650249993590504</v>
      </c>
      <c r="F467" s="143">
        <f t="shared" si="33"/>
        <v>3.2621924768709946E-2</v>
      </c>
      <c r="G467" s="6"/>
      <c r="H467" s="6"/>
      <c r="I467" s="6"/>
    </row>
    <row r="468" spans="1:9" x14ac:dyDescent="0.3">
      <c r="A468" s="143">
        <v>436</v>
      </c>
      <c r="B468" s="6"/>
      <c r="C468" s="143">
        <f t="shared" si="20"/>
        <v>262.49703101246405</v>
      </c>
      <c r="D468" s="6"/>
      <c r="E468" s="143">
        <f t="shared" si="33"/>
        <v>0.28688200110651807</v>
      </c>
      <c r="F468" s="143">
        <f t="shared" si="33"/>
        <v>3.2665135765612752E-2</v>
      </c>
      <c r="G468" s="6"/>
      <c r="H468" s="6"/>
      <c r="I468" s="6"/>
    </row>
    <row r="469" spans="1:9" x14ac:dyDescent="0.3">
      <c r="A469" s="143">
        <v>437</v>
      </c>
      <c r="B469" s="6"/>
      <c r="C469" s="143">
        <f t="shared" si="20"/>
        <v>262.84415730967413</v>
      </c>
      <c r="D469" s="6"/>
      <c r="E469" s="143">
        <f t="shared" si="33"/>
        <v>0.28726137410893349</v>
      </c>
      <c r="F469" s="143">
        <f t="shared" si="33"/>
        <v>3.2708332168948993E-2</v>
      </c>
      <c r="G469" s="6"/>
      <c r="H469" s="6"/>
      <c r="I469" s="6"/>
    </row>
    <row r="470" spans="1:9" x14ac:dyDescent="0.3">
      <c r="A470" s="143">
        <v>438</v>
      </c>
      <c r="B470" s="6"/>
      <c r="C470" s="143">
        <f t="shared" si="20"/>
        <v>263.19116633298353</v>
      </c>
      <c r="D470" s="6"/>
      <c r="E470" s="143">
        <f t="shared" si="33"/>
        <v>0.2876406189431514</v>
      </c>
      <c r="F470" s="143">
        <f t="shared" si="33"/>
        <v>3.2751513978718706E-2</v>
      </c>
      <c r="G470" s="6"/>
      <c r="H470" s="6"/>
      <c r="I470" s="6"/>
    </row>
    <row r="471" spans="1:9" x14ac:dyDescent="0.3">
      <c r="A471" s="143">
        <v>439</v>
      </c>
      <c r="B471" s="6"/>
      <c r="C471" s="143">
        <f t="shared" si="20"/>
        <v>263.53805808239213</v>
      </c>
      <c r="D471" s="6"/>
      <c r="E471" s="143">
        <f t="shared" si="33"/>
        <v>0.28801973560917171</v>
      </c>
      <c r="F471" s="143">
        <f t="shared" si="33"/>
        <v>3.2794681194921869E-2</v>
      </c>
      <c r="G471" s="6"/>
      <c r="H471" s="6"/>
      <c r="I471" s="6"/>
    </row>
    <row r="472" spans="1:9" x14ac:dyDescent="0.3">
      <c r="A472" s="143">
        <v>440</v>
      </c>
      <c r="B472" s="6"/>
      <c r="C472" s="143">
        <f t="shared" si="20"/>
        <v>263.88483255789998</v>
      </c>
      <c r="D472" s="6"/>
      <c r="E472" s="143">
        <f t="shared" si="33"/>
        <v>0.28839872410699452</v>
      </c>
      <c r="F472" s="143">
        <f t="shared" si="33"/>
        <v>3.2837833817558483E-2</v>
      </c>
      <c r="G472" s="6"/>
      <c r="H472" s="6"/>
      <c r="I472" s="6"/>
    </row>
    <row r="473" spans="1:9" x14ac:dyDescent="0.3">
      <c r="A473" s="143">
        <v>441</v>
      </c>
      <c r="B473" s="6"/>
      <c r="C473" s="143">
        <f t="shared" si="20"/>
        <v>264.2314897595071</v>
      </c>
      <c r="D473" s="6"/>
      <c r="E473" s="143">
        <f t="shared" si="33"/>
        <v>0.28877758443661977</v>
      </c>
      <c r="F473" s="143">
        <f t="shared" si="33"/>
        <v>3.2880971846628561E-2</v>
      </c>
      <c r="G473" s="6"/>
      <c r="H473" s="6"/>
      <c r="I473" s="6"/>
    </row>
    <row r="474" spans="1:9" x14ac:dyDescent="0.3">
      <c r="A474" s="143">
        <v>442</v>
      </c>
      <c r="B474" s="6"/>
      <c r="C474" s="143">
        <f t="shared" si="20"/>
        <v>264.57802968721353</v>
      </c>
      <c r="D474" s="6"/>
      <c r="E474" s="143">
        <f t="shared" si="33"/>
        <v>0.28915631659804758</v>
      </c>
      <c r="F474" s="143">
        <f t="shared" si="33"/>
        <v>3.2924095282132096E-2</v>
      </c>
      <c r="G474" s="6"/>
      <c r="H474" s="6"/>
      <c r="I474" s="6"/>
    </row>
    <row r="475" spans="1:9" x14ac:dyDescent="0.3">
      <c r="A475" s="143">
        <v>443</v>
      </c>
      <c r="B475" s="6"/>
      <c r="C475" s="143">
        <f t="shared" si="20"/>
        <v>264.92445234101916</v>
      </c>
      <c r="D475" s="6"/>
      <c r="E475" s="143">
        <f t="shared" si="33"/>
        <v>0.28953492059127778</v>
      </c>
      <c r="F475" s="143">
        <f t="shared" si="33"/>
        <v>3.2967204124069081E-2</v>
      </c>
      <c r="G475" s="6"/>
      <c r="H475" s="6"/>
      <c r="I475" s="6"/>
    </row>
    <row r="476" spans="1:9" x14ac:dyDescent="0.3">
      <c r="A476" s="143">
        <v>444</v>
      </c>
      <c r="B476" s="6"/>
      <c r="C476" s="143">
        <f t="shared" si="20"/>
        <v>265.270757720924</v>
      </c>
      <c r="D476" s="6"/>
      <c r="E476" s="143">
        <f t="shared" si="33"/>
        <v>0.28991339641631036</v>
      </c>
      <c r="F476" s="143">
        <f t="shared" si="33"/>
        <v>3.3010298372439524E-2</v>
      </c>
      <c r="G476" s="6"/>
      <c r="H476" s="6"/>
      <c r="I476" s="6"/>
    </row>
    <row r="477" spans="1:9" x14ac:dyDescent="0.3">
      <c r="A477" s="143">
        <v>445</v>
      </c>
      <c r="B477" s="6"/>
      <c r="C477" s="143">
        <f t="shared" si="20"/>
        <v>265.61694582692814</v>
      </c>
      <c r="D477" s="6"/>
      <c r="E477" s="143">
        <f t="shared" si="33"/>
        <v>0.29029174407314551</v>
      </c>
      <c r="F477" s="143">
        <f t="shared" si="33"/>
        <v>3.3053378027243424E-2</v>
      </c>
      <c r="G477" s="6"/>
      <c r="H477" s="6"/>
      <c r="I477" s="6"/>
    </row>
    <row r="478" spans="1:9" x14ac:dyDescent="0.3">
      <c r="A478" s="143">
        <v>446</v>
      </c>
      <c r="B478" s="6"/>
      <c r="C478" s="143">
        <f t="shared" si="20"/>
        <v>265.9630166590315</v>
      </c>
      <c r="D478" s="6"/>
      <c r="E478" s="143">
        <f t="shared" si="33"/>
        <v>0.29066996356178304</v>
      </c>
      <c r="F478" s="143">
        <f t="shared" si="33"/>
        <v>3.3096443088480774E-2</v>
      </c>
      <c r="G478" s="6"/>
      <c r="H478" s="6"/>
      <c r="I478" s="6"/>
    </row>
    <row r="479" spans="1:9" x14ac:dyDescent="0.3">
      <c r="A479" s="143">
        <v>447</v>
      </c>
      <c r="B479" s="6"/>
      <c r="C479" s="143">
        <f t="shared" si="20"/>
        <v>266.3089702172341</v>
      </c>
      <c r="D479" s="6"/>
      <c r="E479" s="143">
        <f t="shared" si="33"/>
        <v>0.29104805488222307</v>
      </c>
      <c r="F479" s="143">
        <f t="shared" si="33"/>
        <v>3.3139493556151582E-2</v>
      </c>
      <c r="G479" s="6"/>
      <c r="H479" s="6"/>
      <c r="I479" s="6"/>
    </row>
    <row r="480" spans="1:9" x14ac:dyDescent="0.3">
      <c r="A480" s="143">
        <v>448</v>
      </c>
      <c r="B480" s="6"/>
      <c r="C480" s="143">
        <f t="shared" si="20"/>
        <v>266.65480650153603</v>
      </c>
      <c r="D480" s="6"/>
      <c r="E480" s="143">
        <f t="shared" ref="E480:F495" si="34">ABS(B480-C480)/(B$1-C$1)</f>
        <v>0.29142601803446561</v>
      </c>
      <c r="F480" s="143">
        <f t="shared" si="34"/>
        <v>3.3182529430255854E-2</v>
      </c>
      <c r="G480" s="6"/>
      <c r="H480" s="6"/>
      <c r="I480" s="6"/>
    </row>
    <row r="481" spans="1:9" x14ac:dyDescent="0.3">
      <c r="A481" s="143">
        <v>449</v>
      </c>
      <c r="B481" s="143">
        <v>266.94351</v>
      </c>
      <c r="C481" s="143">
        <f t="shared" si="20"/>
        <v>267.0005255119371</v>
      </c>
      <c r="D481" s="143">
        <v>267.06299999999999</v>
      </c>
      <c r="E481" s="143">
        <f t="shared" si="34"/>
        <v>6.2312034903929176E-5</v>
      </c>
      <c r="F481" s="143">
        <f t="shared" si="34"/>
        <v>7.774326538438225E-6</v>
      </c>
      <c r="G481" s="143">
        <f>(E481+F481)/2*E$1</f>
        <v>0.15683575531765764</v>
      </c>
      <c r="H481" s="143">
        <f>1/0.3456159</f>
        <v>2.8933854026970405</v>
      </c>
      <c r="I481" s="6"/>
    </row>
    <row r="482" spans="1:9" x14ac:dyDescent="0.3">
      <c r="A482" s="143">
        <v>450</v>
      </c>
      <c r="B482" s="6"/>
      <c r="C482" s="143">
        <f t="shared" si="20"/>
        <v>267.34612724843748</v>
      </c>
      <c r="D482" s="6"/>
      <c r="E482" s="143">
        <f t="shared" si="34"/>
        <v>0.2921815598343579</v>
      </c>
      <c r="F482" s="143">
        <f t="shared" si="34"/>
        <v>3.3268557397764742E-2</v>
      </c>
      <c r="G482" s="6"/>
      <c r="H482" s="6"/>
      <c r="I482" s="6"/>
    </row>
    <row r="483" spans="1:9" x14ac:dyDescent="0.3">
      <c r="A483" s="143">
        <v>451</v>
      </c>
      <c r="B483" s="6"/>
      <c r="C483" s="143">
        <f t="shared" si="20"/>
        <v>267.69161171103718</v>
      </c>
      <c r="D483" s="6"/>
      <c r="E483" s="143">
        <f t="shared" si="34"/>
        <v>0.29255913848200787</v>
      </c>
      <c r="F483" s="143">
        <f t="shared" si="34"/>
        <v>3.3311549491169386E-2</v>
      </c>
      <c r="G483" s="6"/>
      <c r="H483" s="6"/>
      <c r="I483" s="6"/>
    </row>
    <row r="484" spans="1:9" x14ac:dyDescent="0.3">
      <c r="A484" s="143">
        <v>452</v>
      </c>
      <c r="B484" s="6"/>
      <c r="C484" s="143">
        <f t="shared" si="20"/>
        <v>268.03697889973603</v>
      </c>
      <c r="D484" s="6"/>
      <c r="E484" s="143">
        <f t="shared" si="34"/>
        <v>0.29293658896146013</v>
      </c>
      <c r="F484" s="143">
        <f t="shared" si="34"/>
        <v>3.3354526991007473E-2</v>
      </c>
      <c r="G484" s="6"/>
      <c r="H484" s="6"/>
      <c r="I484" s="6"/>
    </row>
    <row r="485" spans="1:9" x14ac:dyDescent="0.3">
      <c r="A485" s="143">
        <v>453</v>
      </c>
      <c r="B485" s="6"/>
      <c r="C485" s="143">
        <f t="shared" si="20"/>
        <v>268.38222881453413</v>
      </c>
      <c r="D485" s="6"/>
      <c r="E485" s="143">
        <f t="shared" si="34"/>
        <v>0.29331391127271489</v>
      </c>
      <c r="F485" s="143">
        <f t="shared" si="34"/>
        <v>3.339748989727901E-2</v>
      </c>
      <c r="G485" s="6"/>
      <c r="H485" s="6"/>
      <c r="I485" s="6"/>
    </row>
    <row r="486" spans="1:9" x14ac:dyDescent="0.3">
      <c r="A486" s="143">
        <v>454</v>
      </c>
      <c r="B486" s="6"/>
      <c r="C486" s="143">
        <f t="shared" si="20"/>
        <v>268.72736145543155</v>
      </c>
      <c r="D486" s="6"/>
      <c r="E486" s="143">
        <f t="shared" si="34"/>
        <v>0.2936911054157722</v>
      </c>
      <c r="F486" s="143">
        <f t="shared" si="34"/>
        <v>3.3440438209984012E-2</v>
      </c>
      <c r="G486" s="6"/>
      <c r="H486" s="6"/>
      <c r="I486" s="6"/>
    </row>
    <row r="487" spans="1:9" x14ac:dyDescent="0.3">
      <c r="A487" s="143">
        <v>455</v>
      </c>
      <c r="B487" s="6"/>
      <c r="C487" s="143">
        <f t="shared" si="20"/>
        <v>269.07237682242811</v>
      </c>
      <c r="D487" s="6"/>
      <c r="E487" s="143">
        <f t="shared" si="34"/>
        <v>0.29406817139063179</v>
      </c>
      <c r="F487" s="143">
        <f t="shared" si="34"/>
        <v>3.3483371929122464E-2</v>
      </c>
      <c r="G487" s="6"/>
      <c r="H487" s="6"/>
      <c r="I487" s="6"/>
    </row>
    <row r="488" spans="1:9" x14ac:dyDescent="0.3">
      <c r="A488" s="143">
        <v>456</v>
      </c>
      <c r="B488" s="6"/>
      <c r="C488" s="143">
        <f t="shared" si="20"/>
        <v>269.41727491552405</v>
      </c>
      <c r="D488" s="6"/>
      <c r="E488" s="143">
        <f t="shared" si="34"/>
        <v>0.29444510919729405</v>
      </c>
      <c r="F488" s="143">
        <f t="shared" si="34"/>
        <v>3.3526291054694381E-2</v>
      </c>
      <c r="G488" s="6"/>
      <c r="H488" s="6"/>
      <c r="I488" s="6"/>
    </row>
    <row r="489" spans="1:9" x14ac:dyDescent="0.3">
      <c r="A489" s="143">
        <v>457</v>
      </c>
      <c r="B489" s="6"/>
      <c r="C489" s="143">
        <f t="shared" si="20"/>
        <v>269.76205573471913</v>
      </c>
      <c r="D489" s="6"/>
      <c r="E489" s="143">
        <f t="shared" si="34"/>
        <v>0.29482191883575859</v>
      </c>
      <c r="F489" s="143">
        <f t="shared" si="34"/>
        <v>3.356919558669974E-2</v>
      </c>
      <c r="G489" s="6"/>
      <c r="H489" s="6"/>
      <c r="I489" s="6"/>
    </row>
    <row r="490" spans="1:9" x14ac:dyDescent="0.3">
      <c r="A490" s="143">
        <v>458</v>
      </c>
      <c r="B490" s="6"/>
      <c r="C490" s="143">
        <f t="shared" si="20"/>
        <v>270.10671928001352</v>
      </c>
      <c r="D490" s="6"/>
      <c r="E490" s="143">
        <f t="shared" si="34"/>
        <v>0.29519860030602568</v>
      </c>
      <c r="F490" s="143">
        <f t="shared" si="34"/>
        <v>3.3612085525138564E-2</v>
      </c>
      <c r="G490" s="6"/>
      <c r="H490" s="6"/>
      <c r="I490" s="6"/>
    </row>
    <row r="491" spans="1:9" x14ac:dyDescent="0.3">
      <c r="A491" s="143">
        <v>459</v>
      </c>
      <c r="B491" s="6"/>
      <c r="C491" s="143">
        <f t="shared" si="20"/>
        <v>270.45126555140712</v>
      </c>
      <c r="D491" s="6"/>
      <c r="E491" s="143">
        <f t="shared" si="34"/>
        <v>0.29557515360809522</v>
      </c>
      <c r="F491" s="143">
        <f t="shared" si="34"/>
        <v>3.3654960870010839E-2</v>
      </c>
      <c r="G491" s="6"/>
      <c r="H491" s="6"/>
      <c r="I491" s="6"/>
    </row>
    <row r="492" spans="1:9" x14ac:dyDescent="0.3">
      <c r="A492" s="143">
        <v>460</v>
      </c>
      <c r="B492" s="6"/>
      <c r="C492" s="143">
        <f t="shared" si="20"/>
        <v>270.79569454890003</v>
      </c>
      <c r="D492" s="6"/>
      <c r="E492" s="143">
        <f t="shared" si="34"/>
        <v>0.29595157874196726</v>
      </c>
      <c r="F492" s="143">
        <f t="shared" si="34"/>
        <v>3.3697821621316577E-2</v>
      </c>
      <c r="G492" s="6"/>
      <c r="H492" s="6"/>
      <c r="I492" s="6"/>
    </row>
    <row r="493" spans="1:9" x14ac:dyDescent="0.3">
      <c r="A493" s="143">
        <v>461</v>
      </c>
      <c r="B493" s="6"/>
      <c r="C493" s="143">
        <f t="shared" si="20"/>
        <v>271.14000627249209</v>
      </c>
      <c r="D493" s="6"/>
      <c r="E493" s="143">
        <f t="shared" si="34"/>
        <v>0.29632787570764163</v>
      </c>
      <c r="F493" s="143">
        <f t="shared" si="34"/>
        <v>3.3740667779055759E-2</v>
      </c>
      <c r="G493" s="6"/>
      <c r="H493" s="6"/>
      <c r="I493" s="6"/>
    </row>
    <row r="494" spans="1:9" x14ac:dyDescent="0.3">
      <c r="A494" s="143">
        <v>462</v>
      </c>
      <c r="B494" s="6"/>
      <c r="C494" s="143">
        <f t="shared" si="20"/>
        <v>271.48420072218357</v>
      </c>
      <c r="D494" s="6"/>
      <c r="E494" s="143">
        <f t="shared" si="34"/>
        <v>0.29670404450511867</v>
      </c>
      <c r="F494" s="143">
        <f t="shared" si="34"/>
        <v>3.3783499343228419E-2</v>
      </c>
      <c r="G494" s="6"/>
      <c r="H494" s="6"/>
      <c r="I494" s="6"/>
    </row>
    <row r="495" spans="1:9" x14ac:dyDescent="0.3">
      <c r="A495" s="143">
        <v>463</v>
      </c>
      <c r="B495" s="6"/>
      <c r="C495" s="143">
        <f t="shared" si="20"/>
        <v>271.82827789797415</v>
      </c>
      <c r="D495" s="6"/>
      <c r="E495" s="143">
        <f t="shared" si="34"/>
        <v>0.29708008513439799</v>
      </c>
      <c r="F495" s="143">
        <f t="shared" si="34"/>
        <v>3.3826316313834516E-2</v>
      </c>
      <c r="G495" s="6"/>
      <c r="H495" s="6"/>
      <c r="I495" s="6"/>
    </row>
    <row r="496" spans="1:9" x14ac:dyDescent="0.3">
      <c r="A496" s="143">
        <v>464</v>
      </c>
      <c r="B496" s="6"/>
      <c r="C496" s="143">
        <f t="shared" si="20"/>
        <v>272.17223779986398</v>
      </c>
      <c r="D496" s="6"/>
      <c r="E496" s="143">
        <f t="shared" ref="E496:F511" si="35">ABS(B496-C496)/(B$1-C$1)</f>
        <v>0.29745599759547975</v>
      </c>
      <c r="F496" s="143">
        <f t="shared" si="35"/>
        <v>3.3869118690874063E-2</v>
      </c>
      <c r="G496" s="6"/>
      <c r="H496" s="6"/>
      <c r="I496" s="6"/>
    </row>
    <row r="497" spans="1:9" x14ac:dyDescent="0.3">
      <c r="A497" s="143">
        <v>465</v>
      </c>
      <c r="B497" s="6"/>
      <c r="C497" s="143">
        <f t="shared" si="20"/>
        <v>272.51608042785318</v>
      </c>
      <c r="D497" s="6"/>
      <c r="E497" s="143">
        <f t="shared" si="35"/>
        <v>0.29783178188836412</v>
      </c>
      <c r="F497" s="143">
        <f t="shared" si="35"/>
        <v>3.3911906474347088E-2</v>
      </c>
      <c r="G497" s="6"/>
      <c r="H497" s="6"/>
      <c r="I497" s="6"/>
    </row>
    <row r="498" spans="1:9" x14ac:dyDescent="0.3">
      <c r="A498" s="143">
        <v>466</v>
      </c>
      <c r="B498" s="6"/>
      <c r="C498" s="143">
        <f t="shared" si="20"/>
        <v>272.85980578194147</v>
      </c>
      <c r="D498" s="6"/>
      <c r="E498" s="143">
        <f t="shared" si="35"/>
        <v>0.29820743801305077</v>
      </c>
      <c r="F498" s="143">
        <f t="shared" si="35"/>
        <v>3.3954679664253543E-2</v>
      </c>
      <c r="G498" s="6"/>
      <c r="H498" s="6"/>
      <c r="I498" s="6"/>
    </row>
    <row r="499" spans="1:9" x14ac:dyDescent="0.3">
      <c r="A499" s="143">
        <v>467</v>
      </c>
      <c r="B499" s="6"/>
      <c r="C499" s="143">
        <f t="shared" si="20"/>
        <v>273.20341386212914</v>
      </c>
      <c r="D499" s="6"/>
      <c r="E499" s="143">
        <f t="shared" si="35"/>
        <v>0.29858296596954004</v>
      </c>
      <c r="F499" s="143">
        <f t="shared" si="35"/>
        <v>3.3997438260593468E-2</v>
      </c>
      <c r="G499" s="6"/>
      <c r="H499" s="6"/>
      <c r="I499" s="6"/>
    </row>
    <row r="500" spans="1:9" x14ac:dyDescent="0.3">
      <c r="A500" s="143">
        <v>468</v>
      </c>
      <c r="B500" s="6"/>
      <c r="C500" s="143">
        <f t="shared" si="20"/>
        <v>273.546904668416</v>
      </c>
      <c r="D500" s="6"/>
      <c r="E500" s="143">
        <f t="shared" si="35"/>
        <v>0.29895836575783169</v>
      </c>
      <c r="F500" s="143">
        <f t="shared" si="35"/>
        <v>3.4040182263366851E-2</v>
      </c>
      <c r="G500" s="6"/>
      <c r="H500" s="6"/>
      <c r="I500" s="6"/>
    </row>
    <row r="501" spans="1:9" x14ac:dyDescent="0.3">
      <c r="A501" s="143">
        <v>469</v>
      </c>
      <c r="B501" s="6"/>
      <c r="C501" s="143">
        <f t="shared" si="20"/>
        <v>273.89027820080213</v>
      </c>
      <c r="D501" s="6"/>
      <c r="E501" s="143">
        <f t="shared" si="35"/>
        <v>0.29933363737792584</v>
      </c>
      <c r="F501" s="143">
        <f t="shared" si="35"/>
        <v>3.4082911672573685E-2</v>
      </c>
      <c r="G501" s="6"/>
      <c r="H501" s="6"/>
      <c r="I501" s="6"/>
    </row>
    <row r="502" spans="1:9" x14ac:dyDescent="0.3">
      <c r="A502" s="143">
        <v>470</v>
      </c>
      <c r="B502" s="6"/>
      <c r="C502" s="143">
        <f t="shared" si="20"/>
        <v>274.23353445928751</v>
      </c>
      <c r="D502" s="6"/>
      <c r="E502" s="143">
        <f t="shared" si="35"/>
        <v>0.29970878082982244</v>
      </c>
      <c r="F502" s="143">
        <f t="shared" si="35"/>
        <v>3.4125626488213975E-2</v>
      </c>
      <c r="G502" s="6"/>
      <c r="H502" s="6"/>
      <c r="I502" s="6"/>
    </row>
    <row r="503" spans="1:9" x14ac:dyDescent="0.3">
      <c r="A503" s="143">
        <v>471</v>
      </c>
      <c r="B503" s="6"/>
      <c r="C503" s="143">
        <f t="shared" si="20"/>
        <v>274.57667344387215</v>
      </c>
      <c r="D503" s="6"/>
      <c r="E503" s="143">
        <f t="shared" si="35"/>
        <v>0.30008379611352148</v>
      </c>
      <c r="F503" s="143">
        <f t="shared" si="35"/>
        <v>3.4168326710287723E-2</v>
      </c>
      <c r="G503" s="6"/>
      <c r="H503" s="6"/>
      <c r="I503" s="6"/>
    </row>
    <row r="504" spans="1:9" x14ac:dyDescent="0.3">
      <c r="A504" s="143">
        <v>472</v>
      </c>
      <c r="B504" s="6"/>
      <c r="C504" s="143">
        <f t="shared" si="20"/>
        <v>274.919695154556</v>
      </c>
      <c r="D504" s="6"/>
      <c r="E504" s="143">
        <f t="shared" si="35"/>
        <v>0.30045868322902297</v>
      </c>
      <c r="F504" s="143">
        <f t="shared" si="35"/>
        <v>3.4211012338794922E-2</v>
      </c>
      <c r="G504" s="6"/>
      <c r="H504" s="6"/>
      <c r="I504" s="6"/>
    </row>
    <row r="505" spans="1:9" x14ac:dyDescent="0.3">
      <c r="A505" s="143">
        <v>473</v>
      </c>
      <c r="B505" s="6"/>
      <c r="C505" s="143">
        <f t="shared" si="20"/>
        <v>275.26259959133915</v>
      </c>
      <c r="D505" s="6"/>
      <c r="E505" s="143">
        <f t="shared" si="35"/>
        <v>0.30083344217632696</v>
      </c>
      <c r="F505" s="143">
        <f t="shared" si="35"/>
        <v>3.4253683373735584E-2</v>
      </c>
      <c r="G505" s="6"/>
      <c r="H505" s="6"/>
      <c r="I505" s="6"/>
    </row>
    <row r="506" spans="1:9" x14ac:dyDescent="0.3">
      <c r="A506" s="143">
        <v>474</v>
      </c>
      <c r="B506" s="6"/>
      <c r="C506" s="143">
        <f t="shared" si="20"/>
        <v>275.60538675422151</v>
      </c>
      <c r="D506" s="6"/>
      <c r="E506" s="143">
        <f t="shared" si="35"/>
        <v>0.30120807295543334</v>
      </c>
      <c r="F506" s="143">
        <f t="shared" si="35"/>
        <v>3.4296339815109697E-2</v>
      </c>
      <c r="G506" s="6"/>
      <c r="H506" s="6"/>
      <c r="I506" s="6"/>
    </row>
    <row r="507" spans="1:9" x14ac:dyDescent="0.3">
      <c r="A507" s="143">
        <v>475</v>
      </c>
      <c r="B507" s="6"/>
      <c r="C507" s="143">
        <f t="shared" si="20"/>
        <v>275.94805664320307</v>
      </c>
      <c r="D507" s="6"/>
      <c r="E507" s="143">
        <f t="shared" si="35"/>
        <v>0.30158257556634216</v>
      </c>
      <c r="F507" s="143">
        <f t="shared" si="35"/>
        <v>3.4338981662917253E-2</v>
      </c>
      <c r="G507" s="6"/>
      <c r="H507" s="6"/>
      <c r="I507" s="6"/>
    </row>
    <row r="508" spans="1:9" x14ac:dyDescent="0.3">
      <c r="A508" s="143">
        <v>476</v>
      </c>
      <c r="B508" s="6"/>
      <c r="C508" s="143">
        <f t="shared" si="20"/>
        <v>276.29060925828406</v>
      </c>
      <c r="D508" s="6"/>
      <c r="E508" s="143">
        <f t="shared" si="35"/>
        <v>0.30195695000905365</v>
      </c>
      <c r="F508" s="143">
        <f t="shared" si="35"/>
        <v>3.4381608917158295E-2</v>
      </c>
      <c r="G508" s="6"/>
      <c r="H508" s="6"/>
      <c r="I508" s="6"/>
    </row>
    <row r="509" spans="1:9" x14ac:dyDescent="0.3">
      <c r="A509" s="143">
        <v>477</v>
      </c>
      <c r="B509" s="6"/>
      <c r="C509" s="143">
        <f t="shared" si="20"/>
        <v>276.63304459946414</v>
      </c>
      <c r="D509" s="6"/>
      <c r="E509" s="143">
        <f t="shared" si="35"/>
        <v>0.30233119628356736</v>
      </c>
      <c r="F509" s="143">
        <f t="shared" si="35"/>
        <v>3.4424221577832773E-2</v>
      </c>
      <c r="G509" s="6"/>
      <c r="H509" s="6"/>
      <c r="I509" s="6"/>
    </row>
    <row r="510" spans="1:9" x14ac:dyDescent="0.3">
      <c r="A510" s="143">
        <v>478</v>
      </c>
      <c r="B510" s="6"/>
      <c r="C510" s="143">
        <f t="shared" si="20"/>
        <v>276.97536266674354</v>
      </c>
      <c r="D510" s="6"/>
      <c r="E510" s="143">
        <f t="shared" si="35"/>
        <v>0.30270531438988363</v>
      </c>
      <c r="F510" s="143">
        <f t="shared" si="35"/>
        <v>3.4466819644940708E-2</v>
      </c>
      <c r="G510" s="6"/>
      <c r="H510" s="6"/>
      <c r="I510" s="6"/>
    </row>
    <row r="511" spans="1:9" x14ac:dyDescent="0.3">
      <c r="A511" s="143">
        <v>479</v>
      </c>
      <c r="B511" s="6"/>
      <c r="C511" s="143">
        <f t="shared" si="20"/>
        <v>277.31756346012213</v>
      </c>
      <c r="D511" s="6"/>
      <c r="E511" s="143">
        <f t="shared" si="35"/>
        <v>0.30307930432800234</v>
      </c>
      <c r="F511" s="143">
        <f t="shared" si="35"/>
        <v>3.45094031184821E-2</v>
      </c>
      <c r="G511" s="6"/>
      <c r="H511" s="6"/>
      <c r="I511" s="6"/>
    </row>
    <row r="512" spans="1:9" x14ac:dyDescent="0.3">
      <c r="A512" s="143">
        <v>480</v>
      </c>
      <c r="B512" s="6"/>
      <c r="C512" s="143">
        <f t="shared" si="20"/>
        <v>277.65964697959998</v>
      </c>
      <c r="D512" s="6"/>
      <c r="E512" s="143">
        <f t="shared" ref="E512:F527" si="36">ABS(B512-C512)/(B$1-C$1)</f>
        <v>0.3034531660979235</v>
      </c>
      <c r="F512" s="143">
        <f t="shared" si="36"/>
        <v>3.4551971998456943E-2</v>
      </c>
      <c r="G512" s="6"/>
      <c r="H512" s="6"/>
      <c r="I512" s="6"/>
    </row>
    <row r="513" spans="1:9" x14ac:dyDescent="0.3">
      <c r="A513" s="143">
        <v>481</v>
      </c>
      <c r="B513" s="6"/>
      <c r="C513" s="143">
        <f t="shared" si="20"/>
        <v>278.00161322517715</v>
      </c>
      <c r="D513" s="6"/>
      <c r="E513" s="143">
        <f t="shared" si="36"/>
        <v>0.30382689969964716</v>
      </c>
      <c r="F513" s="143">
        <f t="shared" si="36"/>
        <v>3.459452628486525E-2</v>
      </c>
      <c r="G513" s="6"/>
      <c r="H513" s="6"/>
      <c r="I513" s="6"/>
    </row>
    <row r="514" spans="1:9" x14ac:dyDescent="0.3">
      <c r="A514" s="143">
        <v>482</v>
      </c>
      <c r="B514" s="6"/>
      <c r="C514" s="143">
        <f t="shared" si="20"/>
        <v>278.34346219685352</v>
      </c>
      <c r="D514" s="6"/>
      <c r="E514" s="143">
        <f t="shared" si="36"/>
        <v>0.30420050513317326</v>
      </c>
      <c r="F514" s="143">
        <f t="shared" si="36"/>
        <v>3.4637065977707007E-2</v>
      </c>
      <c r="G514" s="6"/>
      <c r="H514" s="6"/>
      <c r="I514" s="6"/>
    </row>
    <row r="515" spans="1:9" x14ac:dyDescent="0.3">
      <c r="A515" s="143">
        <v>483</v>
      </c>
      <c r="B515" s="6"/>
      <c r="C515" s="143">
        <f t="shared" si="20"/>
        <v>278.68519389462909</v>
      </c>
      <c r="D515" s="6"/>
      <c r="E515" s="143">
        <f t="shared" si="36"/>
        <v>0.30457398239850175</v>
      </c>
      <c r="F515" s="143">
        <f t="shared" si="36"/>
        <v>3.4679591076982215E-2</v>
      </c>
      <c r="G515" s="6"/>
      <c r="H515" s="6"/>
      <c r="I515" s="6"/>
    </row>
    <row r="516" spans="1:9" x14ac:dyDescent="0.3">
      <c r="A516" s="143">
        <v>484</v>
      </c>
      <c r="B516" s="6"/>
      <c r="C516" s="143">
        <f t="shared" si="20"/>
        <v>279.02680831850404</v>
      </c>
      <c r="D516" s="6"/>
      <c r="E516" s="143">
        <f t="shared" si="36"/>
        <v>0.30494733149563286</v>
      </c>
      <c r="F516" s="143">
        <f t="shared" si="36"/>
        <v>3.4722101582690894E-2</v>
      </c>
      <c r="G516" s="6"/>
      <c r="H516" s="6"/>
      <c r="I516" s="6"/>
    </row>
    <row r="517" spans="1:9" x14ac:dyDescent="0.3">
      <c r="A517" s="143">
        <v>485</v>
      </c>
      <c r="B517" s="6"/>
      <c r="C517" s="143">
        <f t="shared" si="20"/>
        <v>279.36830546847813</v>
      </c>
      <c r="D517" s="6"/>
      <c r="E517" s="143">
        <f t="shared" si="36"/>
        <v>0.30532055242456624</v>
      </c>
      <c r="F517" s="143">
        <f t="shared" si="36"/>
        <v>3.4764597494833016E-2</v>
      </c>
      <c r="G517" s="6"/>
      <c r="H517" s="6"/>
      <c r="I517" s="6"/>
    </row>
    <row r="518" spans="1:9" x14ac:dyDescent="0.3">
      <c r="A518" s="143">
        <v>486</v>
      </c>
      <c r="B518" s="6"/>
      <c r="C518" s="143">
        <f t="shared" si="20"/>
        <v>279.70968534455153</v>
      </c>
      <c r="D518" s="6"/>
      <c r="E518" s="143">
        <f t="shared" si="36"/>
        <v>0.30569364518530223</v>
      </c>
      <c r="F518" s="143">
        <f t="shared" si="36"/>
        <v>3.4807078813408603E-2</v>
      </c>
      <c r="G518" s="6"/>
      <c r="H518" s="6"/>
      <c r="I518" s="6"/>
    </row>
    <row r="519" spans="1:9" x14ac:dyDescent="0.3">
      <c r="A519" s="143">
        <v>487</v>
      </c>
      <c r="B519" s="6"/>
      <c r="C519" s="143">
        <f t="shared" si="20"/>
        <v>280.05094794672414</v>
      </c>
      <c r="D519" s="6"/>
      <c r="E519" s="143">
        <f t="shared" si="36"/>
        <v>0.30606660977784056</v>
      </c>
      <c r="F519" s="143">
        <f t="shared" si="36"/>
        <v>3.4849545538417639E-2</v>
      </c>
      <c r="G519" s="6"/>
      <c r="H519" s="6"/>
      <c r="I519" s="6"/>
    </row>
    <row r="520" spans="1:9" x14ac:dyDescent="0.3">
      <c r="A520" s="143">
        <v>488</v>
      </c>
      <c r="B520" s="6"/>
      <c r="C520" s="143">
        <f t="shared" si="20"/>
        <v>280.39209327499606</v>
      </c>
      <c r="D520" s="6"/>
      <c r="E520" s="143">
        <f t="shared" si="36"/>
        <v>0.3064394462021815</v>
      </c>
      <c r="F520" s="143">
        <f t="shared" si="36"/>
        <v>3.4891997669860134E-2</v>
      </c>
      <c r="G520" s="6"/>
      <c r="H520" s="6"/>
      <c r="I520" s="6"/>
    </row>
    <row r="521" spans="1:9" x14ac:dyDescent="0.3">
      <c r="A521" s="143">
        <v>489</v>
      </c>
      <c r="B521" s="6"/>
      <c r="C521" s="143">
        <f t="shared" si="20"/>
        <v>280.73312132936712</v>
      </c>
      <c r="D521" s="6"/>
      <c r="E521" s="143">
        <f t="shared" si="36"/>
        <v>0.30681215445832472</v>
      </c>
      <c r="F521" s="143">
        <f t="shared" si="36"/>
        <v>3.4934435207736078E-2</v>
      </c>
      <c r="G521" s="6"/>
      <c r="H521" s="6"/>
      <c r="I521" s="6"/>
    </row>
    <row r="522" spans="1:9" x14ac:dyDescent="0.3">
      <c r="A522" s="143">
        <v>490</v>
      </c>
      <c r="B522" s="6"/>
      <c r="C522" s="143">
        <f t="shared" si="20"/>
        <v>281.07403210983756</v>
      </c>
      <c r="D522" s="6"/>
      <c r="E522" s="143">
        <f t="shared" si="36"/>
        <v>0.30718473454627054</v>
      </c>
      <c r="F522" s="143">
        <f t="shared" si="36"/>
        <v>3.4976858152045487E-2</v>
      </c>
      <c r="G522" s="6"/>
      <c r="H522" s="6"/>
      <c r="I522" s="6"/>
    </row>
    <row r="523" spans="1:9" x14ac:dyDescent="0.3">
      <c r="A523" s="143">
        <v>491</v>
      </c>
      <c r="B523" s="6"/>
      <c r="C523" s="143">
        <f t="shared" si="20"/>
        <v>281.41482561640714</v>
      </c>
      <c r="D523" s="6"/>
      <c r="E523" s="143">
        <f t="shared" si="36"/>
        <v>0.30755718646601876</v>
      </c>
      <c r="F523" s="143">
        <f t="shared" si="36"/>
        <v>3.5019266502788346E-2</v>
      </c>
      <c r="G523" s="6"/>
      <c r="H523" s="6"/>
      <c r="I523" s="6"/>
    </row>
    <row r="524" spans="1:9" x14ac:dyDescent="0.3">
      <c r="A524" s="143">
        <v>492</v>
      </c>
      <c r="B524" s="6"/>
      <c r="C524" s="143">
        <f t="shared" si="20"/>
        <v>281.75550184907598</v>
      </c>
      <c r="D524" s="6"/>
      <c r="E524" s="143">
        <f t="shared" si="36"/>
        <v>0.30792951021756937</v>
      </c>
      <c r="F524" s="143">
        <f t="shared" si="36"/>
        <v>3.5061660259964655E-2</v>
      </c>
      <c r="G524" s="6"/>
      <c r="H524" s="6"/>
      <c r="I524" s="6"/>
    </row>
    <row r="525" spans="1:9" x14ac:dyDescent="0.3">
      <c r="A525" s="143">
        <v>493</v>
      </c>
      <c r="B525" s="6"/>
      <c r="C525" s="143">
        <f t="shared" si="20"/>
        <v>282.0960608078442</v>
      </c>
      <c r="D525" s="6"/>
      <c r="E525" s="143">
        <f t="shared" si="36"/>
        <v>0.30830170580092264</v>
      </c>
      <c r="F525" s="143">
        <f t="shared" si="36"/>
        <v>3.5104039423574443E-2</v>
      </c>
      <c r="G525" s="6"/>
      <c r="H525" s="6"/>
      <c r="I525" s="6"/>
    </row>
    <row r="526" spans="1:9" x14ac:dyDescent="0.3">
      <c r="A526" s="143">
        <v>494</v>
      </c>
      <c r="B526" s="6"/>
      <c r="C526" s="143">
        <f t="shared" si="20"/>
        <v>282.4365024927115</v>
      </c>
      <c r="D526" s="6"/>
      <c r="E526" s="143">
        <f t="shared" si="36"/>
        <v>0.30867377321607814</v>
      </c>
      <c r="F526" s="143">
        <f t="shared" si="36"/>
        <v>3.514640399361766E-2</v>
      </c>
      <c r="G526" s="6"/>
      <c r="H526" s="6"/>
      <c r="I526" s="6"/>
    </row>
    <row r="527" spans="1:9" x14ac:dyDescent="0.3">
      <c r="A527" s="143">
        <v>495</v>
      </c>
      <c r="B527" s="6"/>
      <c r="C527" s="143">
        <f t="shared" si="20"/>
        <v>282.77682690367811</v>
      </c>
      <c r="D527" s="6"/>
      <c r="E527" s="143">
        <f t="shared" si="36"/>
        <v>0.30904571246303619</v>
      </c>
      <c r="F527" s="143">
        <f t="shared" si="36"/>
        <v>3.5188753970094341E-2</v>
      </c>
      <c r="G527" s="6"/>
      <c r="H527" s="6"/>
      <c r="I527" s="6"/>
    </row>
    <row r="528" spans="1:9" x14ac:dyDescent="0.3">
      <c r="A528" s="143">
        <v>496</v>
      </c>
      <c r="B528" s="6"/>
      <c r="C528" s="143">
        <f t="shared" si="20"/>
        <v>283.11703404074399</v>
      </c>
      <c r="D528" s="6"/>
      <c r="E528" s="143">
        <f t="shared" ref="E528:F532" si="37">ABS(B528-C528)/(B$1-C$1)</f>
        <v>0.30941752354179669</v>
      </c>
      <c r="F528" s="143">
        <f t="shared" si="37"/>
        <v>3.523108935300448E-2</v>
      </c>
      <c r="G528" s="6"/>
      <c r="H528" s="6"/>
      <c r="I528" s="6"/>
    </row>
    <row r="529" spans="1:9" x14ac:dyDescent="0.3">
      <c r="A529" s="143">
        <v>497</v>
      </c>
      <c r="B529" s="6"/>
      <c r="C529" s="143">
        <f t="shared" si="20"/>
        <v>283.45712390390912</v>
      </c>
      <c r="D529" s="6"/>
      <c r="E529" s="143">
        <f t="shared" si="37"/>
        <v>0.30978920645235969</v>
      </c>
      <c r="F529" s="143">
        <f t="shared" si="37"/>
        <v>3.5273410142348076E-2</v>
      </c>
      <c r="G529" s="6"/>
      <c r="H529" s="143">
        <f>1/0.3400004</f>
        <v>2.941173010384694</v>
      </c>
      <c r="I529" s="6"/>
    </row>
    <row r="530" spans="1:9" x14ac:dyDescent="0.3">
      <c r="A530" s="143">
        <v>498</v>
      </c>
      <c r="B530" s="143">
        <v>283.73824000000002</v>
      </c>
      <c r="C530" s="143">
        <f t="shared" si="20"/>
        <v>283.79709649317351</v>
      </c>
      <c r="D530" s="143">
        <v>283.86799999999999</v>
      </c>
      <c r="E530" s="143">
        <f t="shared" si="37"/>
        <v>6.4324036255184282E-5</v>
      </c>
      <c r="F530" s="143">
        <f t="shared" si="37"/>
        <v>8.8232338012048911E-6</v>
      </c>
      <c r="G530" s="143">
        <f>(E530+F530)/2*E$1</f>
        <v>0.16368530356868485</v>
      </c>
      <c r="H530" s="143">
        <f>1/0.3398834</f>
        <v>2.9421854671337289</v>
      </c>
      <c r="I530" s="6"/>
    </row>
    <row r="531" spans="1:9" x14ac:dyDescent="0.3">
      <c r="A531" s="143">
        <v>499</v>
      </c>
      <c r="B531" s="6"/>
      <c r="C531" s="143">
        <f t="shared" si="20"/>
        <v>284.13695180853716</v>
      </c>
      <c r="D531" s="6"/>
      <c r="E531" s="143">
        <f t="shared" si="37"/>
        <v>0.31053218776889308</v>
      </c>
      <c r="F531" s="143">
        <f t="shared" si="37"/>
        <v>3.5358007940335633E-2</v>
      </c>
      <c r="G531" s="6"/>
      <c r="H531" s="143">
        <f>1/0.3397664</f>
        <v>2.9431986211703096</v>
      </c>
      <c r="I531" s="6"/>
    </row>
    <row r="532" spans="1:9" x14ac:dyDescent="0.3">
      <c r="A532" s="143">
        <v>500</v>
      </c>
      <c r="B532" s="143">
        <v>284.41777999999999</v>
      </c>
      <c r="C532" s="143">
        <f t="shared" si="20"/>
        <v>284.47668984999996</v>
      </c>
      <c r="D532" s="143">
        <v>284.45699999999999</v>
      </c>
      <c r="E532" s="143">
        <f t="shared" si="37"/>
        <v>6.4382349726736199E-5</v>
      </c>
      <c r="F532" s="143">
        <f t="shared" si="37"/>
        <v>2.4502053260282942E-6</v>
      </c>
      <c r="G532" s="143">
        <f>(E532+F532)/2*E$1</f>
        <v>0.14955455006932375</v>
      </c>
      <c r="H532" s="143">
        <f>1/0.3396494</f>
        <v>2.944212473215027</v>
      </c>
      <c r="I532" s="6"/>
    </row>
    <row r="533" spans="1:9" x14ac:dyDescent="0.3">
      <c r="A533" s="6"/>
      <c r="B533" s="6"/>
      <c r="C533" s="6"/>
      <c r="D533" s="6"/>
      <c r="E533" s="143">
        <f>ABS(B533-C533)/(B$1-C$1)</f>
        <v>0</v>
      </c>
      <c r="F533" s="143">
        <f>ABS(C533-D533)</f>
        <v>0</v>
      </c>
      <c r="G533" s="6"/>
      <c r="H533" s="6"/>
      <c r="I533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7803-B027-4304-9EA9-F0E226022D02}">
  <dimension ref="A1:D11"/>
  <sheetViews>
    <sheetView workbookViewId="0">
      <selection activeCell="B6" sqref="B6"/>
    </sheetView>
  </sheetViews>
  <sheetFormatPr defaultColWidth="9.109375" defaultRowHeight="13.8" x14ac:dyDescent="0.3"/>
  <cols>
    <col min="1" max="16384" width="9.109375" style="305"/>
  </cols>
  <sheetData>
    <row r="1" spans="1:4" x14ac:dyDescent="0.3">
      <c r="A1" s="304">
        <v>2025</v>
      </c>
    </row>
    <row r="2" spans="1:4" ht="52.8" x14ac:dyDescent="0.3">
      <c r="A2" s="306" t="s">
        <v>238</v>
      </c>
      <c r="B2" s="311" t="s">
        <v>213</v>
      </c>
      <c r="C2" s="311" t="s">
        <v>214</v>
      </c>
      <c r="D2" s="311" t="s">
        <v>237</v>
      </c>
    </row>
    <row r="3" spans="1:4" x14ac:dyDescent="0.3">
      <c r="A3" s="307">
        <v>0</v>
      </c>
      <c r="B3" s="312">
        <v>0.13561090819430338</v>
      </c>
      <c r="C3" s="312">
        <v>0.11249856339282101</v>
      </c>
      <c r="D3" s="312">
        <v>0.2548927145546096</v>
      </c>
    </row>
    <row r="4" spans="1:4" x14ac:dyDescent="0.3">
      <c r="A4" s="313">
        <v>16</v>
      </c>
      <c r="B4" s="312">
        <v>0.2116023529291553</v>
      </c>
      <c r="C4" s="312">
        <v>8.4425152852572793E-2</v>
      </c>
      <c r="D4" s="312">
        <v>0.2921349033076801</v>
      </c>
    </row>
    <row r="5" spans="1:4" x14ac:dyDescent="0.3">
      <c r="A5" s="313">
        <v>18</v>
      </c>
      <c r="B5" s="312">
        <v>0.17079647475771864</v>
      </c>
      <c r="C5" s="312">
        <v>6.8419004378140968E-2</v>
      </c>
      <c r="D5" s="312">
        <v>0.29164665446621285</v>
      </c>
    </row>
    <row r="6" spans="1:4" x14ac:dyDescent="0.3">
      <c r="A6" s="313">
        <v>20</v>
      </c>
      <c r="B6" s="312">
        <v>0.14098776106126465</v>
      </c>
      <c r="C6" s="312">
        <v>4.771144429606089E-2</v>
      </c>
      <c r="D6" s="312">
        <v>0.190272587027426</v>
      </c>
    </row>
    <row r="7" spans="1:4" x14ac:dyDescent="0.3">
      <c r="A7" s="313">
        <v>25</v>
      </c>
      <c r="B7" s="312">
        <v>0.18793095733300547</v>
      </c>
      <c r="C7" s="312">
        <v>5.0943572555205208E-2</v>
      </c>
      <c r="D7" s="312">
        <v>0.21958521600808467</v>
      </c>
    </row>
    <row r="8" spans="1:4" x14ac:dyDescent="0.3">
      <c r="A8" s="313">
        <v>30</v>
      </c>
      <c r="B8" s="312">
        <v>0.19386909109856987</v>
      </c>
      <c r="C8" s="312">
        <v>3.6105638801261719E-2</v>
      </c>
      <c r="D8" s="312">
        <v>0.19782166674202273</v>
      </c>
    </row>
    <row r="9" spans="1:4" x14ac:dyDescent="0.3">
      <c r="A9" s="313">
        <v>35</v>
      </c>
      <c r="B9" s="312">
        <v>0.17492449217020578</v>
      </c>
      <c r="C9" s="312">
        <v>0.11809913272720962</v>
      </c>
      <c r="D9" s="312">
        <v>0.23619826545441924</v>
      </c>
    </row>
    <row r="10" spans="1:4" x14ac:dyDescent="0.3">
      <c r="A10" s="313">
        <v>40</v>
      </c>
      <c r="B10" s="312">
        <v>0.19972324684877663</v>
      </c>
      <c r="C10" s="312">
        <v>5.6484376851670959E-2</v>
      </c>
      <c r="D10" s="312">
        <v>0.22049635410429858</v>
      </c>
    </row>
    <row r="11" spans="1:4" x14ac:dyDescent="0.3">
      <c r="A11" s="314">
        <v>50</v>
      </c>
      <c r="B11" s="315">
        <v>0.16551349131991344</v>
      </c>
      <c r="C11" s="315">
        <v>9.0561483435237733E-2</v>
      </c>
      <c r="D11" s="315">
        <v>0.26411769685132214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ED53-A33C-4C84-A30A-2D80A3699930}">
  <dimension ref="A1:E1014"/>
  <sheetViews>
    <sheetView topLeftCell="A15" workbookViewId="0"/>
  </sheetViews>
  <sheetFormatPr defaultColWidth="12.5546875" defaultRowHeight="15" customHeight="1" x14ac:dyDescent="0.3"/>
  <cols>
    <col min="1" max="6" width="8" style="305" customWidth="1"/>
    <col min="7" max="16384" width="12.5546875" style="305"/>
  </cols>
  <sheetData>
    <row r="1" spans="1:5" ht="12.75" customHeight="1" x14ac:dyDescent="0.3">
      <c r="A1" s="304">
        <v>2025</v>
      </c>
    </row>
    <row r="2" spans="1:5" ht="105.6" x14ac:dyDescent="0.3">
      <c r="A2" s="306" t="s">
        <v>211</v>
      </c>
      <c r="B2" s="306" t="s">
        <v>212</v>
      </c>
      <c r="C2" s="306" t="s">
        <v>213</v>
      </c>
      <c r="D2" s="306" t="s">
        <v>214</v>
      </c>
      <c r="E2" s="306" t="s">
        <v>237</v>
      </c>
    </row>
    <row r="3" spans="1:5" ht="12.75" customHeight="1" x14ac:dyDescent="0.3">
      <c r="A3" s="307" t="s">
        <v>150</v>
      </c>
      <c r="B3" s="307" t="s">
        <v>150</v>
      </c>
      <c r="C3" s="307">
        <v>0.26</v>
      </c>
      <c r="D3" s="307">
        <v>0.05</v>
      </c>
      <c r="E3" s="307">
        <v>0.32</v>
      </c>
    </row>
    <row r="4" spans="1:5" ht="12.75" customHeight="1" x14ac:dyDescent="0.3">
      <c r="A4" s="308">
        <v>35</v>
      </c>
      <c r="B4" s="308">
        <v>36.9</v>
      </c>
      <c r="C4" s="308">
        <v>0.1</v>
      </c>
      <c r="D4" s="307">
        <v>0.11</v>
      </c>
      <c r="E4" s="307">
        <v>0.06</v>
      </c>
    </row>
    <row r="5" spans="1:5" ht="12.75" customHeight="1" x14ac:dyDescent="0.3">
      <c r="A5" s="308">
        <v>40</v>
      </c>
      <c r="B5" s="307">
        <v>39.92</v>
      </c>
      <c r="C5" s="307">
        <v>0.11</v>
      </c>
      <c r="D5" s="307">
        <v>7.0000000000000007E-2</v>
      </c>
      <c r="E5" s="307">
        <v>0.18</v>
      </c>
    </row>
    <row r="6" spans="1:5" ht="12.75" customHeight="1" x14ac:dyDescent="0.3">
      <c r="A6" s="308">
        <v>60</v>
      </c>
      <c r="B6" s="307">
        <v>60.04</v>
      </c>
      <c r="C6" s="307">
        <v>0.16</v>
      </c>
      <c r="D6" s="308">
        <v>0.1</v>
      </c>
      <c r="E6" s="307">
        <v>0.31</v>
      </c>
    </row>
    <row r="7" spans="1:5" ht="12.75" customHeight="1" x14ac:dyDescent="0.3">
      <c r="A7" s="308">
        <v>90</v>
      </c>
      <c r="B7" s="307">
        <v>90.09</v>
      </c>
      <c r="C7" s="307">
        <v>0.13</v>
      </c>
      <c r="D7" s="307">
        <v>0.15</v>
      </c>
      <c r="E7" s="308">
        <v>0.4</v>
      </c>
    </row>
    <row r="8" spans="1:5" ht="12.75" customHeight="1" x14ac:dyDescent="0.3">
      <c r="A8" s="308">
        <v>120</v>
      </c>
      <c r="B8" s="307">
        <v>120.13</v>
      </c>
      <c r="C8" s="307">
        <v>0.21</v>
      </c>
      <c r="D8" s="307">
        <v>0.21</v>
      </c>
      <c r="E8" s="307">
        <v>0.53</v>
      </c>
    </row>
    <row r="9" spans="1:5" ht="12.75" customHeight="1" x14ac:dyDescent="0.3">
      <c r="A9" s="308">
        <v>150</v>
      </c>
      <c r="B9" s="307">
        <v>150.15</v>
      </c>
      <c r="C9" s="308">
        <v>0.2</v>
      </c>
      <c r="D9" s="307">
        <v>0.24</v>
      </c>
      <c r="E9" s="307">
        <v>0.62</v>
      </c>
    </row>
    <row r="10" spans="1:5" ht="12.75" customHeight="1" x14ac:dyDescent="0.3">
      <c r="A10" s="308">
        <v>180</v>
      </c>
      <c r="B10" s="307">
        <v>180.14</v>
      </c>
      <c r="C10" s="307">
        <v>0.26</v>
      </c>
      <c r="D10" s="308">
        <v>0.2</v>
      </c>
      <c r="E10" s="307">
        <v>0.71</v>
      </c>
    </row>
    <row r="11" spans="1:5" ht="12.75" customHeight="1" x14ac:dyDescent="0.3">
      <c r="A11" s="308">
        <v>210</v>
      </c>
      <c r="B11" s="307">
        <v>210.16</v>
      </c>
      <c r="C11" s="307">
        <v>0.25</v>
      </c>
      <c r="D11" s="308">
        <v>0.2</v>
      </c>
      <c r="E11" s="307">
        <v>0.75</v>
      </c>
    </row>
    <row r="12" spans="1:5" ht="12.75" customHeight="1" x14ac:dyDescent="0.3">
      <c r="A12" s="308">
        <v>240</v>
      </c>
      <c r="B12" s="308">
        <v>240</v>
      </c>
      <c r="C12" s="307">
        <v>0.24</v>
      </c>
      <c r="D12" s="307">
        <v>0.21</v>
      </c>
      <c r="E12" s="307">
        <v>0.74</v>
      </c>
    </row>
    <row r="13" spans="1:5" ht="12.75" customHeight="1" x14ac:dyDescent="0.3">
      <c r="A13" s="308">
        <v>270</v>
      </c>
      <c r="B13" s="308">
        <v>270</v>
      </c>
      <c r="C13" s="307">
        <v>0.21</v>
      </c>
      <c r="D13" s="307">
        <v>0.05</v>
      </c>
      <c r="E13" s="307">
        <v>0.37</v>
      </c>
    </row>
    <row r="14" spans="1:5" ht="12.75" customHeight="1" x14ac:dyDescent="0.3">
      <c r="A14" s="309">
        <v>299.5</v>
      </c>
      <c r="B14" s="309">
        <v>299.5</v>
      </c>
      <c r="C14" s="310">
        <v>0.23</v>
      </c>
      <c r="D14" s="310">
        <v>0.06</v>
      </c>
      <c r="E14" s="310">
        <v>0.36</v>
      </c>
    </row>
    <row r="15" spans="1:5" ht="12.75" customHeight="1" x14ac:dyDescent="0.3"/>
    <row r="16" spans="1:5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</sheetData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D7CC-E0D3-4543-A26F-00609BEC7B58}">
  <dimension ref="A1"/>
  <sheetViews>
    <sheetView topLeftCell="A43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0129-A280-4970-8F0E-3414C9AED415}">
  <dimension ref="A1"/>
  <sheetViews>
    <sheetView topLeftCell="A3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000"/>
  <sheetViews>
    <sheetView workbookViewId="0">
      <selection activeCell="AN5" sqref="AN5"/>
    </sheetView>
  </sheetViews>
  <sheetFormatPr defaultColWidth="12.5546875" defaultRowHeight="15" customHeight="1" x14ac:dyDescent="0.3"/>
  <cols>
    <col min="1" max="1" width="8" customWidth="1"/>
    <col min="2" max="6" width="10.5546875" customWidth="1"/>
    <col min="7" max="7" width="9.44140625" hidden="1" customWidth="1"/>
    <col min="8" max="8" width="10.44140625" hidden="1" customWidth="1"/>
    <col min="9" max="9" width="8" hidden="1" customWidth="1"/>
    <col min="10" max="11" width="9.88671875" hidden="1" customWidth="1"/>
    <col min="12" max="12" width="9.44140625" hidden="1" customWidth="1"/>
    <col min="13" max="13" width="10.44140625" hidden="1" customWidth="1"/>
    <col min="14" max="21" width="8" hidden="1" customWidth="1"/>
    <col min="22" max="22" width="10.88671875" hidden="1" customWidth="1"/>
    <col min="23" max="26" width="8" hidden="1" customWidth="1"/>
    <col min="27" max="27" width="10.33203125" hidden="1" customWidth="1"/>
    <col min="28" max="31" width="8" hidden="1" customWidth="1"/>
    <col min="32" max="32" width="3" customWidth="1"/>
    <col min="33" max="34" width="13.33203125" hidden="1" customWidth="1"/>
    <col min="35" max="35" width="12.44140625" hidden="1" customWidth="1"/>
    <col min="36" max="37" width="8" customWidth="1"/>
    <col min="38" max="38" width="13.109375" hidden="1" customWidth="1"/>
    <col min="39" max="39" width="12.44140625" customWidth="1"/>
    <col min="40" max="42" width="8" customWidth="1"/>
  </cols>
  <sheetData>
    <row r="1" spans="1:42" ht="12.75" customHeight="1" x14ac:dyDescent="0.3">
      <c r="A1" s="252" t="s">
        <v>127</v>
      </c>
      <c r="B1" s="267">
        <v>45713</v>
      </c>
      <c r="C1" s="252"/>
      <c r="D1" s="252"/>
      <c r="E1" s="252"/>
      <c r="F1" s="252">
        <f>B1-G1</f>
        <v>498</v>
      </c>
      <c r="G1" s="251">
        <v>45215</v>
      </c>
      <c r="K1" s="252">
        <f>G1-L1</f>
        <v>769</v>
      </c>
      <c r="L1" s="251">
        <v>44446</v>
      </c>
      <c r="P1" s="252">
        <f>L1-Q1</f>
        <v>802</v>
      </c>
      <c r="Q1" s="251">
        <v>43644</v>
      </c>
      <c r="U1" s="252">
        <f>Q1-V1</f>
        <v>1186</v>
      </c>
      <c r="V1" s="267">
        <v>42458</v>
      </c>
      <c r="Z1" s="252">
        <f>V1-AA1</f>
        <v>1776</v>
      </c>
      <c r="AA1" s="267">
        <v>40682</v>
      </c>
      <c r="AK1" s="252">
        <f>P1</f>
        <v>802</v>
      </c>
    </row>
    <row r="2" spans="1:42" ht="23.25" customHeight="1" x14ac:dyDescent="0.45">
      <c r="V2" s="268" t="s">
        <v>128</v>
      </c>
      <c r="W2" s="428" t="s">
        <v>125</v>
      </c>
      <c r="X2" s="429"/>
      <c r="Y2" s="428" t="s">
        <v>126</v>
      </c>
      <c r="Z2" s="429"/>
      <c r="AA2" s="268" t="s">
        <v>128</v>
      </c>
      <c r="AB2" s="428" t="s">
        <v>125</v>
      </c>
      <c r="AC2" s="429"/>
      <c r="AD2" s="428" t="s">
        <v>126</v>
      </c>
      <c r="AE2" s="429"/>
      <c r="AK2" s="434">
        <f>AVERAGE(Z1,U1,P1,K1,F1)</f>
        <v>1006.2</v>
      </c>
      <c r="AL2" s="345"/>
      <c r="AM2" s="345"/>
      <c r="AN2" s="345"/>
    </row>
    <row r="3" spans="1:42" ht="12.75" customHeight="1" x14ac:dyDescent="0.3">
      <c r="C3" t="s">
        <v>217</v>
      </c>
      <c r="E3" t="s">
        <v>131</v>
      </c>
      <c r="H3" s="252" t="s">
        <v>129</v>
      </c>
      <c r="I3" s="252"/>
      <c r="J3" s="252" t="s">
        <v>131</v>
      </c>
      <c r="K3" s="252"/>
      <c r="M3" s="252" t="s">
        <v>129</v>
      </c>
      <c r="N3" s="252" t="s">
        <v>130</v>
      </c>
      <c r="O3" s="252" t="s">
        <v>131</v>
      </c>
      <c r="P3" s="252" t="s">
        <v>132</v>
      </c>
      <c r="T3" s="252" t="s">
        <v>129</v>
      </c>
      <c r="U3" s="252" t="s">
        <v>130</v>
      </c>
      <c r="W3" s="252" t="s">
        <v>129</v>
      </c>
      <c r="X3" s="252" t="s">
        <v>130</v>
      </c>
      <c r="AN3" s="269" t="s">
        <v>123</v>
      </c>
      <c r="AO3" s="270"/>
      <c r="AP3" s="271"/>
    </row>
    <row r="4" spans="1:42" ht="28.5" customHeight="1" x14ac:dyDescent="0.3">
      <c r="A4" s="430" t="s">
        <v>2</v>
      </c>
      <c r="B4" s="110"/>
      <c r="C4" s="110"/>
      <c r="D4" s="110"/>
      <c r="E4" s="110"/>
      <c r="F4" s="110"/>
      <c r="G4" s="110"/>
      <c r="H4" s="110"/>
      <c r="I4" s="110"/>
      <c r="J4" s="110"/>
      <c r="K4" s="111"/>
      <c r="L4" s="110"/>
      <c r="M4" s="110"/>
      <c r="N4" s="110"/>
      <c r="O4" s="110"/>
      <c r="P4" s="111"/>
      <c r="Q4" s="272">
        <v>-200</v>
      </c>
      <c r="R4" s="272">
        <v>-0.02</v>
      </c>
      <c r="S4" s="272">
        <v>0.21</v>
      </c>
      <c r="T4" s="433">
        <v>0.23</v>
      </c>
      <c r="U4" s="433">
        <v>0.15</v>
      </c>
      <c r="V4" s="272">
        <v>-200</v>
      </c>
      <c r="W4" s="272">
        <v>-0.02</v>
      </c>
      <c r="X4" s="272">
        <v>0.21</v>
      </c>
      <c r="Y4" s="433">
        <v>0.23</v>
      </c>
      <c r="Z4" s="433">
        <v>0.15</v>
      </c>
      <c r="AA4" s="272">
        <v>-200</v>
      </c>
      <c r="AB4" s="272">
        <v>-0.02</v>
      </c>
      <c r="AC4" s="272">
        <v>0.01</v>
      </c>
      <c r="AD4" s="433">
        <v>0.02</v>
      </c>
      <c r="AE4" s="433">
        <v>0.02</v>
      </c>
      <c r="AG4">
        <f>ABS(C4-H4)/F$1</f>
        <v>0</v>
      </c>
      <c r="AH4" s="252">
        <f>ABS(H4-M4)/K$1</f>
        <v>0</v>
      </c>
      <c r="AI4" s="252">
        <f>ABS(M4-R4)/P$1</f>
        <v>2.4937655860349129E-5</v>
      </c>
      <c r="AJ4" s="252">
        <f>ABS(R4-W4)/U$1</f>
        <v>0</v>
      </c>
      <c r="AK4" s="252">
        <f>ABS(W4-AB4)/Z$1</f>
        <v>0</v>
      </c>
      <c r="AM4" s="252">
        <f>(ABS(AG4)+ABS(AH4)+ABS(AK4)+ABS(AJ4)+ABS(AI4))/5</f>
        <v>4.9875311720698261E-6</v>
      </c>
      <c r="AN4" s="269">
        <f t="shared" ref="AN4:AN21" si="0">AM4*AK$2</f>
        <v>5.0184538653366591E-3</v>
      </c>
      <c r="AO4" s="270"/>
      <c r="AP4" s="271"/>
    </row>
    <row r="5" spans="1:42" ht="28.5" customHeight="1" x14ac:dyDescent="0.3">
      <c r="A5" s="431"/>
      <c r="B5" s="273">
        <f>B26</f>
        <v>-199.96</v>
      </c>
      <c r="C5" s="274">
        <f>C26</f>
        <v>-7.4999999999988631E-2</v>
      </c>
      <c r="D5" s="275"/>
      <c r="E5" s="273">
        <f>D26</f>
        <v>8.0625604879408674E-2</v>
      </c>
      <c r="F5" s="275"/>
      <c r="G5" s="112">
        <v>-199.74</v>
      </c>
      <c r="H5" s="112">
        <v>-0.28999999999999998</v>
      </c>
      <c r="I5" s="112"/>
      <c r="J5" s="112">
        <v>0.09</v>
      </c>
      <c r="K5" s="114"/>
      <c r="L5" s="112">
        <v>-197.97</v>
      </c>
      <c r="M5" s="112">
        <v>-7.0000000000000007E-2</v>
      </c>
      <c r="N5" s="112"/>
      <c r="O5" s="113">
        <f>O27</f>
        <v>7.9122022758338892E-2</v>
      </c>
      <c r="P5" s="114"/>
      <c r="Q5" s="272"/>
      <c r="R5" s="272"/>
      <c r="S5" s="272"/>
      <c r="T5" s="431"/>
      <c r="U5" s="431"/>
      <c r="V5" s="272"/>
      <c r="W5" s="272"/>
      <c r="X5" s="272"/>
      <c r="Y5" s="431"/>
      <c r="Z5" s="431"/>
      <c r="AA5" s="272"/>
      <c r="AB5" s="272"/>
      <c r="AC5" s="272"/>
      <c r="AD5" s="431"/>
      <c r="AE5" s="431"/>
      <c r="AG5">
        <f t="shared" ref="AG5:AG21" si="1">ABS(C5-H5)/F$1</f>
        <v>4.3172690763054489E-4</v>
      </c>
      <c r="AH5" s="252">
        <f t="shared" ref="AH5:AH21" si="2">ABS(H5-M5)/K$1</f>
        <v>2.8608582574772426E-4</v>
      </c>
      <c r="AI5" s="252">
        <f t="shared" ref="AI5:AI21" si="3">ABS(M5-R5)/P$1</f>
        <v>8.7281795511221953E-5</v>
      </c>
      <c r="AJ5" s="252">
        <f t="shared" ref="AJ5:AJ21" si="4">ABS(R5-W5)/U$1</f>
        <v>0</v>
      </c>
      <c r="AK5" s="252">
        <f t="shared" ref="AK5:AK21" si="5">ABS(W5-AB5)/Z$1</f>
        <v>0</v>
      </c>
      <c r="AM5" s="252">
        <f t="shared" ref="AM5:AM21" si="6">(ABS(AG5)+ABS(AH5)+ABS(AK5)+ABS(AJ5)+ABS(AI5))/5</f>
        <v>1.6101890577789821E-4</v>
      </c>
      <c r="AN5" s="269">
        <f t="shared" si="0"/>
        <v>0.16201722299372118</v>
      </c>
      <c r="AO5" s="270"/>
      <c r="AP5" s="271"/>
    </row>
    <row r="6" spans="1:42" ht="28.5" customHeight="1" x14ac:dyDescent="0.3">
      <c r="A6" s="431"/>
      <c r="B6" s="275">
        <f>G6</f>
        <v>-150</v>
      </c>
      <c r="C6" s="274">
        <f>(B6-B27)/(B28-B27)*(C28-C27)+C27</f>
        <v>-8.4970017989214441E-2</v>
      </c>
      <c r="D6" s="275"/>
      <c r="E6" s="273">
        <f t="shared" ref="E6:E21" si="7">D27</f>
        <v>8.6687662954616121E-2</v>
      </c>
      <c r="F6" s="275"/>
      <c r="G6" s="112">
        <v>-150</v>
      </c>
      <c r="H6" s="113">
        <v>-0.3</v>
      </c>
      <c r="I6" s="112"/>
      <c r="J6" s="112">
        <v>0.09</v>
      </c>
      <c r="K6" s="114"/>
      <c r="L6" s="112">
        <v>-150</v>
      </c>
      <c r="M6" s="113">
        <f>(L6-M27)/(M28-M27)*(N28-N27)+N27</f>
        <v>-8.9980007996801281E-2</v>
      </c>
      <c r="N6" s="112"/>
      <c r="O6" s="113">
        <f>(L6-M27)/(M28-M27)*(O28-O27)+O27</f>
        <v>8.2197571098000022E-2</v>
      </c>
      <c r="P6" s="114"/>
      <c r="Q6" s="272">
        <v>-150</v>
      </c>
      <c r="R6" s="272">
        <v>-0.03</v>
      </c>
      <c r="S6" s="272">
        <v>0.2</v>
      </c>
      <c r="T6" s="431"/>
      <c r="U6" s="431"/>
      <c r="V6" s="272">
        <v>-150</v>
      </c>
      <c r="W6" s="272">
        <v>-0.03</v>
      </c>
      <c r="X6" s="272">
        <v>0.2</v>
      </c>
      <c r="Y6" s="431"/>
      <c r="Z6" s="431"/>
      <c r="AA6" s="272">
        <v>-150</v>
      </c>
      <c r="AB6" s="272">
        <v>-0.04</v>
      </c>
      <c r="AC6" s="272">
        <v>0.01</v>
      </c>
      <c r="AD6" s="431"/>
      <c r="AE6" s="431"/>
      <c r="AG6">
        <f t="shared" si="1"/>
        <v>4.3178711247145694E-4</v>
      </c>
      <c r="AH6" s="252">
        <f t="shared" si="2"/>
        <v>2.7310792198075257E-4</v>
      </c>
      <c r="AI6" s="252">
        <f t="shared" si="3"/>
        <v>7.4788039896260953E-5</v>
      </c>
      <c r="AJ6" s="252">
        <f t="shared" si="4"/>
        <v>0</v>
      </c>
      <c r="AK6" s="252">
        <f t="shared" si="5"/>
        <v>5.6306306306306316E-6</v>
      </c>
      <c r="AM6" s="252">
        <f t="shared" si="6"/>
        <v>1.5706274099582023E-4</v>
      </c>
      <c r="AN6" s="276">
        <f t="shared" si="0"/>
        <v>0.15803652998999432</v>
      </c>
      <c r="AO6" s="270"/>
      <c r="AP6" s="271"/>
    </row>
    <row r="7" spans="1:42" ht="28.5" customHeight="1" x14ac:dyDescent="0.3">
      <c r="A7" s="431"/>
      <c r="B7" s="275">
        <f t="shared" ref="B7:B21" si="8">G7</f>
        <v>-100</v>
      </c>
      <c r="C7" s="274">
        <f t="shared" ref="C7:C21" si="9">(B7-B28)/(B29-B28)*(C29-C28)+C28</f>
        <v>-0.11497600479903507</v>
      </c>
      <c r="D7" s="275"/>
      <c r="E7" s="273">
        <f t="shared" si="7"/>
        <v>8.6631675139311373E-2</v>
      </c>
      <c r="F7" s="275"/>
      <c r="G7" s="112">
        <v>-100</v>
      </c>
      <c r="H7" s="113">
        <v>-0.32</v>
      </c>
      <c r="I7" s="112"/>
      <c r="J7" s="112">
        <v>0.09</v>
      </c>
      <c r="K7" s="114"/>
      <c r="L7" s="112">
        <v>-100</v>
      </c>
      <c r="M7" s="113">
        <f t="shared" ref="M7:M8" si="10">(L7-M27)/(M28-M27)*(N28-N27)+N27</f>
        <v>-0.1099720111955218</v>
      </c>
      <c r="N7" s="112"/>
      <c r="O7" s="113">
        <f>(L7-M27)/(M28-M27)*(O28-O27)+O27</f>
        <v>8.527496587452707E-2</v>
      </c>
      <c r="P7" s="114"/>
      <c r="Q7" s="272">
        <v>-100</v>
      </c>
      <c r="R7" s="272">
        <v>-0.05</v>
      </c>
      <c r="S7" s="272">
        <v>0.2</v>
      </c>
      <c r="T7" s="431"/>
      <c r="U7" s="431"/>
      <c r="V7" s="272">
        <v>-100</v>
      </c>
      <c r="W7" s="272">
        <v>-0.05</v>
      </c>
      <c r="X7" s="272">
        <v>0.2</v>
      </c>
      <c r="Y7" s="431"/>
      <c r="Z7" s="431"/>
      <c r="AA7" s="272">
        <v>-100</v>
      </c>
      <c r="AB7" s="272">
        <v>-0.05</v>
      </c>
      <c r="AC7" s="272">
        <v>0.01</v>
      </c>
      <c r="AD7" s="431"/>
      <c r="AE7" s="431"/>
      <c r="AG7">
        <f t="shared" si="1"/>
        <v>4.1169476947984924E-4</v>
      </c>
      <c r="AH7" s="252">
        <f t="shared" si="2"/>
        <v>2.7311832094210431E-4</v>
      </c>
      <c r="AI7" s="252">
        <f t="shared" si="3"/>
        <v>7.4778068822346376E-5</v>
      </c>
      <c r="AJ7" s="252">
        <f t="shared" si="4"/>
        <v>0</v>
      </c>
      <c r="AK7" s="252">
        <f t="shared" si="5"/>
        <v>0</v>
      </c>
      <c r="AM7" s="252">
        <f t="shared" si="6"/>
        <v>1.5191823184886001E-4</v>
      </c>
      <c r="AN7" s="276">
        <f t="shared" si="0"/>
        <v>0.15286012488632295</v>
      </c>
      <c r="AO7" s="270"/>
      <c r="AP7" s="271"/>
    </row>
    <row r="8" spans="1:42" ht="28.5" customHeight="1" x14ac:dyDescent="0.3">
      <c r="A8" s="431"/>
      <c r="B8" s="275">
        <f t="shared" si="8"/>
        <v>-50</v>
      </c>
      <c r="C8" s="274">
        <f t="shared" si="9"/>
        <v>-0.12996221209213307</v>
      </c>
      <c r="D8" s="275"/>
      <c r="E8" s="273">
        <f t="shared" si="7"/>
        <v>9.0662259450349419E-2</v>
      </c>
      <c r="F8" s="275"/>
      <c r="G8" s="112">
        <v>-50</v>
      </c>
      <c r="H8" s="113">
        <v>-0.24</v>
      </c>
      <c r="I8" s="112"/>
      <c r="J8" s="112">
        <v>0.09</v>
      </c>
      <c r="K8" s="114"/>
      <c r="L8" s="112">
        <v>-50</v>
      </c>
      <c r="M8" s="113">
        <f t="shared" si="10"/>
        <v>-0.13495501799280288</v>
      </c>
      <c r="N8" s="112"/>
      <c r="O8" s="113">
        <f>(L8-M28)/(M29-M28)*(O29-O28)+O28</f>
        <v>8.7238902139587862E-2</v>
      </c>
      <c r="P8" s="114"/>
      <c r="Q8" s="272">
        <v>-50</v>
      </c>
      <c r="R8" s="272">
        <v>-0.08</v>
      </c>
      <c r="S8" s="272">
        <v>0.21</v>
      </c>
      <c r="T8" s="431"/>
      <c r="U8" s="431"/>
      <c r="V8" s="272">
        <v>-50</v>
      </c>
      <c r="W8" s="272">
        <v>-0.08</v>
      </c>
      <c r="X8" s="272">
        <v>0.21</v>
      </c>
      <c r="Y8" s="431"/>
      <c r="Z8" s="431"/>
      <c r="AA8" s="272">
        <v>-50</v>
      </c>
      <c r="AB8" s="272">
        <v>-7.0000000000000007E-2</v>
      </c>
      <c r="AC8" s="272">
        <v>0.01</v>
      </c>
      <c r="AD8" s="432"/>
      <c r="AE8" s="432"/>
      <c r="AG8">
        <f t="shared" si="1"/>
        <v>2.2095941346961229E-4</v>
      </c>
      <c r="AH8" s="252">
        <f t="shared" si="2"/>
        <v>1.3659945644629013E-4</v>
      </c>
      <c r="AI8" s="252">
        <f t="shared" si="3"/>
        <v>6.8522466325190613E-5</v>
      </c>
      <c r="AJ8" s="252">
        <f t="shared" si="4"/>
        <v>0</v>
      </c>
      <c r="AK8" s="252">
        <f t="shared" si="5"/>
        <v>5.6306306306306282E-6</v>
      </c>
      <c r="AM8" s="252">
        <f t="shared" si="6"/>
        <v>8.634239337434473E-5</v>
      </c>
      <c r="AN8" s="276">
        <f t="shared" si="0"/>
        <v>8.6877716213265677E-2</v>
      </c>
      <c r="AO8" s="270"/>
      <c r="AP8" s="271"/>
    </row>
    <row r="9" spans="1:42" ht="28.5" customHeight="1" x14ac:dyDescent="0.3">
      <c r="A9" s="431"/>
      <c r="B9" s="275">
        <f t="shared" si="8"/>
        <v>0</v>
      </c>
      <c r="C9" s="274">
        <f t="shared" si="9"/>
        <v>-0.15092664488148061</v>
      </c>
      <c r="D9" s="275"/>
      <c r="E9" s="273">
        <f t="shared" si="7"/>
        <v>9.0811203323996212E-2</v>
      </c>
      <c r="F9" s="275"/>
      <c r="G9" s="112">
        <v>0</v>
      </c>
      <c r="H9" s="113">
        <v>-0.15</v>
      </c>
      <c r="I9" s="112"/>
      <c r="J9" s="112">
        <v>0.14000000000000001</v>
      </c>
      <c r="K9" s="114"/>
      <c r="L9" s="112">
        <v>0</v>
      </c>
      <c r="M9" s="113">
        <f t="shared" ref="M9:M10" si="11">(L9-M28)/(M29-M28)*(N29-N28)+N28</f>
        <v>-0.15994502199120353</v>
      </c>
      <c r="N9" s="112"/>
      <c r="O9" s="113">
        <f>(L9-M29)/(M30-M29)*(O30-O29)+O29</f>
        <v>8.9194790710201602E-2</v>
      </c>
      <c r="P9" s="114"/>
      <c r="Q9" s="272">
        <v>0</v>
      </c>
      <c r="R9" s="272">
        <v>-0.1</v>
      </c>
      <c r="S9" s="272">
        <v>0.21</v>
      </c>
      <c r="T9" s="431"/>
      <c r="U9" s="431"/>
      <c r="V9" s="272">
        <v>0</v>
      </c>
      <c r="W9" s="272">
        <v>-0.1</v>
      </c>
      <c r="X9" s="272">
        <v>0.21</v>
      </c>
      <c r="Y9" s="431"/>
      <c r="Z9" s="431"/>
      <c r="AA9" s="272">
        <v>0</v>
      </c>
      <c r="AB9" s="272">
        <v>-7.0000000000000007E-2</v>
      </c>
      <c r="AC9" s="272">
        <v>0.02</v>
      </c>
      <c r="AD9" s="433">
        <v>0.03</v>
      </c>
      <c r="AE9" s="433">
        <v>0.02</v>
      </c>
      <c r="AG9">
        <f t="shared" si="1"/>
        <v>1.8607326937361747E-6</v>
      </c>
      <c r="AH9" s="252">
        <f t="shared" si="2"/>
        <v>1.2932408311057912E-5</v>
      </c>
      <c r="AI9" s="252">
        <f t="shared" si="3"/>
        <v>7.4744416447884696E-5</v>
      </c>
      <c r="AJ9" s="252">
        <f t="shared" si="4"/>
        <v>0</v>
      </c>
      <c r="AK9" s="252">
        <f t="shared" si="5"/>
        <v>1.6891891891891892E-5</v>
      </c>
      <c r="AM9" s="252">
        <f t="shared" si="6"/>
        <v>2.1285889868914135E-5</v>
      </c>
      <c r="AN9" s="276">
        <f t="shared" si="0"/>
        <v>2.1417862386101404E-2</v>
      </c>
      <c r="AO9" s="270"/>
      <c r="AP9" s="271"/>
    </row>
    <row r="10" spans="1:42" ht="28.5" customHeight="1" x14ac:dyDescent="0.3">
      <c r="A10" s="431"/>
      <c r="B10" s="275">
        <f t="shared" si="8"/>
        <v>50</v>
      </c>
      <c r="C10" s="274">
        <f t="shared" si="9"/>
        <v>-0.18559525594881193</v>
      </c>
      <c r="D10" s="275"/>
      <c r="E10" s="275">
        <f t="shared" si="7"/>
        <v>0.14000000000000001</v>
      </c>
      <c r="F10" s="275"/>
      <c r="G10" s="112">
        <v>50</v>
      </c>
      <c r="H10" s="113">
        <v>-0.17</v>
      </c>
      <c r="I10" s="112"/>
      <c r="J10" s="112">
        <v>0.14000000000000001</v>
      </c>
      <c r="K10" s="114"/>
      <c r="L10" s="112">
        <v>50</v>
      </c>
      <c r="M10" s="113">
        <f t="shared" si="11"/>
        <v>-0.16</v>
      </c>
      <c r="N10" s="112"/>
      <c r="O10" s="113">
        <f>(L10-M30)/(M31-M30)*(O31-O30)+O30</f>
        <v>9.4201523658530656E-2</v>
      </c>
      <c r="P10" s="114"/>
      <c r="Q10" s="272">
        <v>50</v>
      </c>
      <c r="R10" s="272">
        <v>-0.11</v>
      </c>
      <c r="S10" s="272">
        <v>0.22</v>
      </c>
      <c r="T10" s="431"/>
      <c r="U10" s="431"/>
      <c r="V10" s="272">
        <v>50</v>
      </c>
      <c r="W10" s="272">
        <v>-0.11</v>
      </c>
      <c r="X10" s="272">
        <v>0.22</v>
      </c>
      <c r="Y10" s="431"/>
      <c r="Z10" s="431"/>
      <c r="AA10" s="272">
        <v>50</v>
      </c>
      <c r="AB10" s="272">
        <v>-0.09</v>
      </c>
      <c r="AC10" s="272">
        <v>1.4999999999999999E-2</v>
      </c>
      <c r="AD10" s="431"/>
      <c r="AE10" s="431"/>
      <c r="AG10">
        <f t="shared" si="1"/>
        <v>3.1315774997614295E-5</v>
      </c>
      <c r="AH10" s="252">
        <f t="shared" si="2"/>
        <v>1.3003901170351116E-5</v>
      </c>
      <c r="AI10" s="252">
        <f t="shared" si="3"/>
        <v>6.2344139650872827E-5</v>
      </c>
      <c r="AJ10" s="252">
        <f t="shared" si="4"/>
        <v>0</v>
      </c>
      <c r="AK10" s="252">
        <f t="shared" si="5"/>
        <v>1.1261261261261263E-5</v>
      </c>
      <c r="AM10" s="252">
        <f t="shared" si="6"/>
        <v>2.35850154160199E-5</v>
      </c>
      <c r="AN10" s="276">
        <f t="shared" si="0"/>
        <v>2.3731242511599224E-2</v>
      </c>
      <c r="AO10" s="270"/>
      <c r="AP10" s="271"/>
    </row>
    <row r="11" spans="1:42" ht="28.5" customHeight="1" x14ac:dyDescent="0.3">
      <c r="A11" s="431"/>
      <c r="B11" s="275">
        <f t="shared" si="8"/>
        <v>100</v>
      </c>
      <c r="C11" s="274">
        <f t="shared" si="9"/>
        <v>-0.19624812500000627</v>
      </c>
      <c r="D11" s="275"/>
      <c r="E11" s="275">
        <f t="shared" si="7"/>
        <v>0.14000000000000001</v>
      </c>
      <c r="F11" s="275"/>
      <c r="G11" s="112">
        <v>100</v>
      </c>
      <c r="H11" s="113">
        <v>-0.2</v>
      </c>
      <c r="I11" s="112"/>
      <c r="J11" s="112">
        <v>0.14000000000000001</v>
      </c>
      <c r="K11" s="114"/>
      <c r="L11" s="112">
        <v>100</v>
      </c>
      <c r="M11" s="113">
        <f t="shared" ref="M11:M12" si="12">(L11-M29)/(M30-M29)*(N30-N29)+N29</f>
        <v>-0.16</v>
      </c>
      <c r="N11" s="112"/>
      <c r="O11" s="113">
        <f>(L11-M31)/(M32-M31)*(O32-O31)+O31</f>
        <v>9.3995354384563218E-2</v>
      </c>
      <c r="P11" s="114"/>
      <c r="Q11" s="272">
        <v>100</v>
      </c>
      <c r="R11" s="272">
        <v>-0.12</v>
      </c>
      <c r="S11" s="272">
        <v>0.21</v>
      </c>
      <c r="T11" s="431"/>
      <c r="U11" s="431"/>
      <c r="V11" s="272">
        <v>100</v>
      </c>
      <c r="W11" s="272">
        <v>-0.12</v>
      </c>
      <c r="X11" s="272">
        <v>0.21</v>
      </c>
      <c r="Y11" s="431"/>
      <c r="Z11" s="431"/>
      <c r="AA11" s="272">
        <v>100</v>
      </c>
      <c r="AB11" s="272">
        <v>-0.1</v>
      </c>
      <c r="AC11" s="272">
        <v>0.01</v>
      </c>
      <c r="AD11" s="431"/>
      <c r="AE11" s="431"/>
      <c r="AG11">
        <f t="shared" si="1"/>
        <v>7.5338855421561101E-6</v>
      </c>
      <c r="AH11" s="252">
        <f t="shared" si="2"/>
        <v>5.2015604681404431E-5</v>
      </c>
      <c r="AI11" s="252">
        <f t="shared" si="3"/>
        <v>4.9875311720698264E-5</v>
      </c>
      <c r="AJ11" s="252">
        <f t="shared" si="4"/>
        <v>0</v>
      </c>
      <c r="AK11" s="252">
        <f t="shared" si="5"/>
        <v>1.1261261261261256E-5</v>
      </c>
      <c r="AM11" s="252">
        <f t="shared" si="6"/>
        <v>2.4137212641104011E-5</v>
      </c>
      <c r="AN11" s="276">
        <f t="shared" si="0"/>
        <v>2.4286863359478855E-2</v>
      </c>
      <c r="AO11" s="270"/>
      <c r="AP11" s="271"/>
    </row>
    <row r="12" spans="1:42" ht="28.5" customHeight="1" x14ac:dyDescent="0.3">
      <c r="A12" s="431"/>
      <c r="B12" s="275">
        <f t="shared" si="8"/>
        <v>150</v>
      </c>
      <c r="C12" s="274">
        <f t="shared" si="9"/>
        <v>-0.19672327672328241</v>
      </c>
      <c r="D12" s="275"/>
      <c r="E12" s="275">
        <f t="shared" si="7"/>
        <v>0.14000000000000001</v>
      </c>
      <c r="F12" s="275"/>
      <c r="G12" s="112">
        <v>150</v>
      </c>
      <c r="H12" s="113">
        <v>-0.2</v>
      </c>
      <c r="I12" s="112"/>
      <c r="J12" s="112">
        <v>0.14000000000000001</v>
      </c>
      <c r="K12" s="114"/>
      <c r="L12" s="112">
        <v>150</v>
      </c>
      <c r="M12" s="113">
        <f t="shared" si="12"/>
        <v>-0.17994601619514147</v>
      </c>
      <c r="N12" s="112"/>
      <c r="O12" s="113">
        <f>(L12-M30)/(M31-M30)*(O31-O30)+O30</f>
        <v>0.10383195796823505</v>
      </c>
      <c r="P12" s="114"/>
      <c r="Q12" s="272">
        <v>150</v>
      </c>
      <c r="R12" s="272">
        <v>-0.12</v>
      </c>
      <c r="S12" s="272">
        <v>0.21</v>
      </c>
      <c r="T12" s="431"/>
      <c r="U12" s="431"/>
      <c r="V12" s="272">
        <v>150</v>
      </c>
      <c r="W12" s="272">
        <v>-0.12</v>
      </c>
      <c r="X12" s="272">
        <v>0.21</v>
      </c>
      <c r="Y12" s="431"/>
      <c r="Z12" s="431"/>
      <c r="AA12" s="272">
        <v>150</v>
      </c>
      <c r="AB12" s="272">
        <v>-0.11</v>
      </c>
      <c r="AC12" s="272">
        <v>0</v>
      </c>
      <c r="AD12" s="431"/>
      <c r="AE12" s="431"/>
      <c r="AG12">
        <f t="shared" si="1"/>
        <v>6.5797656158987998E-6</v>
      </c>
      <c r="AH12" s="252">
        <f t="shared" si="2"/>
        <v>2.6078002347020205E-5</v>
      </c>
      <c r="AI12" s="252">
        <f t="shared" si="3"/>
        <v>7.4745656103667683E-5</v>
      </c>
      <c r="AJ12" s="252">
        <f t="shared" si="4"/>
        <v>0</v>
      </c>
      <c r="AK12" s="252">
        <f t="shared" si="5"/>
        <v>5.6306306306306282E-6</v>
      </c>
      <c r="AM12" s="252">
        <f t="shared" si="6"/>
        <v>2.2606810939443462E-5</v>
      </c>
      <c r="AN12" s="276">
        <f t="shared" si="0"/>
        <v>2.2746973167268012E-2</v>
      </c>
      <c r="AO12" s="270"/>
      <c r="AP12" s="271"/>
    </row>
    <row r="13" spans="1:42" ht="28.5" customHeight="1" x14ac:dyDescent="0.3">
      <c r="A13" s="431"/>
      <c r="B13" s="275">
        <f t="shared" si="8"/>
        <v>200</v>
      </c>
      <c r="C13" s="274">
        <f t="shared" si="9"/>
        <v>-0.24769769769769995</v>
      </c>
      <c r="D13" s="275"/>
      <c r="E13" s="275">
        <f t="shared" si="7"/>
        <v>0.14000000000000001</v>
      </c>
      <c r="F13" s="275"/>
      <c r="G13" s="112">
        <v>200</v>
      </c>
      <c r="H13" s="113">
        <v>-0.2</v>
      </c>
      <c r="I13" s="112"/>
      <c r="J13" s="112">
        <v>0.14000000000000001</v>
      </c>
      <c r="K13" s="114"/>
      <c r="L13" s="112">
        <v>200</v>
      </c>
      <c r="M13" s="113">
        <f t="shared" ref="M13:M14" si="13">(L13-M30)/(M31-M30)*(N31-N30)+N30</f>
        <v>-0.19994001799460162</v>
      </c>
      <c r="N13" s="112"/>
      <c r="O13" s="113">
        <f>(L13-M30)/(M31-M30)*(O31-O30)+O30</f>
        <v>0.10864717512308725</v>
      </c>
      <c r="P13" s="114"/>
      <c r="Q13" s="272">
        <v>200</v>
      </c>
      <c r="R13" s="272">
        <v>-0.12</v>
      </c>
      <c r="S13" s="272">
        <v>0.2</v>
      </c>
      <c r="T13" s="431"/>
      <c r="U13" s="431"/>
      <c r="V13" s="272">
        <v>200</v>
      </c>
      <c r="W13" s="272">
        <v>-0.12</v>
      </c>
      <c r="X13" s="272">
        <v>0.2</v>
      </c>
      <c r="Y13" s="431"/>
      <c r="Z13" s="431"/>
      <c r="AA13" s="272">
        <v>200</v>
      </c>
      <c r="AB13" s="272">
        <v>-0.12</v>
      </c>
      <c r="AC13" s="272">
        <v>0</v>
      </c>
      <c r="AD13" s="431"/>
      <c r="AE13" s="431"/>
      <c r="AG13">
        <f t="shared" si="1"/>
        <v>9.5778509433132401E-5</v>
      </c>
      <c r="AH13" s="252">
        <f t="shared" si="2"/>
        <v>7.8000007020013214E-8</v>
      </c>
      <c r="AI13" s="252">
        <f t="shared" si="3"/>
        <v>9.967583291097459E-5</v>
      </c>
      <c r="AJ13" s="252">
        <f t="shared" si="4"/>
        <v>0</v>
      </c>
      <c r="AK13" s="252">
        <f t="shared" si="5"/>
        <v>0</v>
      </c>
      <c r="AM13" s="252">
        <f t="shared" si="6"/>
        <v>3.9106468470225396E-5</v>
      </c>
      <c r="AN13" s="276">
        <f t="shared" si="0"/>
        <v>3.9348928574740795E-2</v>
      </c>
      <c r="AO13" s="270"/>
      <c r="AP13" s="271"/>
    </row>
    <row r="14" spans="1:42" ht="28.5" customHeight="1" x14ac:dyDescent="0.3">
      <c r="A14" s="431"/>
      <c r="B14" s="275">
        <f t="shared" si="8"/>
        <v>250</v>
      </c>
      <c r="C14" s="274">
        <f t="shared" si="9"/>
        <v>-0.19812312500000467</v>
      </c>
      <c r="D14" s="275"/>
      <c r="E14" s="275">
        <f t="shared" si="7"/>
        <v>0.14000000000000001</v>
      </c>
      <c r="F14" s="275"/>
      <c r="G14" s="112">
        <v>250</v>
      </c>
      <c r="H14" s="113">
        <v>-0.22</v>
      </c>
      <c r="I14" s="112"/>
      <c r="J14" s="112">
        <v>0.14000000000000001</v>
      </c>
      <c r="K14" s="114"/>
      <c r="L14" s="112">
        <v>250</v>
      </c>
      <c r="M14" s="113">
        <f t="shared" si="13"/>
        <v>-0.2</v>
      </c>
      <c r="N14" s="112"/>
      <c r="O14" s="113">
        <f>(L14-M31)/(M32-M31)*(O32-O31)+O31</f>
        <v>0.11596180429468093</v>
      </c>
      <c r="P14" s="114"/>
      <c r="Q14" s="272">
        <v>250</v>
      </c>
      <c r="R14" s="272">
        <v>-0.12</v>
      </c>
      <c r="S14" s="272">
        <v>0.19</v>
      </c>
      <c r="T14" s="431"/>
      <c r="U14" s="431"/>
      <c r="V14" s="272">
        <v>250</v>
      </c>
      <c r="W14" s="272">
        <v>-0.12</v>
      </c>
      <c r="X14" s="272">
        <v>0.19</v>
      </c>
      <c r="Y14" s="431"/>
      <c r="Z14" s="431"/>
      <c r="AA14" s="272">
        <v>250</v>
      </c>
      <c r="AB14" s="272">
        <v>-0.13</v>
      </c>
      <c r="AC14" s="272">
        <v>-0.01</v>
      </c>
      <c r="AD14" s="431"/>
      <c r="AE14" s="431"/>
      <c r="AG14">
        <f t="shared" si="1"/>
        <v>4.392946787147656E-5</v>
      </c>
      <c r="AH14" s="252">
        <f t="shared" si="2"/>
        <v>2.6007802340702199E-5</v>
      </c>
      <c r="AI14" s="252">
        <f t="shared" si="3"/>
        <v>9.9750623441396529E-5</v>
      </c>
      <c r="AJ14" s="252">
        <f t="shared" si="4"/>
        <v>0</v>
      </c>
      <c r="AK14" s="252">
        <f t="shared" si="5"/>
        <v>5.6306306306306358E-6</v>
      </c>
      <c r="AM14" s="252">
        <f t="shared" si="6"/>
        <v>3.5063704856841188E-5</v>
      </c>
      <c r="AN14" s="276">
        <f t="shared" si="0"/>
        <v>3.5281099826953606E-2</v>
      </c>
      <c r="AO14" s="270"/>
      <c r="AP14" s="271"/>
    </row>
    <row r="15" spans="1:42" ht="28.5" customHeight="1" x14ac:dyDescent="0.3">
      <c r="A15" s="431"/>
      <c r="B15" s="275">
        <f t="shared" si="8"/>
        <v>300</v>
      </c>
      <c r="C15" s="274">
        <f t="shared" si="9"/>
        <v>-0.19859827672323802</v>
      </c>
      <c r="D15" s="275"/>
      <c r="E15" s="275">
        <f t="shared" si="7"/>
        <v>0.14000000000000001</v>
      </c>
      <c r="F15" s="275"/>
      <c r="G15" s="112">
        <v>300</v>
      </c>
      <c r="H15" s="113">
        <v>-0.25</v>
      </c>
      <c r="I15" s="112"/>
      <c r="J15" s="112">
        <v>0.14000000000000001</v>
      </c>
      <c r="K15" s="114"/>
      <c r="L15" s="112">
        <v>300</v>
      </c>
      <c r="M15" s="113">
        <f t="shared" ref="M15:M16" si="14">(L15-M31)/(M32-M31)*(N32-N31)+N31</f>
        <v>-0.2</v>
      </c>
      <c r="N15" s="112"/>
      <c r="O15" s="113">
        <f>(L15-M31)/(M32-M31)*(O32-O31)+O31</f>
        <v>0.12328395426472016</v>
      </c>
      <c r="P15" s="114"/>
      <c r="Q15" s="272">
        <v>300</v>
      </c>
      <c r="R15" s="272">
        <v>-0.12</v>
      </c>
      <c r="S15" s="272">
        <v>0.19</v>
      </c>
      <c r="T15" s="431"/>
      <c r="U15" s="431"/>
      <c r="V15" s="272">
        <v>300</v>
      </c>
      <c r="W15" s="272">
        <v>-0.12</v>
      </c>
      <c r="X15" s="272">
        <v>0.19</v>
      </c>
      <c r="Y15" s="431"/>
      <c r="Z15" s="431"/>
      <c r="AA15" s="272">
        <v>300</v>
      </c>
      <c r="AB15" s="272">
        <v>-0.14000000000000001</v>
      </c>
      <c r="AC15" s="272">
        <v>-0.01</v>
      </c>
      <c r="AD15" s="431"/>
      <c r="AE15" s="431"/>
      <c r="AG15">
        <f t="shared" si="1"/>
        <v>1.0321631180072688E-4</v>
      </c>
      <c r="AH15" s="252">
        <f t="shared" si="2"/>
        <v>6.5019505851755512E-5</v>
      </c>
      <c r="AI15" s="252">
        <f t="shared" si="3"/>
        <v>9.9750623441396529E-5</v>
      </c>
      <c r="AJ15" s="252">
        <f t="shared" si="4"/>
        <v>0</v>
      </c>
      <c r="AK15" s="252">
        <f t="shared" si="5"/>
        <v>1.1261261261261272E-5</v>
      </c>
      <c r="AM15" s="252">
        <f t="shared" si="6"/>
        <v>5.584954047102804E-5</v>
      </c>
      <c r="AN15" s="276">
        <f t="shared" si="0"/>
        <v>5.6195807621948417E-2</v>
      </c>
      <c r="AO15" s="270"/>
      <c r="AP15" s="271"/>
    </row>
    <row r="16" spans="1:42" ht="28.5" customHeight="1" x14ac:dyDescent="0.3">
      <c r="A16" s="431"/>
      <c r="B16" s="275">
        <f t="shared" si="8"/>
        <v>350</v>
      </c>
      <c r="C16" s="274">
        <f t="shared" si="9"/>
        <v>-0.24937249999998631</v>
      </c>
      <c r="D16" s="275"/>
      <c r="E16" s="275">
        <f t="shared" si="7"/>
        <v>0.14000000000000001</v>
      </c>
      <c r="F16" s="275"/>
      <c r="G16" s="112">
        <v>350</v>
      </c>
      <c r="H16" s="113">
        <v>-0.25</v>
      </c>
      <c r="I16" s="112"/>
      <c r="J16" s="112">
        <v>0.14000000000000001</v>
      </c>
      <c r="K16" s="114"/>
      <c r="L16" s="112">
        <v>350</v>
      </c>
      <c r="M16" s="113">
        <f t="shared" si="14"/>
        <v>-0.22491254372813596</v>
      </c>
      <c r="N16" s="112"/>
      <c r="O16" s="113">
        <f>(L16-M32)/(M33-M32)*(O33-O32)+O32</f>
        <v>0.12582851207693743</v>
      </c>
      <c r="P16" s="114"/>
      <c r="Q16" s="272">
        <v>350</v>
      </c>
      <c r="R16" s="272">
        <v>-0.13</v>
      </c>
      <c r="S16" s="272">
        <v>0.19</v>
      </c>
      <c r="T16" s="431"/>
      <c r="U16" s="431"/>
      <c r="V16" s="272">
        <v>350</v>
      </c>
      <c r="W16" s="272">
        <v>-0.13</v>
      </c>
      <c r="X16" s="272">
        <v>0.19</v>
      </c>
      <c r="Y16" s="431"/>
      <c r="Z16" s="431"/>
      <c r="AA16" s="272">
        <v>350</v>
      </c>
      <c r="AB16" s="272">
        <v>-0.15</v>
      </c>
      <c r="AC16" s="272">
        <v>-0.02</v>
      </c>
      <c r="AD16" s="431"/>
      <c r="AE16" s="431"/>
      <c r="AG16">
        <f t="shared" si="1"/>
        <v>1.2600401606700532E-6</v>
      </c>
      <c r="AH16" s="252">
        <f t="shared" si="2"/>
        <v>3.2623480197482495E-5</v>
      </c>
      <c r="AI16" s="252">
        <f t="shared" si="3"/>
        <v>1.1834481761612962E-4</v>
      </c>
      <c r="AJ16" s="252">
        <f t="shared" si="4"/>
        <v>0</v>
      </c>
      <c r="AK16" s="252">
        <f t="shared" si="5"/>
        <v>1.1261261261261256E-5</v>
      </c>
      <c r="AM16" s="252">
        <f t="shared" si="6"/>
        <v>3.2697919847108682E-5</v>
      </c>
      <c r="AN16" s="276">
        <f t="shared" si="0"/>
        <v>3.2900646950160754E-2</v>
      </c>
      <c r="AO16" s="270"/>
      <c r="AP16" s="271"/>
    </row>
    <row r="17" spans="1:42" ht="28.5" customHeight="1" x14ac:dyDescent="0.3">
      <c r="A17" s="431"/>
      <c r="B17" s="275">
        <f t="shared" si="8"/>
        <v>400</v>
      </c>
      <c r="C17" s="274">
        <f t="shared" si="9"/>
        <v>-0.24980519480519489</v>
      </c>
      <c r="D17" s="275"/>
      <c r="E17" s="275">
        <f t="shared" si="7"/>
        <v>0.14000000000000001</v>
      </c>
      <c r="F17" s="275"/>
      <c r="G17" s="112">
        <v>400</v>
      </c>
      <c r="H17" s="113">
        <v>-0.25</v>
      </c>
      <c r="I17" s="112"/>
      <c r="J17" s="112">
        <v>0.14000000000000001</v>
      </c>
      <c r="K17" s="114"/>
      <c r="L17" s="112">
        <v>400</v>
      </c>
      <c r="M17" s="113">
        <f t="shared" ref="M17:M18" si="15">(L17-M32)/(M33-M32)*(N33-N32)+N32</f>
        <v>-0.2499000499750125</v>
      </c>
      <c r="N17" s="112"/>
      <c r="O17" s="113">
        <f>(L17-M32)/(M33-M32)*(O33-O32)+O32</f>
        <v>0.12835869398496866</v>
      </c>
      <c r="P17" s="114"/>
      <c r="Q17" s="272">
        <v>400</v>
      </c>
      <c r="R17" s="272">
        <v>-0.15</v>
      </c>
      <c r="S17" s="272">
        <v>0.19</v>
      </c>
      <c r="T17" s="431"/>
      <c r="U17" s="431"/>
      <c r="V17" s="272">
        <v>400</v>
      </c>
      <c r="W17" s="272">
        <v>-0.15</v>
      </c>
      <c r="X17" s="272">
        <v>0.19</v>
      </c>
      <c r="Y17" s="431"/>
      <c r="Z17" s="431"/>
      <c r="AA17" s="272">
        <v>400</v>
      </c>
      <c r="AB17" s="272">
        <v>-0.17</v>
      </c>
      <c r="AC17" s="272">
        <v>-0.02</v>
      </c>
      <c r="AD17" s="431"/>
      <c r="AE17" s="431"/>
      <c r="AG17">
        <f t="shared" si="1"/>
        <v>3.9117508997009806E-7</v>
      </c>
      <c r="AH17" s="252">
        <f t="shared" si="2"/>
        <v>1.2997402469115684E-7</v>
      </c>
      <c r="AI17" s="252">
        <f t="shared" si="3"/>
        <v>1.2456365333542705E-4</v>
      </c>
      <c r="AJ17" s="252">
        <f t="shared" si="4"/>
        <v>0</v>
      </c>
      <c r="AK17" s="252">
        <f t="shared" si="5"/>
        <v>1.1261261261261272E-5</v>
      </c>
      <c r="AM17" s="252">
        <f t="shared" si="6"/>
        <v>2.7269212742269919E-5</v>
      </c>
      <c r="AN17" s="276">
        <f t="shared" si="0"/>
        <v>2.7438281861271993E-2</v>
      </c>
      <c r="AO17" s="270"/>
      <c r="AP17" s="271"/>
    </row>
    <row r="18" spans="1:42" ht="28.5" customHeight="1" x14ac:dyDescent="0.3">
      <c r="A18" s="431"/>
      <c r="B18" s="275">
        <f t="shared" si="8"/>
        <v>450</v>
      </c>
      <c r="C18" s="274">
        <f t="shared" si="9"/>
        <v>-0.29849400599399001</v>
      </c>
      <c r="D18" s="275"/>
      <c r="E18" s="273">
        <f t="shared" si="7"/>
        <v>0.18294028723230341</v>
      </c>
      <c r="F18" s="275"/>
      <c r="G18" s="112">
        <v>450</v>
      </c>
      <c r="H18" s="113">
        <v>-0.27</v>
      </c>
      <c r="I18" s="112"/>
      <c r="J18" s="112">
        <v>0.18</v>
      </c>
      <c r="K18" s="114"/>
      <c r="L18" s="112">
        <v>450</v>
      </c>
      <c r="M18" s="113">
        <f t="shared" si="15"/>
        <v>-0.2549790041991602</v>
      </c>
      <c r="N18" s="112"/>
      <c r="O18" s="113">
        <f>(L18-M33)/(M34-M33)*(O34-O33)+O33</f>
        <v>0.13648056780495502</v>
      </c>
      <c r="P18" s="114"/>
      <c r="Q18" s="272">
        <v>450</v>
      </c>
      <c r="R18" s="272">
        <v>-0.18</v>
      </c>
      <c r="S18" s="272">
        <v>0.2</v>
      </c>
      <c r="T18" s="431"/>
      <c r="U18" s="431"/>
      <c r="V18" s="272">
        <v>450</v>
      </c>
      <c r="W18" s="272">
        <v>-0.18</v>
      </c>
      <c r="X18" s="272">
        <v>0.2</v>
      </c>
      <c r="Y18" s="431"/>
      <c r="Z18" s="431"/>
      <c r="AA18" s="272">
        <v>450</v>
      </c>
      <c r="AB18" s="272">
        <v>-0.18</v>
      </c>
      <c r="AC18" s="272">
        <v>-0.03</v>
      </c>
      <c r="AD18" s="431"/>
      <c r="AE18" s="431"/>
      <c r="AG18">
        <f t="shared" si="1"/>
        <v>5.7216879506003998E-5</v>
      </c>
      <c r="AH18" s="252">
        <f t="shared" si="2"/>
        <v>1.9533154487437997E-5</v>
      </c>
      <c r="AI18" s="252">
        <f t="shared" si="3"/>
        <v>9.3490030173516464E-5</v>
      </c>
      <c r="AJ18" s="252">
        <f t="shared" si="4"/>
        <v>0</v>
      </c>
      <c r="AK18" s="252">
        <f t="shared" si="5"/>
        <v>0</v>
      </c>
      <c r="AM18" s="252">
        <f t="shared" si="6"/>
        <v>3.4048012833391695E-5</v>
      </c>
      <c r="AN18" s="276">
        <f t="shared" si="0"/>
        <v>3.4259110512958726E-2</v>
      </c>
      <c r="AO18" s="270"/>
      <c r="AP18" s="271"/>
    </row>
    <row r="19" spans="1:42" ht="28.5" customHeight="1" x14ac:dyDescent="0.3">
      <c r="A19" s="431"/>
      <c r="B19" s="275">
        <f t="shared" si="8"/>
        <v>500</v>
      </c>
      <c r="C19" s="274">
        <f t="shared" si="9"/>
        <v>-0.35030030030030029</v>
      </c>
      <c r="D19" s="275"/>
      <c r="E19" s="273">
        <f t="shared" si="7"/>
        <v>0.18444443396304064</v>
      </c>
      <c r="F19" s="275"/>
      <c r="G19" s="112">
        <v>500</v>
      </c>
      <c r="H19" s="113">
        <v>-0.3</v>
      </c>
      <c r="I19" s="112"/>
      <c r="J19" s="112">
        <v>0.18</v>
      </c>
      <c r="K19" s="114"/>
      <c r="L19" s="112">
        <v>500</v>
      </c>
      <c r="M19" s="113">
        <f t="shared" ref="M19:M20" si="16">(L19-M33)/(M34-M33)*(N34-N33)+N33</f>
        <v>-0.25997800439912017</v>
      </c>
      <c r="N19" s="112"/>
      <c r="O19" s="113">
        <f>(L19-M33)/(M34-M33)*(O34-O33)+O33</f>
        <v>0.14462489821896529</v>
      </c>
      <c r="P19" s="114"/>
      <c r="Q19" s="272">
        <v>500</v>
      </c>
      <c r="R19" s="272">
        <v>-0.21</v>
      </c>
      <c r="S19" s="272">
        <v>0.2</v>
      </c>
      <c r="T19" s="431"/>
      <c r="U19" s="431"/>
      <c r="V19" s="272">
        <v>500</v>
      </c>
      <c r="W19" s="272">
        <v>-0.21</v>
      </c>
      <c r="X19" s="272">
        <v>0.2</v>
      </c>
      <c r="Y19" s="431"/>
      <c r="Z19" s="431"/>
      <c r="AA19" s="272">
        <v>500</v>
      </c>
      <c r="AB19" s="272">
        <v>-0.19</v>
      </c>
      <c r="AC19" s="272">
        <v>-0.04</v>
      </c>
      <c r="AD19" s="431"/>
      <c r="AE19" s="431"/>
      <c r="AG19">
        <f t="shared" si="1"/>
        <v>1.0100461907690824E-4</v>
      </c>
      <c r="AH19" s="252">
        <f t="shared" si="2"/>
        <v>5.2044207543406789E-5</v>
      </c>
      <c r="AI19" s="252">
        <f t="shared" si="3"/>
        <v>6.2316713714613686E-5</v>
      </c>
      <c r="AJ19" s="252">
        <f t="shared" si="4"/>
        <v>0</v>
      </c>
      <c r="AK19" s="252">
        <f t="shared" si="5"/>
        <v>1.1261261261261256E-5</v>
      </c>
      <c r="AM19" s="252">
        <f t="shared" si="6"/>
        <v>4.5325360319237999E-5</v>
      </c>
      <c r="AN19" s="276">
        <f t="shared" si="0"/>
        <v>4.5606377553217274E-2</v>
      </c>
      <c r="AO19" s="270"/>
      <c r="AP19" s="271"/>
    </row>
    <row r="20" spans="1:42" ht="28.5" customHeight="1" x14ac:dyDescent="0.3">
      <c r="A20" s="431"/>
      <c r="B20" s="275">
        <f t="shared" si="8"/>
        <v>550</v>
      </c>
      <c r="C20" s="274">
        <f t="shared" si="9"/>
        <v>-0.29975024975024972</v>
      </c>
      <c r="D20" s="275"/>
      <c r="E20" s="273">
        <f t="shared" si="7"/>
        <v>0.18444056578374068</v>
      </c>
      <c r="F20" s="275"/>
      <c r="G20" s="112">
        <v>550</v>
      </c>
      <c r="H20" s="113">
        <v>-0.3</v>
      </c>
      <c r="I20" s="112"/>
      <c r="J20" s="112">
        <v>0.18</v>
      </c>
      <c r="K20" s="114"/>
      <c r="L20" s="112">
        <v>550</v>
      </c>
      <c r="M20" s="113">
        <f t="shared" si="16"/>
        <v>-0.26995500449955007</v>
      </c>
      <c r="N20" s="112"/>
      <c r="O20" s="113">
        <f>(L20-M34)/(M35-M34)*(O35-O34)+O34</f>
        <v>0.15062305743166274</v>
      </c>
      <c r="P20" s="114"/>
      <c r="Q20" s="272">
        <v>550</v>
      </c>
      <c r="R20" s="272">
        <v>-0.23</v>
      </c>
      <c r="S20" s="272">
        <v>0.21</v>
      </c>
      <c r="T20" s="431"/>
      <c r="U20" s="431"/>
      <c r="V20" s="272">
        <v>550</v>
      </c>
      <c r="W20" s="272">
        <v>-0.23</v>
      </c>
      <c r="X20" s="272">
        <v>0.21</v>
      </c>
      <c r="Y20" s="431"/>
      <c r="Z20" s="431"/>
      <c r="AA20" s="272">
        <v>550</v>
      </c>
      <c r="AB20" s="115">
        <v>-0.2</v>
      </c>
      <c r="AC20" s="115">
        <v>-0.05</v>
      </c>
      <c r="AD20" s="431"/>
      <c r="AE20" s="431"/>
      <c r="AG20">
        <f t="shared" si="1"/>
        <v>5.0150652560294986E-7</v>
      </c>
      <c r="AH20" s="252">
        <f t="shared" si="2"/>
        <v>3.9070215215149443E-5</v>
      </c>
      <c r="AI20" s="252">
        <f t="shared" si="3"/>
        <v>4.9819207605424007E-5</v>
      </c>
      <c r="AJ20" s="252">
        <f t="shared" si="4"/>
        <v>0</v>
      </c>
      <c r="AK20" s="252">
        <f t="shared" si="5"/>
        <v>1.6891891891891892E-5</v>
      </c>
      <c r="AM20" s="252">
        <f t="shared" si="6"/>
        <v>2.125656424761366E-5</v>
      </c>
      <c r="AN20" s="276">
        <f t="shared" si="0"/>
        <v>2.1388354945948866E-2</v>
      </c>
      <c r="AO20" s="270"/>
      <c r="AP20" s="271"/>
    </row>
    <row r="21" spans="1:42" ht="28.5" customHeight="1" x14ac:dyDescent="0.3">
      <c r="A21" s="432"/>
      <c r="B21" s="275">
        <f t="shared" si="8"/>
        <v>600</v>
      </c>
      <c r="C21" s="274">
        <f t="shared" si="9"/>
        <v>-0.35</v>
      </c>
      <c r="D21" s="277"/>
      <c r="E21" s="273">
        <f t="shared" si="7"/>
        <v>0.18292860830819774</v>
      </c>
      <c r="F21" s="277"/>
      <c r="G21" s="116">
        <v>600</v>
      </c>
      <c r="H21" s="113">
        <v>-0.28999999999999998</v>
      </c>
      <c r="I21" s="116"/>
      <c r="J21" s="116">
        <v>0.18</v>
      </c>
      <c r="K21" s="117"/>
      <c r="L21" s="116">
        <v>600</v>
      </c>
      <c r="M21" s="278">
        <f>(L21-M34)/(M35-M34)*(N35-N34)+N34</f>
        <v>-0.27995400459954006</v>
      </c>
      <c r="N21" s="116"/>
      <c r="O21" s="113">
        <f>(L21-M34)/(M35-M34)*(O35-O34)+O34</f>
        <v>0.15661173175757254</v>
      </c>
      <c r="P21" s="117"/>
      <c r="Q21" s="272">
        <v>600</v>
      </c>
      <c r="R21" s="272">
        <v>-0.23</v>
      </c>
      <c r="S21" s="272">
        <v>0.2</v>
      </c>
      <c r="T21" s="432"/>
      <c r="U21" s="432"/>
      <c r="V21" s="272">
        <v>600</v>
      </c>
      <c r="W21" s="272">
        <v>-0.23</v>
      </c>
      <c r="X21" s="272">
        <v>0.2</v>
      </c>
      <c r="Y21" s="432"/>
      <c r="Z21" s="432"/>
      <c r="AA21" s="272">
        <v>600</v>
      </c>
      <c r="AB21" s="272">
        <v>-0.21</v>
      </c>
      <c r="AC21" s="272">
        <v>-0.05</v>
      </c>
      <c r="AD21" s="432"/>
      <c r="AE21" s="432"/>
      <c r="AG21">
        <f t="shared" si="1"/>
        <v>1.2048192771084337E-4</v>
      </c>
      <c r="AH21" s="252">
        <f t="shared" si="2"/>
        <v>1.3063713134538253E-5</v>
      </c>
      <c r="AI21" s="252">
        <f t="shared" si="3"/>
        <v>6.2286788777481366E-5</v>
      </c>
      <c r="AJ21" s="252">
        <f t="shared" si="4"/>
        <v>0</v>
      </c>
      <c r="AK21" s="252">
        <f t="shared" si="5"/>
        <v>1.1261261261261272E-5</v>
      </c>
      <c r="AM21" s="252">
        <f t="shared" si="6"/>
        <v>4.1418738176824851E-5</v>
      </c>
      <c r="AN21" s="276">
        <f t="shared" si="0"/>
        <v>4.1675534353521164E-2</v>
      </c>
      <c r="AO21" s="270"/>
      <c r="AP21" s="271"/>
    </row>
    <row r="22" spans="1:42" ht="12.75" customHeight="1" x14ac:dyDescent="0.3"/>
    <row r="23" spans="1:42" ht="12.75" customHeight="1" x14ac:dyDescent="0.3"/>
    <row r="24" spans="1:42" ht="12.75" customHeight="1" x14ac:dyDescent="0.3">
      <c r="I24" s="252"/>
      <c r="J24" s="252"/>
      <c r="N24" s="252" t="s">
        <v>125</v>
      </c>
      <c r="O24" s="252" t="s">
        <v>133</v>
      </c>
    </row>
    <row r="25" spans="1:42" ht="12.75" customHeight="1" x14ac:dyDescent="0.3">
      <c r="I25" s="252"/>
      <c r="N25" s="252" t="s">
        <v>134</v>
      </c>
    </row>
    <row r="26" spans="1:42" ht="12.75" customHeight="1" x14ac:dyDescent="0.3">
      <c r="B26" s="141">
        <v>-199.96</v>
      </c>
      <c r="C26">
        <v>-7.4999999999988631E-2</v>
      </c>
      <c r="D26">
        <v>8.0625604879408674E-2</v>
      </c>
      <c r="G26" s="6">
        <v>-199.74</v>
      </c>
      <c r="H26" s="252">
        <v>-0.28999999999999998</v>
      </c>
      <c r="I26" s="252">
        <v>0.09</v>
      </c>
      <c r="J26" s="252"/>
      <c r="M26" s="252" t="s">
        <v>135</v>
      </c>
      <c r="N26" s="252" t="s">
        <v>136</v>
      </c>
      <c r="O26" s="252" t="s">
        <v>136</v>
      </c>
    </row>
    <row r="27" spans="1:42" ht="12.75" customHeight="1" x14ac:dyDescent="0.3">
      <c r="B27" s="141">
        <v>-149.94999999999999</v>
      </c>
      <c r="C27">
        <v>-8.5000000000007958E-2</v>
      </c>
      <c r="D27">
        <v>8.6687662954616121E-2</v>
      </c>
      <c r="G27" s="6">
        <v>-99.72</v>
      </c>
      <c r="H27" s="252">
        <v>-0.32</v>
      </c>
      <c r="I27" s="252">
        <v>0.09</v>
      </c>
      <c r="J27" s="252"/>
      <c r="M27" s="252">
        <v>-199.97</v>
      </c>
      <c r="N27" s="252">
        <v>-7.0000000000000007E-2</v>
      </c>
      <c r="O27" s="252">
        <v>7.9122022758338892E-2</v>
      </c>
    </row>
    <row r="28" spans="1:42" ht="12.75" customHeight="1" x14ac:dyDescent="0.3">
      <c r="B28" s="141">
        <v>-99.92</v>
      </c>
      <c r="C28">
        <v>-0.11499999999999488</v>
      </c>
      <c r="D28">
        <v>8.6631675139311373E-2</v>
      </c>
      <c r="G28" s="6">
        <v>0.1</v>
      </c>
      <c r="H28" s="252">
        <v>-0.15</v>
      </c>
      <c r="I28" s="252">
        <v>0.14000000000000001</v>
      </c>
      <c r="J28" s="252"/>
      <c r="M28" s="252">
        <v>-99.93</v>
      </c>
      <c r="N28" s="252">
        <v>-0.11</v>
      </c>
      <c r="O28" s="252">
        <v>8.5279274227214208E-2</v>
      </c>
    </row>
    <row r="29" spans="1:42" ht="12.75" customHeight="1" x14ac:dyDescent="0.3">
      <c r="B29" s="141">
        <v>-49.91</v>
      </c>
      <c r="C29">
        <v>-0.13000000000000256</v>
      </c>
      <c r="D29">
        <v>9.0662259450349419E-2</v>
      </c>
      <c r="G29" s="6">
        <v>100.15</v>
      </c>
      <c r="H29" s="252">
        <v>-0.2</v>
      </c>
      <c r="I29" s="252">
        <v>0.14000000000000001</v>
      </c>
      <c r="J29" s="252"/>
      <c r="M29" s="252">
        <v>0.11</v>
      </c>
      <c r="N29" s="252">
        <v>-0.16</v>
      </c>
      <c r="O29" s="252">
        <v>8.9205594602817254E-2</v>
      </c>
    </row>
    <row r="30" spans="1:42" ht="12.75" customHeight="1" x14ac:dyDescent="0.3">
      <c r="B30" s="141">
        <v>0.10600000000000001</v>
      </c>
      <c r="C30">
        <v>-0.15100000000000002</v>
      </c>
      <c r="D30">
        <v>9.0811203323996212E-2</v>
      </c>
      <c r="G30" s="6">
        <v>200.15</v>
      </c>
      <c r="H30" s="252">
        <v>-0.2</v>
      </c>
      <c r="I30" s="252">
        <v>0.14000000000000001</v>
      </c>
      <c r="J30" s="252"/>
      <c r="M30" s="252">
        <v>100.12</v>
      </c>
      <c r="N30" s="252">
        <v>-0.16</v>
      </c>
      <c r="O30" s="252">
        <v>9.9028297334554496E-2</v>
      </c>
    </row>
    <row r="31" spans="1:42" ht="12.75" customHeight="1" x14ac:dyDescent="0.3">
      <c r="B31" s="141">
        <v>50.14</v>
      </c>
      <c r="C31">
        <v>-0.18562500000000171</v>
      </c>
      <c r="D31">
        <v>0.14000000000000001</v>
      </c>
      <c r="G31" s="6">
        <v>300.2</v>
      </c>
      <c r="H31" s="252">
        <v>-0.25</v>
      </c>
      <c r="I31" s="252">
        <v>0.14000000000000001</v>
      </c>
      <c r="J31" s="252"/>
      <c r="M31" s="252">
        <v>200.15</v>
      </c>
      <c r="N31" s="252">
        <v>-0.2</v>
      </c>
      <c r="O31" s="252">
        <v>0.10866162077455181</v>
      </c>
    </row>
    <row r="32" spans="1:42" ht="12.75" customHeight="1" x14ac:dyDescent="0.3">
      <c r="B32" s="141">
        <v>100.15</v>
      </c>
      <c r="C32">
        <v>-0.19625000000000625</v>
      </c>
      <c r="D32">
        <v>0.14000000000000001</v>
      </c>
      <c r="G32" s="6">
        <v>400.2</v>
      </c>
      <c r="H32" s="252">
        <v>-0.25</v>
      </c>
      <c r="I32" s="252">
        <v>0.14000000000000001</v>
      </c>
      <c r="J32" s="252"/>
      <c r="M32" s="252">
        <v>300.14999999999998</v>
      </c>
      <c r="N32" s="252">
        <v>-0.2</v>
      </c>
      <c r="O32" s="252">
        <v>0.12330592071463028</v>
      </c>
    </row>
    <row r="33" spans="2:15" ht="12.75" customHeight="1" x14ac:dyDescent="0.3">
      <c r="B33" s="141">
        <v>150.15</v>
      </c>
      <c r="C33">
        <v>-0.19687500000000568</v>
      </c>
      <c r="D33">
        <v>0.14000000000000001</v>
      </c>
      <c r="G33" s="6">
        <v>500.25</v>
      </c>
      <c r="H33" s="252">
        <v>-0.3</v>
      </c>
      <c r="I33" s="252">
        <v>0.18</v>
      </c>
      <c r="J33" s="252"/>
      <c r="M33" s="252">
        <v>400.2</v>
      </c>
      <c r="N33" s="252">
        <v>-0.25</v>
      </c>
      <c r="O33" s="252">
        <v>0.12836881471260078</v>
      </c>
    </row>
    <row r="34" spans="2:15" ht="12.75" customHeight="1" x14ac:dyDescent="0.3">
      <c r="B34" s="141">
        <v>200.2</v>
      </c>
      <c r="C34">
        <v>-0.24750000000000227</v>
      </c>
      <c r="D34">
        <v>0.14000000000000001</v>
      </c>
      <c r="G34" s="6">
        <v>600.25</v>
      </c>
      <c r="H34" s="252">
        <v>-0.28999999999999998</v>
      </c>
      <c r="I34" s="252">
        <v>0.18</v>
      </c>
      <c r="J34" s="252"/>
      <c r="M34" s="252">
        <v>500.22</v>
      </c>
      <c r="N34" s="252">
        <v>-0.26</v>
      </c>
      <c r="O34" s="252">
        <v>0.14466073327278695</v>
      </c>
    </row>
    <row r="35" spans="2:15" ht="12.75" customHeight="1" x14ac:dyDescent="0.3">
      <c r="B35" s="141">
        <v>250.15</v>
      </c>
      <c r="C35">
        <v>-0.19812500000000455</v>
      </c>
      <c r="D35">
        <v>0.14000000000000001</v>
      </c>
      <c r="G35" s="6">
        <v>700.3</v>
      </c>
      <c r="H35" s="252">
        <v>-0.34</v>
      </c>
      <c r="I35" s="252">
        <v>0.18</v>
      </c>
      <c r="J35" s="252"/>
      <c r="M35" s="252">
        <v>600.23</v>
      </c>
      <c r="N35" s="252">
        <v>-0.28000000000000003</v>
      </c>
      <c r="O35" s="252">
        <v>0.15663927965947172</v>
      </c>
    </row>
    <row r="36" spans="2:15" ht="12.75" customHeight="1" x14ac:dyDescent="0.3">
      <c r="B36" s="141">
        <v>300.14999999999998</v>
      </c>
      <c r="C36">
        <v>-0.19874999999996135</v>
      </c>
      <c r="D36">
        <v>0.14000000000000001</v>
      </c>
      <c r="G36" s="6">
        <v>790.3</v>
      </c>
      <c r="H36" s="252">
        <v>-0.34</v>
      </c>
      <c r="I36" s="252">
        <v>0.18</v>
      </c>
      <c r="J36" s="252"/>
      <c r="M36" s="252">
        <v>700.25</v>
      </c>
      <c r="N36" s="252">
        <v>-0.28999999999999998</v>
      </c>
      <c r="O36" s="252">
        <v>0.17961894530135922</v>
      </c>
    </row>
    <row r="37" spans="2:15" ht="12.75" customHeight="1" x14ac:dyDescent="0.3">
      <c r="B37" s="141">
        <v>350.2</v>
      </c>
      <c r="C37">
        <v>-0.24937499999998636</v>
      </c>
      <c r="D37">
        <v>0.14000000000000001</v>
      </c>
      <c r="H37" s="252"/>
      <c r="I37" s="252"/>
      <c r="J37" s="252"/>
      <c r="M37" s="252">
        <v>800.28</v>
      </c>
      <c r="N37" s="252">
        <v>-0.32</v>
      </c>
      <c r="O37" s="252">
        <v>0.17981073010301332</v>
      </c>
    </row>
    <row r="38" spans="2:15" ht="12.75" customHeight="1" x14ac:dyDescent="0.3">
      <c r="B38" s="141">
        <v>400.2</v>
      </c>
      <c r="C38">
        <v>-0.25</v>
      </c>
      <c r="D38">
        <v>0.14000000000000001</v>
      </c>
    </row>
    <row r="39" spans="2:15" ht="12.75" customHeight="1" x14ac:dyDescent="0.3">
      <c r="B39" s="141">
        <v>450.25</v>
      </c>
      <c r="C39">
        <v>-0.29874999999998408</v>
      </c>
      <c r="D39">
        <v>0.18294028723230341</v>
      </c>
    </row>
    <row r="40" spans="2:15" ht="12.75" customHeight="1" x14ac:dyDescent="0.3">
      <c r="B40" s="279">
        <v>500.3</v>
      </c>
      <c r="C40">
        <v>-0.35</v>
      </c>
      <c r="D40">
        <v>0.18444443396304064</v>
      </c>
    </row>
    <row r="41" spans="2:15" ht="12.75" customHeight="1" x14ac:dyDescent="0.3">
      <c r="B41" s="279">
        <v>550.25</v>
      </c>
      <c r="C41">
        <v>-0.3</v>
      </c>
      <c r="D41">
        <v>0.18444056578374068</v>
      </c>
    </row>
    <row r="42" spans="2:15" ht="12.75" customHeight="1" x14ac:dyDescent="0.3">
      <c r="B42" s="141">
        <v>600.29999999999995</v>
      </c>
      <c r="C42">
        <v>-0.35</v>
      </c>
      <c r="D42">
        <v>0.18292860830819774</v>
      </c>
    </row>
    <row r="43" spans="2:15" ht="12.75" customHeight="1" x14ac:dyDescent="0.3">
      <c r="B43" s="141">
        <v>650.29999999999995</v>
      </c>
      <c r="C43">
        <v>-0.35</v>
      </c>
      <c r="D43">
        <v>0.18292860830819774</v>
      </c>
    </row>
    <row r="44" spans="2:15" ht="12.75" customHeight="1" x14ac:dyDescent="0.3">
      <c r="B44" s="141">
        <v>700.3</v>
      </c>
      <c r="C44">
        <v>-0.35</v>
      </c>
      <c r="D44">
        <v>0.18292134123448972</v>
      </c>
    </row>
    <row r="45" spans="2:15" ht="12.75" customHeight="1" x14ac:dyDescent="0.3">
      <c r="B45" s="141">
        <v>750.35</v>
      </c>
      <c r="C45">
        <v>-0.4</v>
      </c>
      <c r="D45">
        <v>0.1829178633697375</v>
      </c>
    </row>
    <row r="46" spans="2:15" ht="12.75" customHeight="1" x14ac:dyDescent="0.3">
      <c r="B46" s="141">
        <v>799.95</v>
      </c>
      <c r="C46">
        <v>-0.4</v>
      </c>
      <c r="D46">
        <v>0.18291451587116139</v>
      </c>
    </row>
    <row r="47" spans="2:15" ht="12.75" customHeight="1" x14ac:dyDescent="0.3"/>
    <row r="48" spans="2:15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K2:AN2"/>
    <mergeCell ref="Y4:Y21"/>
    <mergeCell ref="Z4:Z21"/>
    <mergeCell ref="AD4:AD8"/>
    <mergeCell ref="AE4:AE8"/>
    <mergeCell ref="AD9:AD21"/>
    <mergeCell ref="AE9:AE21"/>
    <mergeCell ref="AB2:AC2"/>
    <mergeCell ref="AD2:AE2"/>
    <mergeCell ref="W2:X2"/>
    <mergeCell ref="Y2:Z2"/>
    <mergeCell ref="A4:A21"/>
    <mergeCell ref="T4:T21"/>
    <mergeCell ref="U4:U2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Sertifikat</vt:lpstr>
      <vt:lpstr>Data Mentah PT100</vt:lpstr>
      <vt:lpstr>Olahdata-PT100 C</vt:lpstr>
      <vt:lpstr>Budget PT100</vt:lpstr>
      <vt:lpstr>THM A21011860&amp;Oakton</vt:lpstr>
      <vt:lpstr>data sertifikat PT100</vt:lpstr>
      <vt:lpstr>Zero&amp;Air</vt:lpstr>
      <vt:lpstr>Oil Bath</vt:lpstr>
      <vt:lpstr>sertbawaan PT100</vt:lpstr>
      <vt:lpstr>Sert PT1002024</vt:lpstr>
      <vt:lpstr>drift beamex tc305-Pt100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trismi</dc:creator>
  <cp:lastModifiedBy>Athalla Abhiyoga</cp:lastModifiedBy>
  <cp:lastPrinted>2025-11-16T06:13:22Z</cp:lastPrinted>
  <dcterms:created xsi:type="dcterms:W3CDTF">2022-01-24T11:06:53Z</dcterms:created>
  <dcterms:modified xsi:type="dcterms:W3CDTF">2026-01-08T04:00:18Z</dcterms:modified>
</cp:coreProperties>
</file>