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/>
  <mc:AlternateContent xmlns:mc="http://schemas.openxmlformats.org/markup-compatibility/2006">
    <mc:Choice Requires="x15">
      <x15ac:absPath xmlns:x15ac="http://schemas.microsoft.com/office/spreadsheetml/2010/11/ac" url="https://d.docs.live.net/2e65d6d73070849b/Desktop/Master Excel Budget Ketidakpastian/Spektro UV Vis/"/>
    </mc:Choice>
  </mc:AlternateContent>
  <xr:revisionPtr revIDLastSave="1077" documentId="8_{6C30446F-7E1A-4675-816C-C7BC3A65B288}" xr6:coauthVersionLast="47" xr6:coauthVersionMax="47" xr10:uidLastSave="{3558B7EA-8DC7-4EA6-9695-DBE483998E0B}"/>
  <bookViews>
    <workbookView xWindow="-108" yWindow="-108" windowWidth="23256" windowHeight="12456" tabRatio="868" xr2:uid="{00000000-000D-0000-FFFF-FFFF00000000}"/>
  </bookViews>
  <sheets>
    <sheet name="Data" sheetId="2" r:id="rId1"/>
    <sheet name="Kor&amp;U95% WVL" sheetId="3" r:id="rId2"/>
    <sheet name="Kor&amp;U95% ABS" sheetId="4" r:id="rId3"/>
    <sheet name="Koreksi Termometer " sheetId="5" r:id="rId4"/>
    <sheet name="SS F1" sheetId="6" r:id="rId5"/>
    <sheet name="SS F4" sheetId="8" r:id="rId6"/>
    <sheet name="SS F3" sheetId="7" r:id="rId7"/>
    <sheet name="Lap" sheetId="1" r:id="rId8"/>
    <sheet name="SS F7" sheetId="9" r:id="rId9"/>
    <sheet name="Sertifikat" sheetId="15" r:id="rId10"/>
    <sheet name="Database" sheetId="18" r:id="rId11"/>
  </sheets>
  <definedNames>
    <definedName name="ser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7" roundtripDataChecksum="EkXrMtf4xdmFkpasg72ugTKsnnGwmWpujIWrmx9HKH0="/>
    </ext>
  </extLst>
</workbook>
</file>

<file path=xl/calcChain.xml><?xml version="1.0" encoding="utf-8"?>
<calcChain xmlns="http://schemas.openxmlformats.org/spreadsheetml/2006/main">
  <c r="C62" i="1" l="1"/>
  <c r="C61" i="1"/>
  <c r="C60" i="1"/>
  <c r="C58" i="1"/>
  <c r="C59" i="1"/>
  <c r="C57" i="1"/>
  <c r="C56" i="1"/>
  <c r="C55" i="1"/>
  <c r="C54" i="1"/>
  <c r="C53" i="1"/>
  <c r="C52" i="1"/>
  <c r="C51" i="1"/>
  <c r="C50" i="1"/>
  <c r="C49" i="1"/>
  <c r="C48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A60" i="1"/>
  <c r="A57" i="1"/>
  <c r="A54" i="1"/>
  <c r="A51" i="1"/>
  <c r="A48" i="1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B126" i="15"/>
  <c r="B2" i="4"/>
  <c r="B124" i="15" s="1"/>
  <c r="B3" i="4"/>
  <c r="B125" i="15" s="1"/>
  <c r="B4" i="4"/>
  <c r="B5" i="4"/>
  <c r="F84" i="4" s="1"/>
  <c r="B6" i="4"/>
  <c r="B128" i="15" s="1"/>
  <c r="B7" i="4"/>
  <c r="B8" i="4"/>
  <c r="F126" i="4" s="1"/>
  <c r="B9" i="4"/>
  <c r="F140" i="4" s="1"/>
  <c r="B10" i="4"/>
  <c r="F154" i="4" s="1"/>
  <c r="B11" i="4"/>
  <c r="F168" i="4" s="1"/>
  <c r="F170" i="4"/>
  <c r="F156" i="4"/>
  <c r="F142" i="4"/>
  <c r="F128" i="4"/>
  <c r="F114" i="4"/>
  <c r="F100" i="4"/>
  <c r="F86" i="4"/>
  <c r="F72" i="4"/>
  <c r="F58" i="4"/>
  <c r="F44" i="4"/>
  <c r="F112" i="4"/>
  <c r="F98" i="4"/>
  <c r="F70" i="4"/>
  <c r="E3" i="4"/>
  <c r="A3" i="4"/>
  <c r="D55" i="4" s="1"/>
  <c r="A4" i="4"/>
  <c r="D69" i="4" s="1"/>
  <c r="A5" i="4"/>
  <c r="D83" i="4" s="1"/>
  <c r="A6" i="4"/>
  <c r="D97" i="4" s="1"/>
  <c r="A7" i="4"/>
  <c r="D111" i="4" s="1"/>
  <c r="A8" i="4"/>
  <c r="A39" i="1" s="1"/>
  <c r="A9" i="4"/>
  <c r="D139" i="4" s="1"/>
  <c r="A10" i="4"/>
  <c r="D153" i="4" s="1"/>
  <c r="A11" i="4"/>
  <c r="D167" i="4" s="1"/>
  <c r="A2" i="4"/>
  <c r="D41" i="4" s="1"/>
  <c r="E8" i="4"/>
  <c r="E9" i="4"/>
  <c r="E10" i="4"/>
  <c r="E11" i="4"/>
  <c r="E4" i="4"/>
  <c r="E5" i="4"/>
  <c r="E6" i="4"/>
  <c r="E7" i="4"/>
  <c r="E2" i="4"/>
  <c r="C6" i="4"/>
  <c r="C8" i="4"/>
  <c r="B39" i="1" s="1"/>
  <c r="C9" i="4"/>
  <c r="B40" i="1" s="1"/>
  <c r="C2" i="4"/>
  <c r="R50" i="4"/>
  <c r="R51" i="4"/>
  <c r="R52" i="4"/>
  <c r="R53" i="4"/>
  <c r="R49" i="4"/>
  <c r="D51" i="2"/>
  <c r="C3" i="4" s="1"/>
  <c r="D52" i="2"/>
  <c r="C4" i="4" s="1"/>
  <c r="D53" i="2"/>
  <c r="C5" i="4" s="1"/>
  <c r="D54" i="2"/>
  <c r="D55" i="2"/>
  <c r="C7" i="4" s="1"/>
  <c r="B38" i="1" s="1"/>
  <c r="D56" i="2"/>
  <c r="D57" i="2"/>
  <c r="D58" i="2"/>
  <c r="C10" i="4" s="1"/>
  <c r="B41" i="1" s="1"/>
  <c r="D59" i="2"/>
  <c r="C11" i="4" s="1"/>
  <c r="B42" i="1" s="1"/>
  <c r="D50" i="2"/>
  <c r="R44" i="4" a="1"/>
  <c r="R44" i="4" s="1"/>
  <c r="R39" i="4" a="1"/>
  <c r="R39" i="4" s="1"/>
  <c r="F45" i="4"/>
  <c r="B127" i="15" l="1"/>
  <c r="F56" i="4"/>
  <c r="A41" i="1"/>
  <c r="A40" i="1"/>
  <c r="A38" i="1"/>
  <c r="D125" i="4"/>
  <c r="A42" i="1"/>
  <c r="C42" i="1"/>
  <c r="C41" i="1"/>
  <c r="C40" i="1"/>
  <c r="C39" i="1"/>
  <c r="C38" i="1"/>
  <c r="F42" i="4"/>
  <c r="G27" i="15" l="1"/>
  <c r="E71" i="15" s="1"/>
  <c r="H235" i="3"/>
  <c r="H221" i="3"/>
  <c r="H207" i="3"/>
  <c r="H193" i="3"/>
  <c r="H179" i="3"/>
  <c r="H165" i="3"/>
  <c r="H151" i="3"/>
  <c r="H137" i="3"/>
  <c r="F140" i="3" s="1"/>
  <c r="H123" i="3"/>
  <c r="H109" i="3"/>
  <c r="H95" i="3"/>
  <c r="H81" i="3"/>
  <c r="H67" i="3"/>
  <c r="H53" i="3"/>
  <c r="H39" i="3"/>
  <c r="F42" i="3"/>
  <c r="F239" i="3"/>
  <c r="F237" i="3" l="1"/>
  <c r="F223" i="3"/>
  <c r="F209" i="3"/>
  <c r="F195" i="3"/>
  <c r="F181" i="3"/>
  <c r="F167" i="3"/>
  <c r="F153" i="3"/>
  <c r="F139" i="3"/>
  <c r="F125" i="3"/>
  <c r="F111" i="3"/>
  <c r="F97" i="3"/>
  <c r="F83" i="3"/>
  <c r="F69" i="3"/>
  <c r="F55" i="3"/>
  <c r="F41" i="3"/>
  <c r="D234" i="3"/>
  <c r="D39" i="2"/>
  <c r="D40" i="2"/>
  <c r="D41" i="2"/>
  <c r="D42" i="2"/>
  <c r="D43" i="2"/>
  <c r="D44" i="2"/>
  <c r="D15" i="3"/>
  <c r="D3" i="3"/>
  <c r="D4" i="3"/>
  <c r="D5" i="3"/>
  <c r="D6" i="3"/>
  <c r="D7" i="3"/>
  <c r="D8" i="3"/>
  <c r="D9" i="3"/>
  <c r="D10" i="3"/>
  <c r="D11" i="3"/>
  <c r="D12" i="3"/>
  <c r="D13" i="3"/>
  <c r="D14" i="3"/>
  <c r="D2" i="3"/>
  <c r="U6" i="18" l="1"/>
  <c r="D33" i="2" s="1"/>
  <c r="X6" i="18"/>
  <c r="X5" i="18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4" i="18"/>
  <c r="U27" i="18"/>
  <c r="U28" i="18"/>
  <c r="D30" i="2" s="1"/>
  <c r="U29" i="18"/>
  <c r="D31" i="2" s="1"/>
  <c r="U30" i="18"/>
  <c r="D32" i="2" s="1"/>
  <c r="U31" i="18"/>
  <c r="U32" i="18"/>
  <c r="U33" i="18"/>
  <c r="U34" i="18"/>
  <c r="U35" i="18"/>
  <c r="U36" i="18"/>
  <c r="U26" i="18"/>
  <c r="U7" i="18"/>
  <c r="D34" i="2" s="1"/>
  <c r="U8" i="18"/>
  <c r="U9" i="18"/>
  <c r="Q32" i="3" s="1"/>
  <c r="U10" i="18"/>
  <c r="Q33" i="3" s="1"/>
  <c r="U11" i="18"/>
  <c r="U12" i="18"/>
  <c r="U13" i="18"/>
  <c r="U14" i="18"/>
  <c r="Q37" i="3" s="1"/>
  <c r="U15" i="18"/>
  <c r="Q38" i="3" s="1"/>
  <c r="U16" i="18"/>
  <c r="Q39" i="3" s="1"/>
  <c r="U17" i="18"/>
  <c r="Q40" i="3" s="1"/>
  <c r="U18" i="18"/>
  <c r="Q41" i="3" s="1"/>
  <c r="U19" i="18"/>
  <c r="Q42" i="3" s="1"/>
  <c r="A3" i="3"/>
  <c r="D52" i="3" s="1"/>
  <c r="A4" i="3"/>
  <c r="D66" i="3" s="1"/>
  <c r="A5" i="3"/>
  <c r="D80" i="3" s="1"/>
  <c r="A6" i="3"/>
  <c r="D94" i="3" s="1"/>
  <c r="A7" i="3"/>
  <c r="D108" i="3" s="1"/>
  <c r="A8" i="3"/>
  <c r="D122" i="3" s="1"/>
  <c r="A9" i="3"/>
  <c r="D136" i="3" s="1"/>
  <c r="A10" i="3"/>
  <c r="D150" i="3" s="1"/>
  <c r="A11" i="3"/>
  <c r="D164" i="3" s="1"/>
  <c r="F169" i="3" s="1"/>
  <c r="A12" i="3"/>
  <c r="D178" i="3" s="1"/>
  <c r="F183" i="3" s="1"/>
  <c r="A13" i="3"/>
  <c r="D192" i="3" s="1"/>
  <c r="F197" i="3" s="1"/>
  <c r="A14" i="3"/>
  <c r="D206" i="3" s="1"/>
  <c r="F211" i="3" s="1"/>
  <c r="A15" i="3"/>
  <c r="D220" i="3" s="1"/>
  <c r="F225" i="3" s="1"/>
  <c r="A2" i="3"/>
  <c r="Q29" i="3" l="1"/>
  <c r="Q46" i="3" a="1"/>
  <c r="Q46" i="3" s="1"/>
  <c r="Q35" i="3"/>
  <c r="D37" i="2"/>
  <c r="B9" i="3" s="1"/>
  <c r="Q34" i="3"/>
  <c r="D36" i="2"/>
  <c r="Q31" i="3"/>
  <c r="D35" i="2"/>
  <c r="Q36" i="3"/>
  <c r="D38" i="2"/>
  <c r="Q30" i="3"/>
  <c r="E76" i="15"/>
  <c r="E75" i="15"/>
  <c r="G62" i="15"/>
  <c r="J3" i="1"/>
  <c r="J2" i="1"/>
  <c r="I3" i="1"/>
  <c r="I2" i="1"/>
  <c r="L15" i="2"/>
  <c r="L14" i="2"/>
  <c r="E15" i="2"/>
  <c r="E14" i="2"/>
  <c r="I15" i="1"/>
  <c r="I18" i="1" s="1"/>
  <c r="I16" i="1" l="1"/>
  <c r="I17" i="1" s="1"/>
  <c r="J4" i="1"/>
  <c r="J5" i="1" s="1"/>
  <c r="J6" i="1" s="1"/>
  <c r="I4" i="1"/>
  <c r="I7" i="1" s="1"/>
  <c r="J7" i="1" l="1"/>
  <c r="J9" i="1" s="1"/>
  <c r="I5" i="1"/>
  <c r="I6" i="1" s="1"/>
  <c r="I8" i="1" s="1"/>
  <c r="I20" i="1"/>
  <c r="B81" i="15" s="1"/>
  <c r="I19" i="1"/>
  <c r="J8" i="1" l="1"/>
  <c r="I9" i="1"/>
  <c r="E148" i="15"/>
  <c r="E147" i="15"/>
  <c r="E146" i="15"/>
  <c r="E145" i="15"/>
  <c r="E144" i="15"/>
  <c r="E143" i="15"/>
  <c r="E142" i="15"/>
  <c r="E140" i="15"/>
  <c r="E139" i="15"/>
  <c r="E138" i="15"/>
  <c r="E137" i="15"/>
  <c r="E136" i="15"/>
  <c r="E135" i="15"/>
  <c r="E134" i="15"/>
  <c r="C148" i="15"/>
  <c r="C146" i="15"/>
  <c r="B146" i="15"/>
  <c r="C144" i="15"/>
  <c r="C143" i="15"/>
  <c r="B143" i="15"/>
  <c r="C142" i="15"/>
  <c r="C141" i="15"/>
  <c r="C140" i="15"/>
  <c r="B140" i="15"/>
  <c r="C139" i="15"/>
  <c r="C138" i="15"/>
  <c r="B137" i="15"/>
  <c r="C136" i="15"/>
  <c r="B134" i="15"/>
  <c r="F172" i="4"/>
  <c r="G173" i="4"/>
  <c r="I173" i="4" s="1"/>
  <c r="K173" i="4" s="1"/>
  <c r="I172" i="4"/>
  <c r="K172" i="4" s="1"/>
  <c r="G171" i="4"/>
  <c r="F171" i="4"/>
  <c r="I171" i="4" s="1"/>
  <c r="K171" i="4" s="1"/>
  <c r="H170" i="4"/>
  <c r="G170" i="4"/>
  <c r="D170" i="4"/>
  <c r="D171" i="4" s="1"/>
  <c r="M167" i="4"/>
  <c r="F158" i="4"/>
  <c r="I158" i="4" s="1"/>
  <c r="K158" i="4" s="1"/>
  <c r="G159" i="4"/>
  <c r="I159" i="4" s="1"/>
  <c r="K159" i="4" s="1"/>
  <c r="G157" i="4"/>
  <c r="F157" i="4"/>
  <c r="I157" i="4" s="1"/>
  <c r="K157" i="4" s="1"/>
  <c r="H156" i="4"/>
  <c r="G156" i="4"/>
  <c r="D156" i="4"/>
  <c r="D157" i="4" s="1"/>
  <c r="M153" i="4"/>
  <c r="F144" i="4"/>
  <c r="G145" i="4"/>
  <c r="I145" i="4" s="1"/>
  <c r="K145" i="4" s="1"/>
  <c r="I144" i="4"/>
  <c r="K144" i="4" s="1"/>
  <c r="G143" i="4"/>
  <c r="F143" i="4"/>
  <c r="I143" i="4" s="1"/>
  <c r="K143" i="4" s="1"/>
  <c r="H142" i="4"/>
  <c r="G142" i="4"/>
  <c r="D142" i="4"/>
  <c r="D143" i="4" s="1"/>
  <c r="M139" i="4"/>
  <c r="F130" i="4"/>
  <c r="F116" i="4"/>
  <c r="F102" i="4"/>
  <c r="F88" i="4"/>
  <c r="F74" i="4"/>
  <c r="F60" i="4"/>
  <c r="F46" i="4"/>
  <c r="I156" i="4" l="1"/>
  <c r="K156" i="4" s="1"/>
  <c r="M156" i="4" s="1"/>
  <c r="D51" i="1"/>
  <c r="G137" i="15" s="1"/>
  <c r="D145" i="4"/>
  <c r="I142" i="4"/>
  <c r="K142" i="4" s="1"/>
  <c r="I170" i="4"/>
  <c r="K170" i="4" s="1"/>
  <c r="M170" i="4" s="1"/>
  <c r="M175" i="4" s="1"/>
  <c r="D159" i="4"/>
  <c r="D173" i="4"/>
  <c r="D59" i="1"/>
  <c r="G145" i="15" s="1"/>
  <c r="D48" i="1"/>
  <c r="G134" i="15" s="1"/>
  <c r="D49" i="1"/>
  <c r="G135" i="15" s="1"/>
  <c r="D55" i="1"/>
  <c r="G141" i="15" s="1"/>
  <c r="D61" i="1"/>
  <c r="G147" i="15" s="1"/>
  <c r="D58" i="1"/>
  <c r="G144" i="15" s="1"/>
  <c r="D50" i="1"/>
  <c r="G136" i="15" s="1"/>
  <c r="C134" i="15"/>
  <c r="C137" i="15"/>
  <c r="D53" i="1"/>
  <c r="G139" i="15" s="1"/>
  <c r="D62" i="1"/>
  <c r="G148" i="15" s="1"/>
  <c r="D60" i="1"/>
  <c r="G146" i="15" s="1"/>
  <c r="D57" i="1"/>
  <c r="G143" i="15" s="1"/>
  <c r="D56" i="1"/>
  <c r="G142" i="15" s="1"/>
  <c r="C145" i="15"/>
  <c r="E141" i="15"/>
  <c r="C135" i="15"/>
  <c r="D54" i="1"/>
  <c r="G140" i="15" s="1"/>
  <c r="D52" i="1"/>
  <c r="G138" i="15" s="1"/>
  <c r="C147" i="15"/>
  <c r="M172" i="4"/>
  <c r="L172" i="4"/>
  <c r="M173" i="4"/>
  <c r="L173" i="4"/>
  <c r="M171" i="4"/>
  <c r="L171" i="4"/>
  <c r="D172" i="4"/>
  <c r="M158" i="4"/>
  <c r="L158" i="4"/>
  <c r="M159" i="4"/>
  <c r="L159" i="4"/>
  <c r="L156" i="4"/>
  <c r="M157" i="4"/>
  <c r="L157" i="4"/>
  <c r="D158" i="4"/>
  <c r="M142" i="4"/>
  <c r="L142" i="4"/>
  <c r="L143" i="4"/>
  <c r="M143" i="4"/>
  <c r="M144" i="4"/>
  <c r="L144" i="4"/>
  <c r="L145" i="4"/>
  <c r="M145" i="4"/>
  <c r="D144" i="4"/>
  <c r="B34" i="1"/>
  <c r="C125" i="15" s="1"/>
  <c r="A34" i="1"/>
  <c r="A33" i="1"/>
  <c r="B15" i="3"/>
  <c r="D221" i="3" s="1"/>
  <c r="B12" i="3"/>
  <c r="A23" i="1" s="1"/>
  <c r="B13" i="3"/>
  <c r="D193" i="3" s="1"/>
  <c r="B14" i="3"/>
  <c r="A25" i="1" s="1"/>
  <c r="L170" i="4" l="1"/>
  <c r="B33" i="1"/>
  <c r="D42" i="4"/>
  <c r="A35" i="1"/>
  <c r="D98" i="4"/>
  <c r="B37" i="1"/>
  <c r="D168" i="4"/>
  <c r="D70" i="4"/>
  <c r="B35" i="1"/>
  <c r="D140" i="4"/>
  <c r="D126" i="4"/>
  <c r="D112" i="4"/>
  <c r="B36" i="1"/>
  <c r="D84" i="4"/>
  <c r="D154" i="4"/>
  <c r="A37" i="1"/>
  <c r="A36" i="1"/>
  <c r="C34" i="1"/>
  <c r="E125" i="15" s="1"/>
  <c r="A24" i="1"/>
  <c r="D179" i="3"/>
  <c r="D207" i="3"/>
  <c r="A26" i="1"/>
  <c r="K175" i="4"/>
  <c r="K176" i="4" s="1"/>
  <c r="K177" i="4" s="1"/>
  <c r="K178" i="4" s="1"/>
  <c r="K161" i="4"/>
  <c r="K162" i="4" s="1"/>
  <c r="M161" i="4"/>
  <c r="K147" i="4"/>
  <c r="K148" i="4" s="1"/>
  <c r="M147" i="4"/>
  <c r="C124" i="15" l="1"/>
  <c r="C33" i="1"/>
  <c r="E124" i="15" s="1"/>
  <c r="C127" i="15"/>
  <c r="C36" i="1"/>
  <c r="E127" i="15" s="1"/>
  <c r="C126" i="15"/>
  <c r="C35" i="1"/>
  <c r="E126" i="15" s="1"/>
  <c r="C37" i="1"/>
  <c r="E128" i="15" s="1"/>
  <c r="C128" i="15"/>
  <c r="K179" i="4"/>
  <c r="G11" i="4" s="1"/>
  <c r="H11" i="4"/>
  <c r="K163" i="4"/>
  <c r="K164" i="4" s="1"/>
  <c r="K149" i="4"/>
  <c r="K150" i="4" s="1"/>
  <c r="G63" i="15"/>
  <c r="G117" i="15" s="1"/>
  <c r="G29" i="15"/>
  <c r="E73" i="15" s="1"/>
  <c r="G28" i="15"/>
  <c r="E72" i="15" s="1"/>
  <c r="G26" i="15"/>
  <c r="E24" i="15"/>
  <c r="E22" i="15"/>
  <c r="E20" i="15"/>
  <c r="E18" i="15"/>
  <c r="K165" i="4" l="1"/>
  <c r="G10" i="4" s="1"/>
  <c r="H10" i="4"/>
  <c r="K151" i="4"/>
  <c r="G9" i="4" s="1"/>
  <c r="H9" i="4"/>
  <c r="E68" i="15"/>
  <c r="I169" i="3"/>
  <c r="K169" i="3" s="1"/>
  <c r="G41" i="3"/>
  <c r="G170" i="3"/>
  <c r="I170" i="3" s="1"/>
  <c r="K170" i="3" s="1"/>
  <c r="G168" i="3"/>
  <c r="F168" i="3"/>
  <c r="H167" i="3"/>
  <c r="G167" i="3"/>
  <c r="D167" i="3"/>
  <c r="D168" i="3" s="1"/>
  <c r="M164" i="3"/>
  <c r="G156" i="3"/>
  <c r="I156" i="3" s="1"/>
  <c r="K156" i="3" s="1"/>
  <c r="G154" i="3"/>
  <c r="F154" i="3"/>
  <c r="H153" i="3"/>
  <c r="G153" i="3"/>
  <c r="D153" i="3"/>
  <c r="D154" i="3" s="1"/>
  <c r="M150" i="3"/>
  <c r="G142" i="3"/>
  <c r="I142" i="3" s="1"/>
  <c r="K142" i="3" s="1"/>
  <c r="G140" i="3"/>
  <c r="H139" i="3"/>
  <c r="G139" i="3"/>
  <c r="I139" i="3" s="1"/>
  <c r="K139" i="3" s="1"/>
  <c r="D139" i="3"/>
  <c r="D140" i="3" s="1"/>
  <c r="M136" i="3"/>
  <c r="G128" i="3"/>
  <c r="I128" i="3" s="1"/>
  <c r="K128" i="3" s="1"/>
  <c r="G126" i="3"/>
  <c r="F126" i="3"/>
  <c r="H125" i="3"/>
  <c r="G125" i="3"/>
  <c r="D125" i="3"/>
  <c r="D126" i="3" s="1"/>
  <c r="M122" i="3"/>
  <c r="G114" i="3"/>
  <c r="I114" i="3" s="1"/>
  <c r="K114" i="3" s="1"/>
  <c r="G112" i="3"/>
  <c r="F112" i="3"/>
  <c r="H111" i="3"/>
  <c r="G111" i="3"/>
  <c r="D111" i="3"/>
  <c r="D112" i="3" s="1"/>
  <c r="M108" i="3"/>
  <c r="B7" i="3"/>
  <c r="B8" i="3"/>
  <c r="B10" i="3"/>
  <c r="A21" i="1" s="1"/>
  <c r="B95" i="15" s="1"/>
  <c r="B11" i="3"/>
  <c r="A22" i="1" s="1"/>
  <c r="E67" i="15"/>
  <c r="G116" i="15"/>
  <c r="E70" i="15"/>
  <c r="E69" i="15"/>
  <c r="I167" i="3" l="1"/>
  <c r="K167" i="3" s="1"/>
  <c r="I154" i="3"/>
  <c r="K154" i="3" s="1"/>
  <c r="M154" i="3" s="1"/>
  <c r="A20" i="1"/>
  <c r="B94" i="15" s="1"/>
  <c r="A19" i="1"/>
  <c r="B93" i="15" s="1"/>
  <c r="A18" i="1"/>
  <c r="B92" i="15" s="1"/>
  <c r="D170" i="3"/>
  <c r="I125" i="3"/>
  <c r="K125" i="3" s="1"/>
  <c r="M125" i="3" s="1"/>
  <c r="D109" i="3"/>
  <c r="F113" i="3" s="1"/>
  <c r="I113" i="3" s="1"/>
  <c r="K113" i="3" s="1"/>
  <c r="L113" i="3" s="1"/>
  <c r="D123" i="3"/>
  <c r="F127" i="3" s="1"/>
  <c r="I127" i="3" s="1"/>
  <c r="K127" i="3" s="1"/>
  <c r="M127" i="3" s="1"/>
  <c r="D137" i="3"/>
  <c r="F141" i="3" s="1"/>
  <c r="I141" i="3" s="1"/>
  <c r="K141" i="3" s="1"/>
  <c r="M141" i="3" s="1"/>
  <c r="D151" i="3"/>
  <c r="F155" i="3" s="1"/>
  <c r="I155" i="3" s="1"/>
  <c r="K155" i="3" s="1"/>
  <c r="M155" i="3" s="1"/>
  <c r="I153" i="3"/>
  <c r="K153" i="3" s="1"/>
  <c r="L153" i="3" s="1"/>
  <c r="I168" i="3"/>
  <c r="K168" i="3" s="1"/>
  <c r="L168" i="3" s="1"/>
  <c r="D165" i="3"/>
  <c r="M167" i="3"/>
  <c r="L167" i="3"/>
  <c r="M169" i="3"/>
  <c r="L169" i="3"/>
  <c r="M170" i="3"/>
  <c r="L170" i="3"/>
  <c r="D169" i="3"/>
  <c r="I111" i="3"/>
  <c r="K111" i="3" s="1"/>
  <c r="M111" i="3" s="1"/>
  <c r="D156" i="3"/>
  <c r="L154" i="3"/>
  <c r="M156" i="3"/>
  <c r="L156" i="3"/>
  <c r="D155" i="3"/>
  <c r="I140" i="3"/>
  <c r="K140" i="3" s="1"/>
  <c r="M140" i="3" s="1"/>
  <c r="D142" i="3"/>
  <c r="M139" i="3"/>
  <c r="L139" i="3"/>
  <c r="M142" i="3"/>
  <c r="L142" i="3"/>
  <c r="D141" i="3"/>
  <c r="I126" i="3"/>
  <c r="K126" i="3" s="1"/>
  <c r="M126" i="3" s="1"/>
  <c r="D128" i="3"/>
  <c r="M128" i="3"/>
  <c r="L128" i="3"/>
  <c r="D127" i="3"/>
  <c r="I112" i="3"/>
  <c r="K112" i="3" s="1"/>
  <c r="M112" i="3" s="1"/>
  <c r="D114" i="3"/>
  <c r="M114" i="3"/>
  <c r="L114" i="3"/>
  <c r="D113" i="3"/>
  <c r="G131" i="4"/>
  <c r="I131" i="4" s="1"/>
  <c r="K131" i="4" s="1"/>
  <c r="I130" i="4"/>
  <c r="K130" i="4" s="1"/>
  <c r="G129" i="4"/>
  <c r="F129" i="4"/>
  <c r="H128" i="4"/>
  <c r="G128" i="4"/>
  <c r="I128" i="4" s="1"/>
  <c r="K128" i="4" s="1"/>
  <c r="D128" i="4"/>
  <c r="D129" i="4" s="1"/>
  <c r="M125" i="4"/>
  <c r="G117" i="4"/>
  <c r="I117" i="4" s="1"/>
  <c r="K117" i="4" s="1"/>
  <c r="I116" i="4"/>
  <c r="K116" i="4" s="1"/>
  <c r="G115" i="4"/>
  <c r="F115" i="4"/>
  <c r="I115" i="4" s="1"/>
  <c r="K115" i="4" s="1"/>
  <c r="H114" i="4"/>
  <c r="G114" i="4"/>
  <c r="D114" i="4"/>
  <c r="D117" i="4" s="1"/>
  <c r="M111" i="4"/>
  <c r="G103" i="4"/>
  <c r="I103" i="4" s="1"/>
  <c r="K103" i="4" s="1"/>
  <c r="I102" i="4"/>
  <c r="K102" i="4" s="1"/>
  <c r="G101" i="4"/>
  <c r="F101" i="4"/>
  <c r="H100" i="4"/>
  <c r="G100" i="4"/>
  <c r="I100" i="4"/>
  <c r="K100" i="4" s="1"/>
  <c r="D100" i="4"/>
  <c r="D101" i="4" s="1"/>
  <c r="M97" i="4"/>
  <c r="G89" i="4"/>
  <c r="I89" i="4" s="1"/>
  <c r="K89" i="4" s="1"/>
  <c r="I88" i="4"/>
  <c r="K88" i="4" s="1"/>
  <c r="G87" i="4"/>
  <c r="F87" i="4"/>
  <c r="H86" i="4"/>
  <c r="G86" i="4"/>
  <c r="I86" i="4" s="1"/>
  <c r="K86" i="4" s="1"/>
  <c r="D86" i="4"/>
  <c r="D88" i="4" s="1"/>
  <c r="M83" i="4"/>
  <c r="G75" i="4"/>
  <c r="I75" i="4" s="1"/>
  <c r="K75" i="4" s="1"/>
  <c r="I74" i="4"/>
  <c r="K74" i="4" s="1"/>
  <c r="G73" i="4"/>
  <c r="F73" i="4"/>
  <c r="H72" i="4"/>
  <c r="G72" i="4"/>
  <c r="D72" i="4"/>
  <c r="D73" i="4" s="1"/>
  <c r="M69" i="4"/>
  <c r="G61" i="4"/>
  <c r="I61" i="4" s="1"/>
  <c r="K61" i="4" s="1"/>
  <c r="L61" i="4" s="1"/>
  <c r="I60" i="4"/>
  <c r="K60" i="4" s="1"/>
  <c r="G59" i="4"/>
  <c r="F59" i="4"/>
  <c r="H58" i="4"/>
  <c r="G58" i="4"/>
  <c r="D58" i="4"/>
  <c r="D59" i="4" s="1"/>
  <c r="M55" i="4"/>
  <c r="G47" i="4"/>
  <c r="I47" i="4" s="1"/>
  <c r="K47" i="4" s="1"/>
  <c r="M47" i="4" s="1"/>
  <c r="I46" i="4"/>
  <c r="K46" i="4" s="1"/>
  <c r="G45" i="4"/>
  <c r="H44" i="4"/>
  <c r="G44" i="4"/>
  <c r="I44" i="4"/>
  <c r="K44" i="4" s="1"/>
  <c r="L44" i="4" s="1"/>
  <c r="D44" i="4"/>
  <c r="D47" i="4" s="1"/>
  <c r="D56" i="4"/>
  <c r="G240" i="3"/>
  <c r="I240" i="3" s="1"/>
  <c r="K240" i="3" s="1"/>
  <c r="L240" i="3" s="1"/>
  <c r="I239" i="3"/>
  <c r="K239" i="3" s="1"/>
  <c r="G238" i="3"/>
  <c r="F238" i="3"/>
  <c r="H237" i="3"/>
  <c r="G237" i="3"/>
  <c r="D237" i="3"/>
  <c r="D239" i="3" s="1"/>
  <c r="M234" i="3"/>
  <c r="G226" i="3"/>
  <c r="I226" i="3" s="1"/>
  <c r="K226" i="3" s="1"/>
  <c r="M226" i="3" s="1"/>
  <c r="I225" i="3"/>
  <c r="K225" i="3" s="1"/>
  <c r="G224" i="3"/>
  <c r="F224" i="3"/>
  <c r="H223" i="3"/>
  <c r="G223" i="3"/>
  <c r="D223" i="3"/>
  <c r="D224" i="3" s="1"/>
  <c r="M220" i="3"/>
  <c r="G212" i="3"/>
  <c r="I212" i="3" s="1"/>
  <c r="K212" i="3" s="1"/>
  <c r="L212" i="3" s="1"/>
  <c r="I211" i="3"/>
  <c r="K211" i="3" s="1"/>
  <c r="G210" i="3"/>
  <c r="F210" i="3"/>
  <c r="H209" i="3"/>
  <c r="G209" i="3"/>
  <c r="D209" i="3"/>
  <c r="D211" i="3" s="1"/>
  <c r="M206" i="3"/>
  <c r="G198" i="3"/>
  <c r="I198" i="3" s="1"/>
  <c r="K198" i="3" s="1"/>
  <c r="M198" i="3" s="1"/>
  <c r="I197" i="3"/>
  <c r="K197" i="3" s="1"/>
  <c r="L197" i="3" s="1"/>
  <c r="G196" i="3"/>
  <c r="F196" i="3"/>
  <c r="H195" i="3"/>
  <c r="G195" i="3"/>
  <c r="D195" i="3"/>
  <c r="D196" i="3" s="1"/>
  <c r="M192" i="3"/>
  <c r="G184" i="3"/>
  <c r="I184" i="3" s="1"/>
  <c r="K184" i="3" s="1"/>
  <c r="L184" i="3" s="1"/>
  <c r="I183" i="3"/>
  <c r="K183" i="3" s="1"/>
  <c r="G182" i="3"/>
  <c r="F182" i="3"/>
  <c r="H181" i="3"/>
  <c r="G181" i="3"/>
  <c r="D181" i="3"/>
  <c r="D183" i="3" s="1"/>
  <c r="M178" i="3"/>
  <c r="G100" i="3"/>
  <c r="I100" i="3" s="1"/>
  <c r="K100" i="3" s="1"/>
  <c r="M100" i="3" s="1"/>
  <c r="G98" i="3"/>
  <c r="F98" i="3"/>
  <c r="H97" i="3"/>
  <c r="G97" i="3"/>
  <c r="D97" i="3"/>
  <c r="D98" i="3" s="1"/>
  <c r="M94" i="3"/>
  <c r="G86" i="3"/>
  <c r="I86" i="3" s="1"/>
  <c r="K86" i="3" s="1"/>
  <c r="G84" i="3"/>
  <c r="F84" i="3"/>
  <c r="H83" i="3"/>
  <c r="G83" i="3"/>
  <c r="D83" i="3"/>
  <c r="D85" i="3" s="1"/>
  <c r="M80" i="3"/>
  <c r="G72" i="3"/>
  <c r="I72" i="3" s="1"/>
  <c r="K72" i="3" s="1"/>
  <c r="L72" i="3" s="1"/>
  <c r="G70" i="3"/>
  <c r="F70" i="3"/>
  <c r="H69" i="3"/>
  <c r="G69" i="3"/>
  <c r="D69" i="3"/>
  <c r="D70" i="3" s="1"/>
  <c r="M66" i="3"/>
  <c r="G58" i="3"/>
  <c r="I58" i="3" s="1"/>
  <c r="K58" i="3" s="1"/>
  <c r="G56" i="3"/>
  <c r="F56" i="3"/>
  <c r="H55" i="3"/>
  <c r="G55" i="3"/>
  <c r="D55" i="3"/>
  <c r="D57" i="3" s="1"/>
  <c r="M52" i="3"/>
  <c r="G44" i="3"/>
  <c r="I44" i="3" s="1"/>
  <c r="K44" i="3" s="1"/>
  <c r="G42" i="3"/>
  <c r="H41" i="3"/>
  <c r="D41" i="3"/>
  <c r="D42" i="3" s="1"/>
  <c r="B6" i="3"/>
  <c r="A17" i="1" s="1"/>
  <c r="B91" i="15" s="1"/>
  <c r="B5" i="3"/>
  <c r="A16" i="1" s="1"/>
  <c r="B90" i="15" s="1"/>
  <c r="B4" i="3"/>
  <c r="A15" i="1" s="1"/>
  <c r="B89" i="15" s="1"/>
  <c r="B3" i="3"/>
  <c r="D53" i="3" s="1"/>
  <c r="F57" i="3" s="1"/>
  <c r="I57" i="3" s="1"/>
  <c r="K57" i="3" s="1"/>
  <c r="B2" i="3"/>
  <c r="D16" i="2"/>
  <c r="B1" i="1"/>
  <c r="M113" i="3" l="1"/>
  <c r="L127" i="3"/>
  <c r="L155" i="3"/>
  <c r="L141" i="3"/>
  <c r="M168" i="3"/>
  <c r="I73" i="4"/>
  <c r="K73" i="4" s="1"/>
  <c r="M73" i="4" s="1"/>
  <c r="I101" i="4"/>
  <c r="K101" i="4" s="1"/>
  <c r="L101" i="4" s="1"/>
  <c r="B25" i="1"/>
  <c r="B23" i="1"/>
  <c r="B26" i="1"/>
  <c r="B24" i="1"/>
  <c r="I114" i="4"/>
  <c r="K114" i="4" s="1"/>
  <c r="L114" i="4" s="1"/>
  <c r="I87" i="4"/>
  <c r="K87" i="4" s="1"/>
  <c r="M87" i="4" s="1"/>
  <c r="I59" i="4"/>
  <c r="K59" i="4" s="1"/>
  <c r="M59" i="4" s="1"/>
  <c r="I45" i="4"/>
  <c r="K45" i="4" s="1"/>
  <c r="M45" i="4" s="1"/>
  <c r="M172" i="3"/>
  <c r="K172" i="3"/>
  <c r="K173" i="3" s="1"/>
  <c r="K16" i="2"/>
  <c r="E16" i="2"/>
  <c r="J75" i="15" s="1"/>
  <c r="M153" i="3"/>
  <c r="M158" i="3" s="1"/>
  <c r="D90" i="15"/>
  <c r="D89" i="15"/>
  <c r="D91" i="15"/>
  <c r="B18" i="1"/>
  <c r="D92" i="15"/>
  <c r="D93" i="15"/>
  <c r="B20" i="1"/>
  <c r="D95" i="15"/>
  <c r="D39" i="3"/>
  <c r="A13" i="1"/>
  <c r="B19" i="1"/>
  <c r="A14" i="1"/>
  <c r="B21" i="1"/>
  <c r="B22" i="1"/>
  <c r="K158" i="3"/>
  <c r="K159" i="3" s="1"/>
  <c r="M144" i="3"/>
  <c r="M130" i="3"/>
  <c r="L125" i="3"/>
  <c r="L111" i="3"/>
  <c r="L140" i="3"/>
  <c r="K144" i="3" s="1"/>
  <c r="K145" i="3" s="1"/>
  <c r="L126" i="3"/>
  <c r="L112" i="3"/>
  <c r="D81" i="3"/>
  <c r="F85" i="3" s="1"/>
  <c r="I85" i="3" s="1"/>
  <c r="K85" i="3" s="1"/>
  <c r="M85" i="3" s="1"/>
  <c r="D95" i="3"/>
  <c r="F99" i="3" s="1"/>
  <c r="I99" i="3" s="1"/>
  <c r="K99" i="3" s="1"/>
  <c r="L99" i="3" s="1"/>
  <c r="D235" i="3"/>
  <c r="D67" i="3"/>
  <c r="F71" i="3" s="1"/>
  <c r="I71" i="3" s="1"/>
  <c r="K71" i="3" s="1"/>
  <c r="L71" i="3" s="1"/>
  <c r="M116" i="3"/>
  <c r="I98" i="3"/>
  <c r="K98" i="3" s="1"/>
  <c r="M98" i="3" s="1"/>
  <c r="I69" i="3"/>
  <c r="K69" i="3" s="1"/>
  <c r="M69" i="3" s="1"/>
  <c r="I196" i="3"/>
  <c r="K196" i="3" s="1"/>
  <c r="L196" i="3" s="1"/>
  <c r="I237" i="3"/>
  <c r="K237" i="3" s="1"/>
  <c r="L237" i="3" s="1"/>
  <c r="L100" i="3"/>
  <c r="D72" i="3"/>
  <c r="I97" i="3"/>
  <c r="K97" i="3" s="1"/>
  <c r="L97" i="3" s="1"/>
  <c r="I42" i="3"/>
  <c r="K42" i="3" s="1"/>
  <c r="L42" i="3" s="1"/>
  <c r="I223" i="3"/>
  <c r="K223" i="3" s="1"/>
  <c r="M223" i="3" s="1"/>
  <c r="D43" i="3"/>
  <c r="L198" i="3"/>
  <c r="D99" i="3"/>
  <c r="I55" i="3"/>
  <c r="K55" i="3" s="1"/>
  <c r="L55" i="3" s="1"/>
  <c r="I195" i="3"/>
  <c r="K195" i="3" s="1"/>
  <c r="M195" i="3" s="1"/>
  <c r="I41" i="3"/>
  <c r="K41" i="3" s="1"/>
  <c r="M41" i="3" s="1"/>
  <c r="C2" i="1"/>
  <c r="B3" i="1"/>
  <c r="M116" i="4"/>
  <c r="L116" i="4"/>
  <c r="M44" i="3"/>
  <c r="L44" i="3"/>
  <c r="D89" i="4"/>
  <c r="D212" i="3"/>
  <c r="D71" i="3"/>
  <c r="D240" i="3"/>
  <c r="D58" i="3"/>
  <c r="D84" i="3"/>
  <c r="I58" i="4"/>
  <c r="K58" i="4" s="1"/>
  <c r="M58" i="4" s="1"/>
  <c r="I72" i="4"/>
  <c r="K72" i="4" s="1"/>
  <c r="L72" i="4" s="1"/>
  <c r="K77" i="4" s="1"/>
  <c r="K78" i="4" s="1"/>
  <c r="M72" i="3"/>
  <c r="D197" i="3"/>
  <c r="D86" i="3"/>
  <c r="I182" i="3"/>
  <c r="K182" i="3" s="1"/>
  <c r="L182" i="3" s="1"/>
  <c r="I224" i="3"/>
  <c r="K224" i="3" s="1"/>
  <c r="L224" i="3" s="1"/>
  <c r="I129" i="4"/>
  <c r="K129" i="4" s="1"/>
  <c r="L129" i="4" s="1"/>
  <c r="I84" i="3"/>
  <c r="K84" i="3" s="1"/>
  <c r="M84" i="3" s="1"/>
  <c r="D225" i="3"/>
  <c r="I238" i="3"/>
  <c r="K238" i="3" s="1"/>
  <c r="I56" i="3"/>
  <c r="K56" i="3" s="1"/>
  <c r="I83" i="3"/>
  <c r="K83" i="3" s="1"/>
  <c r="M83" i="3" s="1"/>
  <c r="D100" i="3"/>
  <c r="D198" i="3"/>
  <c r="I210" i="3"/>
  <c r="K210" i="3" s="1"/>
  <c r="M210" i="3" s="1"/>
  <c r="D131" i="4"/>
  <c r="D210" i="3"/>
  <c r="I70" i="3"/>
  <c r="K70" i="3" s="1"/>
  <c r="L70" i="3" s="1"/>
  <c r="L86" i="3"/>
  <c r="M86" i="3"/>
  <c r="M183" i="3"/>
  <c r="L183" i="3"/>
  <c r="M57" i="3"/>
  <c r="L57" i="3"/>
  <c r="L58" i="3"/>
  <c r="M58" i="3"/>
  <c r="M211" i="3"/>
  <c r="L211" i="3"/>
  <c r="M239" i="3"/>
  <c r="L239" i="3"/>
  <c r="M100" i="4"/>
  <c r="L100" i="4"/>
  <c r="C3" i="1"/>
  <c r="D38" i="3"/>
  <c r="M197" i="3"/>
  <c r="M212" i="3"/>
  <c r="M75" i="4"/>
  <c r="L75" i="4"/>
  <c r="D56" i="3"/>
  <c r="L226" i="3"/>
  <c r="B2" i="1"/>
  <c r="M46" i="4"/>
  <c r="L46" i="4"/>
  <c r="M74" i="4"/>
  <c r="L74" i="4"/>
  <c r="D184" i="3"/>
  <c r="I209" i="3"/>
  <c r="K209" i="3" s="1"/>
  <c r="M240" i="3"/>
  <c r="M88" i="4"/>
  <c r="L88" i="4"/>
  <c r="L225" i="3"/>
  <c r="M225" i="3"/>
  <c r="M128" i="4"/>
  <c r="L128" i="4"/>
  <c r="D182" i="3"/>
  <c r="M60" i="4"/>
  <c r="L60" i="4"/>
  <c r="M117" i="4"/>
  <c r="L117" i="4"/>
  <c r="M86" i="4"/>
  <c r="M91" i="4" s="1"/>
  <c r="L86" i="4"/>
  <c r="K91" i="4" s="1"/>
  <c r="K92" i="4" s="1"/>
  <c r="M89" i="4"/>
  <c r="L89" i="4"/>
  <c r="M101" i="4"/>
  <c r="M130" i="4"/>
  <c r="L130" i="4"/>
  <c r="M184" i="3"/>
  <c r="M102" i="4"/>
  <c r="L102" i="4"/>
  <c r="I181" i="3"/>
  <c r="K181" i="3" s="1"/>
  <c r="M103" i="4"/>
  <c r="L103" i="4"/>
  <c r="L115" i="4"/>
  <c r="M115" i="4"/>
  <c r="M131" i="4"/>
  <c r="L131" i="4"/>
  <c r="D238" i="3"/>
  <c r="D44" i="3"/>
  <c r="D226" i="3"/>
  <c r="M44" i="4"/>
  <c r="D46" i="4"/>
  <c r="M61" i="4"/>
  <c r="D75" i="4"/>
  <c r="D87" i="4"/>
  <c r="D45" i="4"/>
  <c r="D116" i="4"/>
  <c r="L47" i="4"/>
  <c r="D74" i="4"/>
  <c r="D103" i="4"/>
  <c r="D115" i="4"/>
  <c r="D61" i="4"/>
  <c r="D102" i="4"/>
  <c r="D60" i="4"/>
  <c r="D130" i="4"/>
  <c r="L73" i="4" l="1"/>
  <c r="M71" i="3"/>
  <c r="K174" i="3"/>
  <c r="K175" i="3" s="1"/>
  <c r="K176" i="3" s="1"/>
  <c r="F11" i="3" s="1"/>
  <c r="M99" i="3"/>
  <c r="L85" i="3"/>
  <c r="F43" i="3"/>
  <c r="I43" i="3" s="1"/>
  <c r="K43" i="3" s="1"/>
  <c r="B88" i="15"/>
  <c r="D88" i="15" s="1"/>
  <c r="B14" i="1"/>
  <c r="B87" i="15"/>
  <c r="D87" i="15" s="1"/>
  <c r="B13" i="1"/>
  <c r="L87" i="4"/>
  <c r="L45" i="4"/>
  <c r="M129" i="4"/>
  <c r="L59" i="4"/>
  <c r="M114" i="4"/>
  <c r="M119" i="4" s="1"/>
  <c r="L16" i="2"/>
  <c r="J76" i="15" s="1"/>
  <c r="K105" i="4"/>
  <c r="K106" i="4" s="1"/>
  <c r="M105" i="4"/>
  <c r="K133" i="4"/>
  <c r="K134" i="4" s="1"/>
  <c r="K119" i="4"/>
  <c r="K120" i="4" s="1"/>
  <c r="M133" i="4"/>
  <c r="K130" i="3"/>
  <c r="K131" i="3" s="1"/>
  <c r="K132" i="3" s="1"/>
  <c r="K133" i="3" s="1"/>
  <c r="K134" i="3" s="1"/>
  <c r="F8" i="3" s="1"/>
  <c r="K160" i="3"/>
  <c r="K161" i="3" s="1"/>
  <c r="K162" i="3" s="1"/>
  <c r="F10" i="3" s="1"/>
  <c r="D94" i="15"/>
  <c r="K146" i="3"/>
  <c r="K147" i="3" s="1"/>
  <c r="K148" i="3" s="1"/>
  <c r="F9" i="3" s="1"/>
  <c r="G11" i="3"/>
  <c r="B15" i="1"/>
  <c r="B17" i="1"/>
  <c r="B16" i="1"/>
  <c r="K116" i="3"/>
  <c r="K117" i="3" s="1"/>
  <c r="K118" i="3" s="1"/>
  <c r="K119" i="3" s="1"/>
  <c r="L98" i="3"/>
  <c r="K102" i="3" s="1"/>
  <c r="K103" i="3" s="1"/>
  <c r="L69" i="3"/>
  <c r="K74" i="3" s="1"/>
  <c r="K75" i="3" s="1"/>
  <c r="M237" i="3"/>
  <c r="M196" i="3"/>
  <c r="M200" i="3" s="1"/>
  <c r="M97" i="3"/>
  <c r="M42" i="3"/>
  <c r="L223" i="3"/>
  <c r="K228" i="3" s="1"/>
  <c r="K229" i="3" s="1"/>
  <c r="M55" i="3"/>
  <c r="L84" i="3"/>
  <c r="M70" i="3"/>
  <c r="M74" i="3" s="1"/>
  <c r="M224" i="3"/>
  <c r="M228" i="3" s="1"/>
  <c r="L41" i="3"/>
  <c r="L195" i="3"/>
  <c r="K200" i="3" s="1"/>
  <c r="K201" i="3" s="1"/>
  <c r="M72" i="4"/>
  <c r="M77" i="4" s="1"/>
  <c r="K79" i="4" s="1"/>
  <c r="K80" i="4" s="1"/>
  <c r="H4" i="4" s="1"/>
  <c r="L83" i="3"/>
  <c r="M49" i="4"/>
  <c r="L210" i="3"/>
  <c r="M238" i="3"/>
  <c r="L238" i="3"/>
  <c r="K242" i="3" s="1"/>
  <c r="K243" i="3" s="1"/>
  <c r="K49" i="4"/>
  <c r="K50" i="4" s="1"/>
  <c r="M88" i="3"/>
  <c r="M182" i="3"/>
  <c r="L58" i="4"/>
  <c r="K63" i="4" s="1"/>
  <c r="K64" i="4" s="1"/>
  <c r="L56" i="3"/>
  <c r="K60" i="3" s="1"/>
  <c r="K61" i="3" s="1"/>
  <c r="M56" i="3"/>
  <c r="M63" i="4"/>
  <c r="K93" i="4"/>
  <c r="K94" i="4" s="1"/>
  <c r="H5" i="4" s="1"/>
  <c r="M181" i="3"/>
  <c r="L181" i="3"/>
  <c r="K186" i="3" s="1"/>
  <c r="K187" i="3" s="1"/>
  <c r="M209" i="3"/>
  <c r="M214" i="3" s="1"/>
  <c r="L209" i="3"/>
  <c r="M102" i="3" l="1"/>
  <c r="K104" i="3" s="1"/>
  <c r="K105" i="3" s="1"/>
  <c r="G6" i="3" s="1"/>
  <c r="K121" i="4"/>
  <c r="K122" i="4" s="1"/>
  <c r="K123" i="4" s="1"/>
  <c r="G7" i="4" s="1"/>
  <c r="L43" i="3"/>
  <c r="K46" i="3" s="1"/>
  <c r="K47" i="3" s="1"/>
  <c r="M43" i="3"/>
  <c r="M46" i="3" s="1"/>
  <c r="K135" i="4"/>
  <c r="K136" i="4" s="1"/>
  <c r="H8" i="4" s="1"/>
  <c r="K107" i="4"/>
  <c r="K108" i="4" s="1"/>
  <c r="K109" i="4" s="1"/>
  <c r="G6" i="4" s="1"/>
  <c r="G10" i="3"/>
  <c r="G8" i="3"/>
  <c r="G9" i="3"/>
  <c r="K120" i="3"/>
  <c r="F7" i="3" s="1"/>
  <c r="G7" i="3"/>
  <c r="M242" i="3"/>
  <c r="K244" i="3" s="1"/>
  <c r="K245" i="3" s="1"/>
  <c r="K246" i="3" s="1"/>
  <c r="K76" i="3"/>
  <c r="K77" i="3" s="1"/>
  <c r="K214" i="3"/>
  <c r="K215" i="3" s="1"/>
  <c r="K216" i="3" s="1"/>
  <c r="K217" i="3" s="1"/>
  <c r="G14" i="3" s="1"/>
  <c r="M60" i="3"/>
  <c r="K62" i="3" s="1"/>
  <c r="K63" i="3" s="1"/>
  <c r="G3" i="3" s="1"/>
  <c r="K230" i="3"/>
  <c r="K231" i="3" s="1"/>
  <c r="K202" i="3"/>
  <c r="K203" i="3" s="1"/>
  <c r="K88" i="3"/>
  <c r="K89" i="3" s="1"/>
  <c r="K90" i="3" s="1"/>
  <c r="K91" i="3" s="1"/>
  <c r="G5" i="3" s="1"/>
  <c r="M186" i="3"/>
  <c r="K188" i="3" s="1"/>
  <c r="K189" i="3" s="1"/>
  <c r="G12" i="3" s="1"/>
  <c r="K51" i="4"/>
  <c r="K52" i="4" s="1"/>
  <c r="H2" i="4" s="1"/>
  <c r="K65" i="4"/>
  <c r="K66" i="4" s="1"/>
  <c r="H3" i="4" s="1"/>
  <c r="K81" i="4"/>
  <c r="G4" i="4" s="1"/>
  <c r="K95" i="4"/>
  <c r="G5" i="4" s="1"/>
  <c r="D42" i="1" l="1"/>
  <c r="D41" i="1"/>
  <c r="D40" i="1"/>
  <c r="D39" i="1"/>
  <c r="D38" i="1"/>
  <c r="K137" i="4"/>
  <c r="G8" i="4" s="1"/>
  <c r="H7" i="4"/>
  <c r="K48" i="3"/>
  <c r="K49" i="3" s="1"/>
  <c r="G2" i="3" s="1"/>
  <c r="K78" i="3"/>
  <c r="F4" i="3" s="1"/>
  <c r="G4" i="3"/>
  <c r="H6" i="4"/>
  <c r="K232" i="3"/>
  <c r="F15" i="3" s="1"/>
  <c r="G15" i="3"/>
  <c r="K204" i="3"/>
  <c r="F13" i="3" s="1"/>
  <c r="G13" i="3"/>
  <c r="K106" i="3"/>
  <c r="F6" i="3" s="1"/>
  <c r="K53" i="4"/>
  <c r="G2" i="4" s="1"/>
  <c r="D33" i="1" s="1"/>
  <c r="G124" i="15" s="1"/>
  <c r="K190" i="3"/>
  <c r="F12" i="3" s="1"/>
  <c r="K64" i="3"/>
  <c r="F3" i="3" s="1"/>
  <c r="C14" i="1" s="1"/>
  <c r="K92" i="3"/>
  <c r="F5" i="3" s="1"/>
  <c r="K218" i="3"/>
  <c r="F14" i="3" s="1"/>
  <c r="K67" i="4"/>
  <c r="G3" i="4" s="1"/>
  <c r="K50" i="3" l="1"/>
  <c r="F2" i="3" s="1"/>
  <c r="C13" i="1" s="1"/>
  <c r="D36" i="1"/>
  <c r="G127" i="15" s="1"/>
  <c r="D34" i="1"/>
  <c r="G125" i="15" s="1"/>
  <c r="D37" i="1"/>
  <c r="G128" i="15" s="1"/>
  <c r="D35" i="1"/>
  <c r="G126" i="15" s="1"/>
  <c r="C17" i="1"/>
  <c r="C20" i="1"/>
  <c r="F93" i="15"/>
  <c r="F94" i="15"/>
  <c r="C21" i="1"/>
  <c r="C22" i="1"/>
  <c r="C19" i="1"/>
  <c r="F95" i="15"/>
  <c r="F92" i="15"/>
  <c r="C18" i="1"/>
  <c r="C26" i="1"/>
  <c r="F89" i="15"/>
  <c r="F91" i="15"/>
  <c r="C15" i="1"/>
  <c r="C16" i="1"/>
  <c r="F90" i="15"/>
  <c r="F88" i="15"/>
  <c r="C23" i="1" l="1"/>
  <c r="C24" i="1"/>
  <c r="C25" i="1"/>
  <c r="F8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<sst xmlns="http://schemas.openxmlformats.org/spreadsheetml/2006/main" count="1460" uniqueCount="383">
  <si>
    <t>No. Order</t>
  </si>
  <si>
    <t>T (°C)</t>
  </si>
  <si>
    <t>RH (%)</t>
  </si>
  <si>
    <t>Standar (nm)</t>
  </si>
  <si>
    <t>Pembacaan Alat 
(nm)</t>
  </si>
  <si>
    <t>U95%
k=2
(nm)</t>
  </si>
  <si>
    <t>Akurasi Fotometri</t>
  </si>
  <si>
    <t>Panjang Gelombang (nm)</t>
  </si>
  <si>
    <t>Standar (Abs)</t>
  </si>
  <si>
    <t>Pembacaan Alat 
(Abs)</t>
  </si>
  <si>
    <t>U95%
k=2
(Abs)</t>
  </si>
  <si>
    <t>KALIBRASI SPEKTROFOTOMETER UV-VIS</t>
  </si>
  <si>
    <t>LABORATORIUM KALIBRASI DAN PENGUJI</t>
  </si>
  <si>
    <t>BALAI BESAR LOGAM DAN MESIN</t>
  </si>
  <si>
    <t>BANDUNG</t>
  </si>
  <si>
    <t>Tipe</t>
  </si>
  <si>
    <t>No. Seri</t>
  </si>
  <si>
    <t>No. ID</t>
  </si>
  <si>
    <t>-</t>
  </si>
  <si>
    <t>Standar Acuan</t>
  </si>
  <si>
    <t>IK-K-04-xx-xx</t>
  </si>
  <si>
    <t>(SNSU PK.F-01:2020)</t>
  </si>
  <si>
    <t>Temperatur (°C)</t>
  </si>
  <si>
    <t>Awal</t>
  </si>
  <si>
    <t>Kelembaban (%RH)</t>
  </si>
  <si>
    <t>Akhir</t>
  </si>
  <si>
    <t>Lokasi kalibrasi</t>
  </si>
  <si>
    <t>Dikalibrasi</t>
  </si>
  <si>
    <t>Paraf</t>
  </si>
  <si>
    <t>Tgl. terima</t>
  </si>
  <si>
    <t>Diperiksa</t>
  </si>
  <si>
    <t>M. Wira Akira</t>
  </si>
  <si>
    <t>Tgl. kalibrasi</t>
  </si>
  <si>
    <t>Disetujui</t>
  </si>
  <si>
    <t>Kalibrator yang digunakan:</t>
  </si>
  <si>
    <t>Glass Filter Hellma 666-F1 No. Seri E2495, Hellma 666-F7 No. Seri 6483, Hellma 666-F3 No. Seri 6483 dan Hellma 666-F4 No. Seri 6483 yang tertelusur ke SI melalui DKD-K-42701, D-K-18752-01-00 dan LIPI</t>
  </si>
  <si>
    <t>Glass Filter / Wavelength</t>
  </si>
  <si>
    <t>Pembacaan 
Standar</t>
  </si>
  <si>
    <t>X1</t>
  </si>
  <si>
    <t>X2</t>
  </si>
  <si>
    <t>X3</t>
  </si>
  <si>
    <t>X4</t>
  </si>
  <si>
    <t>X5</t>
  </si>
  <si>
    <t>nm</t>
  </si>
  <si>
    <t>666-F3</t>
  </si>
  <si>
    <t>Abs</t>
  </si>
  <si>
    <t>666-F4</t>
  </si>
  <si>
    <t>666-F7</t>
  </si>
  <si>
    <t>Glass Filter</t>
  </si>
  <si>
    <t>P. Std</t>
  </si>
  <si>
    <t>Kor. Std</t>
  </si>
  <si>
    <t>P. Alat</t>
  </si>
  <si>
    <t>Kor. Alat</t>
  </si>
  <si>
    <t>U 95%</t>
  </si>
  <si>
    <t>k</t>
  </si>
  <si>
    <t>CMC</t>
  </si>
  <si>
    <t>Uncertainty Budget sebagai Pendukung Kemampuan Kalibrasi dan Pengukuran (CMC)</t>
  </si>
  <si>
    <t>Nama  Laboratorium</t>
  </si>
  <si>
    <t>:</t>
  </si>
  <si>
    <t>BALAI BESAR STANDARDISASI DAN PELAYANAN JASA INDUSTRI LOGAM DAN MESIN</t>
  </si>
  <si>
    <t>Alamat</t>
  </si>
  <si>
    <t>Jl.  Sangkuriang  No. 12  Bandung  40135</t>
  </si>
  <si>
    <t>Besaran yang diukur</t>
  </si>
  <si>
    <t>Instrumen Analitik</t>
  </si>
  <si>
    <t>Wavelength</t>
  </si>
  <si>
    <t>Jenis alat yang dikalibrasi</t>
  </si>
  <si>
    <t>Spektrofotometer UV-VIS</t>
  </si>
  <si>
    <t>Standar yang digunakan</t>
  </si>
  <si>
    <t>Glass Filter F1; F7</t>
  </si>
  <si>
    <t>Model matematis Pengukuran</t>
  </si>
  <si>
    <r>
      <rPr>
        <sz val="10"/>
        <color rgb="FF000000"/>
        <rFont val="Cambria"/>
      </rPr>
      <t>K</t>
    </r>
    <r>
      <rPr>
        <vertAlign val="subscript"/>
        <sz val="10"/>
        <color rgb="FF000000"/>
        <rFont val="Calibri"/>
      </rPr>
      <t>λ</t>
    </r>
    <r>
      <rPr>
        <sz val="10"/>
        <color rgb="FF000000"/>
        <rFont val="Cambria"/>
      </rPr>
      <t xml:space="preserve"> = </t>
    </r>
    <r>
      <rPr>
        <sz val="10"/>
        <color rgb="FF000000"/>
        <rFont val="Calibri"/>
      </rPr>
      <t>λ</t>
    </r>
    <r>
      <rPr>
        <vertAlign val="subscript"/>
        <sz val="10"/>
        <color rgb="FF000000"/>
        <rFont val="Cambria"/>
      </rPr>
      <t xml:space="preserve">s </t>
    </r>
    <r>
      <rPr>
        <sz val="10"/>
        <color rgb="FF000000"/>
        <rFont val="Cambria"/>
      </rPr>
      <t xml:space="preserve">- </t>
    </r>
    <r>
      <rPr>
        <sz val="10"/>
        <color rgb="FF000000"/>
        <rFont val="Calibri"/>
      </rPr>
      <t>λ</t>
    </r>
    <r>
      <rPr>
        <vertAlign val="subscript"/>
        <sz val="10"/>
        <color rgb="FF000000"/>
        <rFont val="Cambria"/>
      </rPr>
      <t>UUT</t>
    </r>
  </si>
  <si>
    <t xml:space="preserve">Model dengan memperhitungkan faktor-faktor lain yang berpengaruh  </t>
  </si>
  <si>
    <r>
      <rPr>
        <sz val="10"/>
        <color rgb="FF000000"/>
        <rFont val="Cambria"/>
      </rPr>
      <t>K</t>
    </r>
    <r>
      <rPr>
        <vertAlign val="subscript"/>
        <sz val="10"/>
        <color rgb="FF000000"/>
        <rFont val="Cambria"/>
      </rPr>
      <t>λ</t>
    </r>
    <r>
      <rPr>
        <sz val="10"/>
        <color rgb="FF000000"/>
        <rFont val="Cambria"/>
      </rPr>
      <t xml:space="preserve"> = λ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 xml:space="preserve"> + δ</t>
    </r>
    <r>
      <rPr>
        <vertAlign val="subscript"/>
        <sz val="10"/>
        <color rgb="FF000000"/>
        <rFont val="Cambria"/>
      </rPr>
      <t>λs</t>
    </r>
    <r>
      <rPr>
        <sz val="10"/>
        <color rgb="FF000000"/>
        <rFont val="Cambria"/>
      </rPr>
      <t xml:space="preserve">  - λ</t>
    </r>
    <r>
      <rPr>
        <vertAlign val="subscript"/>
        <sz val="10"/>
        <color rgb="FF000000"/>
        <rFont val="Cambria"/>
      </rPr>
      <t>UUT</t>
    </r>
  </si>
  <si>
    <r>
      <rPr>
        <sz val="10"/>
        <color rgb="FF000000"/>
        <rFont val="Cambria"/>
      </rPr>
      <t>K</t>
    </r>
    <r>
      <rPr>
        <vertAlign val="subscript"/>
        <sz val="10"/>
        <color rgb="FF000000"/>
        <rFont val="Cambria"/>
      </rPr>
      <t>λ</t>
    </r>
  </si>
  <si>
    <t>: koreksi panjang gelombang UUT</t>
  </si>
  <si>
    <r>
      <rPr>
        <sz val="10"/>
        <color rgb="FF000000"/>
        <rFont val="Cambria"/>
      </rPr>
      <t>λ</t>
    </r>
    <r>
      <rPr>
        <vertAlign val="subscript"/>
        <sz val="10"/>
        <color rgb="FF000000"/>
        <rFont val="Cambria"/>
      </rPr>
      <t>s</t>
    </r>
  </si>
  <si>
    <t>: panjang gelombang standar</t>
  </si>
  <si>
    <r>
      <rPr>
        <sz val="10"/>
        <color rgb="FF000000"/>
        <rFont val="Cambria"/>
      </rPr>
      <t>δ</t>
    </r>
    <r>
      <rPr>
        <vertAlign val="subscript"/>
        <sz val="10"/>
        <color rgb="FF000000"/>
        <rFont val="Cambria"/>
      </rPr>
      <t>λs</t>
    </r>
  </si>
  <si>
    <t>: koreksi panjang gelombang standar</t>
  </si>
  <si>
    <r>
      <rPr>
        <sz val="10"/>
        <color rgb="FF000000"/>
        <rFont val="Cambria"/>
      </rPr>
      <t>λ</t>
    </r>
    <r>
      <rPr>
        <vertAlign val="subscript"/>
        <sz val="10"/>
        <color rgb="FF000000"/>
        <rFont val="Cambria"/>
      </rPr>
      <t>UUT</t>
    </r>
  </si>
  <si>
    <t>: panjang gelombang UUT</t>
  </si>
  <si>
    <t>Pembacaan Standar</t>
  </si>
  <si>
    <t>Komponen</t>
  </si>
  <si>
    <t>Simbol</t>
  </si>
  <si>
    <t>Satuan</t>
  </si>
  <si>
    <t>Distribusi</t>
  </si>
  <si>
    <t>U</t>
  </si>
  <si>
    <t>Pembagi</t>
  </si>
  <si>
    <t>vi</t>
  </si>
  <si>
    <t>Ui</t>
  </si>
  <si>
    <t>Ci</t>
  </si>
  <si>
    <t>Ui.Ci</t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</si>
  <si>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</si>
  <si>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</si>
  <si>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t>Repeatability</t>
  </si>
  <si>
    <r>
      <rPr>
        <sz val="10"/>
        <color rgb="FF000000"/>
        <rFont val="Cambria"/>
      </rPr>
      <t>u(</t>
    </r>
    <r>
      <rPr>
        <sz val="10"/>
        <color rgb="FF000000"/>
        <rFont val="Calibri"/>
      </rPr>
      <t>λ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</si>
  <si>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t>A</t>
  </si>
  <si>
    <t>Normal</t>
  </si>
  <si>
    <t>Readability</t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</si>
  <si>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</si>
  <si>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t>B</t>
  </si>
  <si>
    <t>Rect.</t>
  </si>
  <si>
    <t>Standar</t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</si>
  <si>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</si>
  <si>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t>Drift Standar</t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</si>
  <si>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</si>
  <si>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t>Jumlah</t>
  </si>
  <si>
    <t>Ketidakpastian Baku Gabungan, uc</t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</si>
  <si>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</si>
  <si>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</si>
  <si>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t>Ketidakpastian Bentangan, U = k . Uc</t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</si>
  <si>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</si>
  <si>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</si>
  <si>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r>
      <rPr>
        <sz val="10"/>
        <color rgb="FF000000"/>
        <rFont val="Cambria"/>
      </rPr>
      <t>u(</t>
    </r>
    <r>
      <rPr>
        <sz val="10"/>
        <color rgb="FF000000"/>
        <rFont val="Calibri"/>
      </rPr>
      <t>λ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</si>
  <si>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</si>
  <si>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</si>
  <si>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</si>
  <si>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</si>
  <si>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</si>
  <si>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</si>
  <si>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</si>
  <si>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r>
      <rPr>
        <sz val="10"/>
        <color rgb="FF000000"/>
        <rFont val="Cambria"/>
      </rPr>
      <t>u(</t>
    </r>
    <r>
      <rPr>
        <sz val="10"/>
        <color rgb="FF000000"/>
        <rFont val="Calibri"/>
      </rPr>
      <t>λ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</si>
  <si>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</si>
  <si>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</si>
  <si>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</si>
  <si>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</si>
  <si>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</si>
  <si>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</si>
  <si>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</si>
  <si>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r>
      <rPr>
        <sz val="10"/>
        <color rgb="FF000000"/>
        <rFont val="Cambria"/>
      </rPr>
      <t>u(</t>
    </r>
    <r>
      <rPr>
        <sz val="10"/>
        <color rgb="FF000000"/>
        <rFont val="Calibri"/>
      </rPr>
      <t>λ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</si>
  <si>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</si>
  <si>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</si>
  <si>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</si>
  <si>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</si>
  <si>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</si>
  <si>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</si>
  <si>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</si>
  <si>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r>
      <rPr>
        <sz val="10"/>
        <color rgb="FF000000"/>
        <rFont val="Cambria"/>
      </rPr>
      <t>u(</t>
    </r>
    <r>
      <rPr>
        <sz val="10"/>
        <color rgb="FF000000"/>
        <rFont val="Calibri"/>
      </rPr>
      <t>λ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</si>
  <si>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</si>
  <si>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</si>
  <si>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</si>
  <si>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</si>
  <si>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</si>
  <si>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</si>
  <si>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</si>
  <si>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r>
      <rPr>
        <sz val="10"/>
        <color rgb="FF000000"/>
        <rFont val="Cambria"/>
      </rPr>
      <t>u(</t>
    </r>
    <r>
      <rPr>
        <sz val="10"/>
        <color rgb="FF000000"/>
        <rFont val="Calibri"/>
      </rPr>
      <t>λ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</si>
  <si>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</si>
  <si>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</si>
  <si>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</si>
  <si>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</si>
  <si>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</si>
  <si>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</si>
  <si>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</si>
  <si>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r>
      <rPr>
        <sz val="10"/>
        <color rgb="FF000000"/>
        <rFont val="Cambria"/>
      </rPr>
      <t>u(</t>
    </r>
    <r>
      <rPr>
        <sz val="10"/>
        <color rgb="FF000000"/>
        <rFont val="Calibri"/>
      </rPr>
      <t>λ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</si>
  <si>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</si>
  <si>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</si>
  <si>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</si>
  <si>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</si>
  <si>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</si>
  <si>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</si>
  <si>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</si>
  <si>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r>
      <rPr>
        <sz val="10"/>
        <color rgb="FF000000"/>
        <rFont val="Cambria"/>
      </rPr>
      <t>u(</t>
    </r>
    <r>
      <rPr>
        <sz val="10"/>
        <color rgb="FF000000"/>
        <rFont val="Calibri"/>
      </rPr>
      <t>λ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</si>
  <si>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</si>
  <si>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</si>
  <si>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</si>
  <si>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</si>
  <si>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</si>
  <si>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</si>
  <si>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</si>
  <si>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r>
      <rPr>
        <sz val="10"/>
        <color rgb="FF000000"/>
        <rFont val="Cambria"/>
      </rPr>
      <t>u(</t>
    </r>
    <r>
      <rPr>
        <sz val="10"/>
        <color rgb="FF000000"/>
        <rFont val="Calibri"/>
      </rPr>
      <t>λ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</si>
  <si>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</si>
  <si>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</si>
  <si>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</si>
  <si>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</si>
  <si>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</si>
  <si>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</si>
  <si>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</si>
  <si>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r>
      <rPr>
        <sz val="10"/>
        <color rgb="FF000000"/>
        <rFont val="Cambria"/>
      </rPr>
      <t>u(</t>
    </r>
    <r>
      <rPr>
        <sz val="10"/>
        <color rgb="FF000000"/>
        <rFont val="Calibri"/>
      </rPr>
      <t>λ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</si>
  <si>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</si>
  <si>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</si>
  <si>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u(λ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</si>
  <si>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</si>
  <si>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</si>
  <si>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t>Kor Std</t>
  </si>
  <si>
    <t>Kor Alat</t>
  </si>
  <si>
    <t>Un17</t>
  </si>
  <si>
    <r>
      <rPr>
        <sz val="10"/>
        <color rgb="FF000000"/>
        <rFont val="Cambria"/>
      </rPr>
      <t>K</t>
    </r>
    <r>
      <rPr>
        <vertAlign val="subscript"/>
        <sz val="10"/>
        <color rgb="FF000000"/>
        <rFont val="Cambria"/>
      </rPr>
      <t>Abs</t>
    </r>
    <r>
      <rPr>
        <sz val="10"/>
        <color rgb="FF000000"/>
        <rFont val="Cambria"/>
      </rPr>
      <t xml:space="preserve"> = </t>
    </r>
    <r>
      <rPr>
        <sz val="10"/>
        <color rgb="FF000000"/>
        <rFont val="Calibri"/>
      </rPr>
      <t>Abs</t>
    </r>
    <r>
      <rPr>
        <vertAlign val="subscript"/>
        <sz val="10"/>
        <color rgb="FF000000"/>
        <rFont val="Cambria"/>
      </rPr>
      <t xml:space="preserve">s </t>
    </r>
    <r>
      <rPr>
        <sz val="10"/>
        <color rgb="FF000000"/>
        <rFont val="Cambria"/>
      </rPr>
      <t xml:space="preserve">- </t>
    </r>
    <r>
      <rPr>
        <sz val="10"/>
        <color rgb="FF000000"/>
        <rFont val="Calibri"/>
      </rPr>
      <t>Abs</t>
    </r>
    <r>
      <rPr>
        <vertAlign val="subscript"/>
        <sz val="10"/>
        <color rgb="FF000000"/>
        <rFont val="Cambria"/>
      </rPr>
      <t>UUT</t>
    </r>
  </si>
  <si>
    <r>
      <rPr>
        <sz val="10"/>
        <color rgb="FF000000"/>
        <rFont val="Cambria"/>
      </rPr>
      <t>K</t>
    </r>
    <r>
      <rPr>
        <vertAlign val="subscript"/>
        <sz val="10"/>
        <color rgb="FF000000"/>
        <rFont val="Cambria"/>
      </rPr>
      <t>Abs</t>
    </r>
    <r>
      <rPr>
        <sz val="10"/>
        <color rgb="FF000000"/>
        <rFont val="Cambria"/>
      </rPr>
      <t xml:space="preserve"> = Abs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 xml:space="preserve"> + δ</t>
    </r>
    <r>
      <rPr>
        <vertAlign val="subscript"/>
        <sz val="10"/>
        <color rgb="FF000000"/>
        <rFont val="Cambria"/>
      </rPr>
      <t>Abss</t>
    </r>
    <r>
      <rPr>
        <sz val="10"/>
        <color rgb="FF000000"/>
        <rFont val="Cambria"/>
      </rPr>
      <t xml:space="preserve">  - Abs</t>
    </r>
    <r>
      <rPr>
        <vertAlign val="subscript"/>
        <sz val="10"/>
        <color rgb="FF000000"/>
        <rFont val="Cambria"/>
      </rPr>
      <t>UUT</t>
    </r>
  </si>
  <si>
    <r>
      <rPr>
        <sz val="10"/>
        <color rgb="FF000000"/>
        <rFont val="Cambria"/>
      </rPr>
      <t>K</t>
    </r>
    <r>
      <rPr>
        <vertAlign val="subscript"/>
        <sz val="10"/>
        <color rgb="FF000000"/>
        <rFont val="Cambria"/>
      </rPr>
      <t>Abs</t>
    </r>
  </si>
  <si>
    <t>: koreksi absorbansi UUT</t>
  </si>
  <si>
    <r>
      <rPr>
        <sz val="10"/>
        <color rgb="FF000000"/>
        <rFont val="Cambria"/>
      </rPr>
      <t>Abs</t>
    </r>
    <r>
      <rPr>
        <vertAlign val="subscript"/>
        <sz val="10"/>
        <color rgb="FF000000"/>
        <rFont val="Cambria"/>
      </rPr>
      <t>s</t>
    </r>
  </si>
  <si>
    <t>: absorbansi standar</t>
  </si>
  <si>
    <r>
      <rPr>
        <sz val="10"/>
        <color rgb="FF000000"/>
        <rFont val="Cambria"/>
      </rPr>
      <t>δ</t>
    </r>
    <r>
      <rPr>
        <vertAlign val="subscript"/>
        <sz val="10"/>
        <color rgb="FF000000"/>
        <rFont val="Cambria"/>
      </rPr>
      <t>Abss</t>
    </r>
  </si>
  <si>
    <t>: koreksi absorbansi standar</t>
  </si>
  <si>
    <r>
      <rPr>
        <sz val="10"/>
        <color rgb="FF000000"/>
        <rFont val="Cambria"/>
      </rPr>
      <t>Abs</t>
    </r>
    <r>
      <rPr>
        <vertAlign val="subscript"/>
        <sz val="10"/>
        <color rgb="FF000000"/>
        <rFont val="Cambria"/>
      </rPr>
      <t>UUT</t>
    </r>
  </si>
  <si>
    <t>: absorbansi UUT</t>
  </si>
  <si>
    <t>Absorbance</t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</si>
  <si>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</si>
  <si>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</si>
  <si>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</si>
  <si>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</si>
  <si>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</si>
  <si>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</si>
  <si>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</si>
  <si>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</si>
  <si>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</si>
  <si>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</si>
  <si>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</si>
  <si>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</si>
  <si>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</si>
  <si>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</si>
  <si>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</si>
  <si>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</si>
  <si>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</si>
  <si>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</si>
  <si>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</si>
  <si>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</si>
  <si>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</si>
  <si>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</si>
  <si>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</si>
  <si>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</si>
  <si>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</si>
  <si>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</si>
  <si>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</si>
  <si>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</si>
  <si>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</si>
  <si>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</si>
  <si>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</si>
  <si>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</si>
  <si>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</si>
  <si>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</si>
  <si>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</si>
  <si>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</si>
  <si>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</si>
  <si>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</si>
  <si>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</si>
  <si>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</si>
  <si>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</si>
  <si>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</si>
  <si>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</si>
  <si>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</si>
  <si>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</si>
  <si>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</si>
  <si>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</si>
  <si>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</si>
  <si>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2</t>
    </r>
  </si>
  <si>
    <r>
      <rPr>
        <b/>
        <sz val="10"/>
        <color rgb="FF000000"/>
        <rFont val="Cambria"/>
      </rPr>
      <t>(Ui.Ci)</t>
    </r>
    <r>
      <rPr>
        <b/>
        <vertAlign val="superscript"/>
        <sz val="10"/>
        <color rgb="FF000000"/>
        <rFont val="Cambria"/>
      </rPr>
      <t>4</t>
    </r>
    <r>
      <rPr>
        <b/>
        <sz val="10"/>
        <color rgb="FF000000"/>
        <rFont val="Cambria"/>
      </rPr>
      <t>/ vi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</si>
  <si>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u1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</si>
  <si>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u2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</si>
  <si>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s</t>
    </r>
    <r>
      <rPr>
        <sz val="10"/>
        <color rgb="FF000000"/>
        <rFont val="Cambria"/>
      </rPr>
      <t>)</t>
    </r>
  </si>
  <si>
    <r>
      <rPr>
        <sz val="10"/>
        <color rgb="FF000000"/>
        <rFont val="Cambria"/>
      </rPr>
      <t>u(Abs</t>
    </r>
    <r>
      <rPr>
        <vertAlign val="subscript"/>
        <sz val="10"/>
        <color rgb="FF000000"/>
        <rFont val="Cambria"/>
      </rPr>
      <t>d</t>
    </r>
    <r>
      <rPr>
        <sz val="10"/>
        <color rgb="FF000000"/>
        <rFont val="Cambria"/>
      </rPr>
      <t>)</t>
    </r>
  </si>
  <si>
    <r>
      <rPr>
        <i/>
        <sz val="10"/>
        <color rgb="FF000000"/>
        <rFont val="Cambria"/>
      </rPr>
      <t xml:space="preserve">Derajat Kebebasan Efektif, v </t>
    </r>
    <r>
      <rPr>
        <i/>
        <vertAlign val="subscript"/>
        <sz val="10"/>
        <color rgb="FF000000"/>
        <rFont val="Cambria"/>
      </rPr>
      <t>eff</t>
    </r>
  </si>
  <si>
    <r>
      <rPr>
        <i/>
        <sz val="10"/>
        <color rgb="FF000000"/>
        <rFont val="Cambria"/>
      </rPr>
      <t>Faktor Cakupan, k-student's for v</t>
    </r>
    <r>
      <rPr>
        <i/>
        <vertAlign val="subscript"/>
        <sz val="10"/>
        <color rgb="FF000000"/>
        <rFont val="Cambria"/>
      </rPr>
      <t>eff</t>
    </r>
    <r>
      <rPr>
        <i/>
        <sz val="10"/>
        <color rgb="FF000000"/>
        <rFont val="Cambria"/>
      </rPr>
      <t xml:space="preserve"> and CL 95 %</t>
    </r>
  </si>
  <si>
    <t>Temperatur  (°C)</t>
  </si>
  <si>
    <t>Kelembaban Relatif(%RH)</t>
  </si>
  <si>
    <t>Alat</t>
  </si>
  <si>
    <t>Koreksi</t>
  </si>
  <si>
    <t>U95%</t>
  </si>
  <si>
    <t>No</t>
  </si>
  <si>
    <t>Merek</t>
  </si>
  <si>
    <t>S E R T I F I K A T    K A L I B R A S I</t>
  </si>
  <si>
    <t>C A L I B R A T I O N    C E R T I F I C A T E</t>
  </si>
  <si>
    <t>IDENTITAS ALAT</t>
  </si>
  <si>
    <t>INSTRUMENT DETAILS</t>
  </si>
  <si>
    <t>Nama Alat</t>
  </si>
  <si>
    <r>
      <t>Instrument Name</t>
    </r>
    <r>
      <rPr>
        <sz val="11"/>
        <color rgb="FF000000"/>
        <rFont val="Bookman Old Style"/>
        <family val="1"/>
      </rPr>
      <t xml:space="preserve"> </t>
    </r>
  </si>
  <si>
    <r>
      <t>Merek</t>
    </r>
    <r>
      <rPr>
        <i/>
        <sz val="8"/>
        <color rgb="FF000000"/>
        <rFont val="Bookman Old Style"/>
        <family val="1"/>
      </rPr>
      <t xml:space="preserve"> </t>
    </r>
  </si>
  <si>
    <t>Brand</t>
  </si>
  <si>
    <t xml:space="preserve">Type </t>
  </si>
  <si>
    <t>Nomor Identifikasi</t>
  </si>
  <si>
    <t>Identification Number</t>
  </si>
  <si>
    <t xml:space="preserve">Nomor Seri </t>
  </si>
  <si>
    <t>Serial Number</t>
  </si>
  <si>
    <t>Lain-lain</t>
  </si>
  <si>
    <t>Others</t>
  </si>
  <si>
    <t>IDENTITAS PEMILIK</t>
  </si>
  <si>
    <t>Owner’s Identification</t>
  </si>
  <si>
    <r>
      <t>Nama</t>
    </r>
    <r>
      <rPr>
        <i/>
        <sz val="8"/>
        <color rgb="FF000000"/>
        <rFont val="Bookman Old Style"/>
        <family val="1"/>
      </rPr>
      <t xml:space="preserve"> </t>
    </r>
  </si>
  <si>
    <t>Designation</t>
  </si>
  <si>
    <r>
      <t>Alamat</t>
    </r>
    <r>
      <rPr>
        <i/>
        <sz val="8"/>
        <color rgb="FF000000"/>
        <rFont val="Bookman Old Style"/>
        <family val="1"/>
      </rPr>
      <t xml:space="preserve"> </t>
    </r>
  </si>
  <si>
    <t>Address</t>
  </si>
  <si>
    <t>Page          of            page</t>
  </si>
  <si>
    <t>Date of Issue</t>
  </si>
  <si>
    <t>Nomor</t>
  </si>
  <si>
    <t>Halaman</t>
  </si>
  <si>
    <t>SPESIFIKASI ALAT</t>
  </si>
  <si>
    <t>Nama</t>
  </si>
  <si>
    <t>Merk / Tipe</t>
  </si>
  <si>
    <t>No. Identifikasi / No. Seri</t>
  </si>
  <si>
    <t>Prosedur Kalibrasi</t>
  </si>
  <si>
    <t>Kondisi ruang</t>
  </si>
  <si>
    <t>Tanggal Terima</t>
  </si>
  <si>
    <t>Temperatur</t>
  </si>
  <si>
    <t>Tanggal Kalibrasi</t>
  </si>
  <si>
    <t xml:space="preserve">Kelembaban </t>
  </si>
  <si>
    <t>Lokasi Alat</t>
  </si>
  <si>
    <t>HASIL KALIBRASI</t>
  </si>
  <si>
    <t xml:space="preserve">Catatan   : </t>
  </si>
  <si>
    <t>U95 2025</t>
  </si>
  <si>
    <t>Akurasi Panjang Gelombang</t>
  </si>
  <si>
    <t>Spektrofotometer UV-Vis</t>
  </si>
  <si>
    <t>/</t>
  </si>
  <si>
    <t>Kapasitas/Graduasi A</t>
  </si>
  <si>
    <t>Rentang ukur WL</t>
  </si>
  <si>
    <t>Kecermatan WL</t>
  </si>
  <si>
    <t>Rentang ukur A</t>
  </si>
  <si>
    <t>Kecermatan A</t>
  </si>
  <si>
    <t>: SNSU PK.F-01:2020</t>
  </si>
  <si>
    <t>(nm)</t>
  </si>
  <si>
    <t>Penunjukan alat</t>
  </si>
  <si>
    <t>1. Akurasi panjang gelombang</t>
  </si>
  <si>
    <t>λ</t>
  </si>
  <si>
    <t xml:space="preserve"> (Abs)</t>
  </si>
  <si>
    <t xml:space="preserve">Penunjukkan Alat </t>
  </si>
  <si>
    <t>(Abs)</t>
  </si>
  <si>
    <t>U95%
k=2</t>
  </si>
  <si>
    <t xml:space="preserve">U95% 
(k=2) </t>
  </si>
  <si>
    <t>3. Linieritas Fotometri</t>
  </si>
  <si>
    <t>UPTD Lab. Lingkungan Hidup Dinas Lingkungan Hidup Provinsi Jawa Barat</t>
  </si>
  <si>
    <t>Jl. A. H. Nasution No. 117, Ujungberung, Kota Bandung</t>
  </si>
  <si>
    <t>: Lab instrumen analitik UPTD DLH Jawa Barat</t>
  </si>
  <si>
    <t>Rata2</t>
  </si>
  <si>
    <t>Halaman 1 dari 3 halaman</t>
  </si>
  <si>
    <t>: 2 dari 3</t>
  </si>
  <si>
    <t>: 3 dari 3</t>
  </si>
  <si>
    <t>HG</t>
  </si>
  <si>
    <t>3N</t>
  </si>
  <si>
    <t>1N</t>
  </si>
  <si>
    <t>2N</t>
  </si>
  <si>
    <t>± 3,0</t>
  </si>
  <si>
    <t>Koreksi 
(Abs)</t>
  </si>
  <si>
    <t>TESTO</t>
  </si>
  <si>
    <t>AZ Instrument AZ9881 K</t>
  </si>
  <si>
    <t>BEURER</t>
  </si>
  <si>
    <t>T kompartemen</t>
  </si>
  <si>
    <t>Terkoreksi</t>
  </si>
  <si>
    <r>
      <t>Suhu (</t>
    </r>
    <r>
      <rPr>
        <sz val="10"/>
        <color rgb="FF000000"/>
        <rFont val="Calibri"/>
        <family val="2"/>
      </rPr>
      <t>°</t>
    </r>
    <r>
      <rPr>
        <sz val="8.5"/>
        <color rgb="FF000000"/>
        <rFont val="Calibri"/>
        <family val="2"/>
      </rPr>
      <t>C)</t>
    </r>
  </si>
  <si>
    <t>%RH</t>
  </si>
  <si>
    <t>U95</t>
  </si>
  <si>
    <t>Fluktuasi suhu</t>
  </si>
  <si>
    <t>Flu+U95</t>
  </si>
  <si>
    <t>Kondisi Ruang</t>
  </si>
  <si>
    <t xml:space="preserve">- Kalibrasi dilakukan menggunakan CRM Filter Standar Starna Holmium (HG) ns: 148678, </t>
  </si>
  <si>
    <t xml:space="preserve">  Neutral Density (DN) ns: 148479, 147825 dan 147150 yang tertelusur ke SI melalui NIST </t>
  </si>
  <si>
    <t xml:space="preserve">  dan Filter Standar Hellma Dydimium 666-F7 yang tertelusur ke SI melalui Deutsche</t>
  </si>
  <si>
    <t xml:space="preserve">  Akkreditierungsstelle GmbH. Semua CRM sudah terakreditasi ISO 17025 dan ISO 17034.</t>
  </si>
  <si>
    <t>DG</t>
  </si>
  <si>
    <t>Hatch</t>
  </si>
  <si>
    <t>DR 1900</t>
  </si>
  <si>
    <t>Yoga/Imam</t>
  </si>
  <si>
    <t>Elis Sofianti</t>
  </si>
  <si>
    <t>13 November 2025</t>
  </si>
  <si>
    <t>SWB</t>
  </si>
  <si>
    <t xml:space="preserve">Holmium Glass </t>
  </si>
  <si>
    <t>Didiynium Glass</t>
  </si>
  <si>
    <t>666-F1</t>
  </si>
  <si>
    <t xml:space="preserve">Pengambilan Data </t>
  </si>
  <si>
    <t>Data STD</t>
  </si>
  <si>
    <t>S/N</t>
  </si>
  <si>
    <t xml:space="preserve">Wave length </t>
  </si>
  <si>
    <t>Col Num</t>
  </si>
  <si>
    <t>Rentang Gelombang</t>
  </si>
  <si>
    <t xml:space="preserve">No </t>
  </si>
  <si>
    <t xml:space="preserve">Null </t>
  </si>
  <si>
    <t>340-800</t>
  </si>
  <si>
    <t xml:space="preserve">Panjang Gelombang </t>
  </si>
  <si>
    <t>Kapasitas/Resolusi WVL</t>
  </si>
  <si>
    <t>152650001031</t>
  </si>
  <si>
    <t>ABS</t>
  </si>
  <si>
    <t>WVL</t>
  </si>
  <si>
    <t xml:space="preserve">2. Akurasi Fotometri </t>
  </si>
  <si>
    <t>DATA WAVELENGTH</t>
  </si>
  <si>
    <t>DATA ABSORBANSI</t>
  </si>
  <si>
    <t>WV Absorbansi</t>
  </si>
  <si>
    <t>Null</t>
  </si>
  <si>
    <t xml:space="preserve"> WVL</t>
  </si>
  <si>
    <t xml:space="preserve">GF </t>
  </si>
  <si>
    <t xml:space="preserve">DATA LINEARITAS </t>
  </si>
  <si>
    <t>Penguji Mutu Barang Ahli Madya,</t>
  </si>
  <si>
    <t>NIP. 197109301994032002</t>
  </si>
  <si>
    <t>K663-6</t>
  </si>
  <si>
    <r>
      <t xml:space="preserve">Nomor / </t>
    </r>
    <r>
      <rPr>
        <i/>
        <sz val="11"/>
        <color rgb="FF000000"/>
        <rFont val="Bookman Old Style"/>
        <family val="1"/>
      </rPr>
      <t xml:space="preserve">Number </t>
    </r>
    <r>
      <rPr>
        <sz val="11"/>
        <color rgb="FF000000"/>
        <rFont val="Bookman Old Style"/>
        <family val="1"/>
      </rPr>
      <t>: 0057-7.3/KALIBRASI BBLM/XII/2025</t>
    </r>
  </si>
  <si>
    <t>Diterbitkan Tanggal 11 Desember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</si>
</sst>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0.00000000000"/>
    <numFmt numFmtId="166" formatCode="#,##0.000"/>
    <numFmt numFmtId="167" formatCode="0.000"/>
    <numFmt numFmtId="168" formatCode="@\ * &quot;:&quot;"/>
    <numFmt numFmtId="169" formatCode="0.00000"/>
    <numFmt numFmtId="170" formatCode="0.0000"/>
    <numFmt numFmtId="171" formatCode="0.000000"/>
  </numFmts>
  <fonts count="5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mbria"/>
    </font>
    <font>
      <sz val="10"/>
      <color theme="1"/>
      <name val="Cambria"/>
    </font>
    <font>
      <sz val="10"/>
      <color rgb="FF000000"/>
      <name val="Calibri"/>
    </font>
    <font>
      <sz val="11"/>
      <name val="Calibri"/>
    </font>
    <font>
      <sz val="11"/>
      <color theme="1"/>
      <name val="Calibri"/>
    </font>
    <font>
      <sz val="11"/>
      <color theme="1"/>
      <name val="Cambria"/>
    </font>
    <font>
      <b/>
      <sz val="10"/>
      <color rgb="FF000000"/>
      <name val="Cambria"/>
    </font>
    <font>
      <b/>
      <sz val="12"/>
      <color rgb="FF000000"/>
      <name val="Cambria"/>
    </font>
    <font>
      <sz val="11"/>
      <color rgb="FF000000"/>
      <name val="Cambria"/>
    </font>
    <font>
      <sz val="11"/>
      <color rgb="FFC00000"/>
      <name val="Cambria"/>
    </font>
    <font>
      <sz val="11"/>
      <color rgb="FFDBE5F1"/>
      <name val="Cambria"/>
    </font>
    <font>
      <b/>
      <sz val="10"/>
      <color theme="1"/>
      <name val="Cambria"/>
    </font>
    <font>
      <b/>
      <sz val="10"/>
      <color rgb="FFC00000"/>
      <name val="Cambria"/>
    </font>
    <font>
      <i/>
      <sz val="10"/>
      <color rgb="FF000000"/>
      <name val="Cambria"/>
    </font>
    <font>
      <vertAlign val="subscript"/>
      <sz val="10"/>
      <color rgb="FF000000"/>
      <name val="Calibri"/>
    </font>
    <font>
      <vertAlign val="subscript"/>
      <sz val="10"/>
      <color rgb="FF000000"/>
      <name val="Cambria"/>
    </font>
    <font>
      <b/>
      <vertAlign val="superscript"/>
      <sz val="10"/>
      <color rgb="FF000000"/>
      <name val="Cambria"/>
    </font>
    <font>
      <i/>
      <vertAlign val="subscript"/>
      <sz val="10"/>
      <color rgb="FF000000"/>
      <name val="Cambria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rgb="FF000000"/>
      <name val="Bookman Old Style"/>
      <family val="1"/>
    </font>
    <font>
      <b/>
      <i/>
      <sz val="14"/>
      <color rgb="FF000000"/>
      <name val="Bookman Old Style"/>
      <family val="1"/>
    </font>
    <font>
      <sz val="11"/>
      <color rgb="FF000000"/>
      <name val="Bookman Old Style"/>
      <family val="1"/>
    </font>
    <font>
      <i/>
      <sz val="11"/>
      <color rgb="FF000000"/>
      <name val="Bookman Old Style"/>
      <family val="1"/>
    </font>
    <font>
      <b/>
      <u/>
      <sz val="11"/>
      <name val="Bookman Old Style"/>
      <family val="1"/>
    </font>
    <font>
      <b/>
      <i/>
      <sz val="8"/>
      <name val="Bookman Old Style"/>
      <family val="1"/>
    </font>
    <font>
      <sz val="11"/>
      <name val="Bookman Old Style"/>
      <family val="1"/>
    </font>
    <font>
      <i/>
      <sz val="8"/>
      <color rgb="FF000000"/>
      <name val="Bookman Old Style"/>
      <family val="1"/>
    </font>
    <font>
      <b/>
      <u/>
      <sz val="11"/>
      <color rgb="FF000000"/>
      <name val="Bookman Old Style"/>
      <family val="1"/>
    </font>
    <font>
      <b/>
      <i/>
      <sz val="8"/>
      <color rgb="FF000000"/>
      <name val="Bookman Old Style"/>
      <family val="1"/>
    </font>
    <font>
      <sz val="11"/>
      <color rgb="FF000000"/>
      <name val="Calibri"/>
      <family val="2"/>
    </font>
    <font>
      <sz val="12"/>
      <name val="Times New Roman"/>
      <family val="1"/>
    </font>
    <font>
      <sz val="10"/>
      <color rgb="FF000000"/>
      <name val="Calibri"/>
      <scheme val="minor"/>
    </font>
    <font>
      <b/>
      <sz val="11"/>
      <color rgb="FF000000"/>
      <name val="Bookman Old Style"/>
      <family val="1"/>
    </font>
    <font>
      <b/>
      <sz val="11"/>
      <color theme="1"/>
      <name val="Bookman Old Style"/>
      <family val="1"/>
    </font>
    <font>
      <sz val="11"/>
      <color theme="1"/>
      <name val="Bookman Old Style"/>
      <family val="1"/>
    </font>
    <font>
      <sz val="10"/>
      <color theme="1"/>
      <name val="Cambria"/>
      <family val="1"/>
    </font>
    <font>
      <sz val="10"/>
      <color rgb="FF000000"/>
      <name val="Cambria"/>
      <family val="1"/>
    </font>
    <font>
      <sz val="11"/>
      <color rgb="FF000000"/>
      <name val="Cambria"/>
      <family val="1"/>
    </font>
    <font>
      <b/>
      <sz val="11"/>
      <name val="Bookman Old Style"/>
      <family val="1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</font>
    <font>
      <b/>
      <sz val="10"/>
      <color theme="1"/>
      <name val="Cambria"/>
      <family val="1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Calibri"/>
      <family val="2"/>
    </font>
    <font>
      <sz val="8.5"/>
      <color rgb="FF000000"/>
      <name val="Calibri"/>
      <family val="2"/>
    </font>
    <font>
      <b/>
      <i/>
      <sz val="11"/>
      <color theme="1"/>
      <name val="Calibri"/>
      <family val="2"/>
      <scheme val="minor"/>
    </font>
    <font>
      <sz val="8"/>
      <name val="Calibri"/>
      <scheme val="minor"/>
    </font>
    <font>
      <b/>
      <sz val="11"/>
      <color rgb="FF000000"/>
      <name val="Cambria"/>
      <family val="1"/>
    </font>
    <font>
      <b/>
      <sz val="11"/>
      <color theme="1"/>
      <name val="Cambria"/>
      <family val="1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0"/>
        <bgColor indexed="64"/>
      </patternFill>
    </fill>
  </fills>
  <borders count="5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4">
    <xf numFmtId="0" fontId="0" fillId="0" borderId="0"/>
    <xf numFmtId="0" fontId="24" fillId="0" borderId="0">
      <alignment vertical="center"/>
    </xf>
    <xf numFmtId="0" fontId="37" fillId="0" borderId="0"/>
    <xf numFmtId="0" fontId="4" fillId="0" borderId="0"/>
  </cellStyleXfs>
  <cellXfs count="404">
    <xf numFmtId="0" fontId="0" fillId="0" borderId="0" xfId="0"/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left" vertical="center"/>
    </xf>
    <xf numFmtId="0" fontId="6" fillId="0" borderId="0" xfId="0" applyFont="1"/>
    <xf numFmtId="164" fontId="5" fillId="0" borderId="0" xfId="0" applyNumberFormat="1" applyFont="1" applyAlignment="1">
      <alignment vertical="center" wrapText="1"/>
    </xf>
    <xf numFmtId="0" fontId="5" fillId="0" borderId="0" xfId="0" applyFont="1" applyAlignment="1">
      <alignment horizontal="right" vertical="center" wrapText="1"/>
    </xf>
    <xf numFmtId="165" fontId="6" fillId="0" borderId="0" xfId="0" applyNumberFormat="1" applyFont="1"/>
    <xf numFmtId="0" fontId="6" fillId="0" borderId="0" xfId="0" applyFont="1" applyAlignment="1">
      <alignment wrapText="1"/>
    </xf>
    <xf numFmtId="0" fontId="7" fillId="0" borderId="0" xfId="0" applyFont="1" applyAlignment="1">
      <alignment horizontal="right" vertical="center" wrapText="1"/>
    </xf>
    <xf numFmtId="0" fontId="5" fillId="0" borderId="0" xfId="0" applyFont="1" applyAlignment="1">
      <alignment vertical="center"/>
    </xf>
    <xf numFmtId="166" fontId="5" fillId="0" borderId="0" xfId="0" applyNumberFormat="1" applyFont="1" applyAlignment="1">
      <alignment vertical="center" wrapText="1"/>
    </xf>
    <xf numFmtId="0" fontId="6" fillId="0" borderId="0" xfId="0" applyFont="1" applyAlignment="1">
      <alignment horizontal="right"/>
    </xf>
    <xf numFmtId="2" fontId="5" fillId="0" borderId="2" xfId="0" applyNumberFormat="1" applyFont="1" applyBorder="1" applyAlignment="1">
      <alignment horizontal="center" vertical="center" wrapText="1"/>
    </xf>
    <xf numFmtId="2" fontId="5" fillId="0" borderId="3" xfId="0" applyNumberFormat="1" applyFont="1" applyBorder="1" applyAlignment="1">
      <alignment horizontal="center" vertical="center" wrapText="1"/>
    </xf>
    <xf numFmtId="2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" fontId="5" fillId="0" borderId="0" xfId="0" applyNumberFormat="1" applyFont="1" applyAlignment="1">
      <alignment vertical="center" wrapText="1"/>
    </xf>
    <xf numFmtId="167" fontId="5" fillId="0" borderId="0" xfId="0" applyNumberFormat="1" applyFont="1" applyAlignment="1">
      <alignment vertical="center" wrapText="1"/>
    </xf>
    <xf numFmtId="4" fontId="5" fillId="0" borderId="0" xfId="0" applyNumberFormat="1" applyFont="1" applyAlignment="1">
      <alignment vertical="center" wrapText="1"/>
    </xf>
    <xf numFmtId="3" fontId="5" fillId="0" borderId="0" xfId="0" applyNumberFormat="1" applyFont="1" applyAlignment="1">
      <alignment vertical="center" wrapText="1"/>
    </xf>
    <xf numFmtId="0" fontId="5" fillId="0" borderId="0" xfId="0" applyFont="1" applyAlignment="1">
      <alignment horizontal="right" vertical="center"/>
    </xf>
    <xf numFmtId="167" fontId="5" fillId="0" borderId="2" xfId="0" applyNumberFormat="1" applyFont="1" applyBorder="1" applyAlignment="1">
      <alignment horizontal="center" vertical="center" wrapText="1"/>
    </xf>
    <xf numFmtId="3" fontId="5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9" fillId="0" borderId="0" xfId="0" applyFont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10" fillId="0" borderId="0" xfId="0" applyFont="1"/>
    <xf numFmtId="0" fontId="11" fillId="0" borderId="7" xfId="0" applyFont="1" applyBorder="1"/>
    <xf numFmtId="0" fontId="12" fillId="0" borderId="0" xfId="0" applyFont="1"/>
    <xf numFmtId="0" fontId="5" fillId="0" borderId="9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0" xfId="0" applyFont="1" applyBorder="1"/>
    <xf numFmtId="0" fontId="5" fillId="0" borderId="11" xfId="0" applyFont="1" applyBorder="1"/>
    <xf numFmtId="0" fontId="13" fillId="0" borderId="14" xfId="0" applyFont="1" applyBorder="1"/>
    <xf numFmtId="0" fontId="13" fillId="0" borderId="8" xfId="0" applyFont="1" applyBorder="1"/>
    <xf numFmtId="0" fontId="13" fillId="0" borderId="16" xfId="0" applyFont="1" applyBorder="1"/>
    <xf numFmtId="0" fontId="13" fillId="0" borderId="0" xfId="0" applyFont="1"/>
    <xf numFmtId="168" fontId="13" fillId="0" borderId="16" xfId="0" applyNumberFormat="1" applyFont="1" applyBorder="1"/>
    <xf numFmtId="0" fontId="13" fillId="0" borderId="6" xfId="0" applyFont="1" applyBorder="1"/>
    <xf numFmtId="0" fontId="13" fillId="0" borderId="16" xfId="0" applyFont="1" applyBorder="1" applyAlignment="1">
      <alignment horizontal="center"/>
    </xf>
    <xf numFmtId="0" fontId="9" fillId="0" borderId="16" xfId="0" applyFont="1" applyBorder="1"/>
    <xf numFmtId="0" fontId="13" fillId="0" borderId="16" xfId="0" quotePrefix="1" applyFont="1" applyBorder="1"/>
    <xf numFmtId="0" fontId="14" fillId="0" borderId="5" xfId="0" applyFont="1" applyBorder="1"/>
    <xf numFmtId="0" fontId="13" fillId="0" borderId="5" xfId="0" applyFont="1" applyBorder="1"/>
    <xf numFmtId="0" fontId="13" fillId="0" borderId="15" xfId="0" applyFont="1" applyBorder="1"/>
    <xf numFmtId="164" fontId="15" fillId="0" borderId="16" xfId="0" applyNumberFormat="1" applyFont="1" applyBorder="1"/>
    <xf numFmtId="2" fontId="15" fillId="0" borderId="16" xfId="0" applyNumberFormat="1" applyFont="1" applyBorder="1"/>
    <xf numFmtId="0" fontId="13" fillId="0" borderId="18" xfId="0" applyFont="1" applyBorder="1"/>
    <xf numFmtId="0" fontId="13" fillId="0" borderId="15" xfId="0" applyFont="1" applyBorder="1" applyAlignment="1">
      <alignment horizontal="left"/>
    </xf>
    <xf numFmtId="0" fontId="9" fillId="0" borderId="18" xfId="0" applyFont="1" applyBorder="1"/>
    <xf numFmtId="0" fontId="13" fillId="0" borderId="18" xfId="0" applyFont="1" applyBorder="1" applyAlignment="1">
      <alignment horizontal="left"/>
    </xf>
    <xf numFmtId="0" fontId="13" fillId="0" borderId="4" xfId="0" applyFont="1" applyBorder="1"/>
    <xf numFmtId="0" fontId="13" fillId="0" borderId="5" xfId="0" applyFont="1" applyBorder="1" applyAlignment="1">
      <alignment horizontal="center"/>
    </xf>
    <xf numFmtId="0" fontId="13" fillId="0" borderId="7" xfId="0" applyFont="1" applyBorder="1"/>
    <xf numFmtId="0" fontId="13" fillId="0" borderId="19" xfId="0" applyFont="1" applyBorder="1"/>
    <xf numFmtId="164" fontId="13" fillId="0" borderId="0" xfId="0" applyNumberFormat="1" applyFont="1"/>
    <xf numFmtId="164" fontId="13" fillId="0" borderId="0" xfId="0" applyNumberFormat="1" applyFont="1" applyAlignment="1">
      <alignment horizontal="center"/>
    </xf>
    <xf numFmtId="1" fontId="13" fillId="0" borderId="0" xfId="0" applyNumberFormat="1" applyFont="1" applyAlignment="1">
      <alignment horizontal="center"/>
    </xf>
    <xf numFmtId="164" fontId="13" fillId="0" borderId="0" xfId="0" applyNumberFormat="1" applyFont="1" applyAlignment="1">
      <alignment horizontal="right"/>
    </xf>
    <xf numFmtId="170" fontId="13" fillId="0" borderId="0" xfId="0" applyNumberFormat="1" applyFont="1"/>
    <xf numFmtId="2" fontId="5" fillId="0" borderId="0" xfId="0" applyNumberFormat="1" applyFont="1" applyAlignment="1">
      <alignment horizontal="right"/>
    </xf>
    <xf numFmtId="0" fontId="9" fillId="0" borderId="21" xfId="0" applyFont="1" applyBorder="1"/>
    <xf numFmtId="0" fontId="16" fillId="0" borderId="0" xfId="0" applyFont="1"/>
    <xf numFmtId="167" fontId="6" fillId="0" borderId="0" xfId="0" applyNumberFormat="1" applyFont="1"/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left"/>
    </xf>
    <xf numFmtId="171" fontId="6" fillId="0" borderId="0" xfId="0" applyNumberFormat="1" applyFont="1"/>
    <xf numFmtId="0" fontId="11" fillId="0" borderId="0" xfId="0" applyFont="1"/>
    <xf numFmtId="0" fontId="5" fillId="0" borderId="0" xfId="0" applyFont="1"/>
    <xf numFmtId="0" fontId="5" fillId="0" borderId="0" xfId="0" quotePrefix="1" applyFont="1" applyAlignment="1">
      <alignment horizontal="right"/>
    </xf>
    <xf numFmtId="0" fontId="17" fillId="0" borderId="6" xfId="0" applyFont="1" applyBorder="1" applyAlignment="1">
      <alignment horizontal="right"/>
    </xf>
    <xf numFmtId="0" fontId="6" fillId="0" borderId="24" xfId="0" applyFont="1" applyBorder="1" applyAlignment="1">
      <alignment horizontal="center"/>
    </xf>
    <xf numFmtId="0" fontId="6" fillId="0" borderId="8" xfId="0" applyFont="1" applyBorder="1"/>
    <xf numFmtId="0" fontId="6" fillId="0" borderId="24" xfId="0" applyFont="1" applyBorder="1" applyAlignment="1">
      <alignment horizontal="right"/>
    </xf>
    <xf numFmtId="164" fontId="5" fillId="0" borderId="6" xfId="0" applyNumberFormat="1" applyFont="1" applyBorder="1"/>
    <xf numFmtId="0" fontId="6" fillId="0" borderId="6" xfId="0" applyFont="1" applyBorder="1"/>
    <xf numFmtId="0" fontId="6" fillId="0" borderId="25" xfId="0" applyFont="1" applyBorder="1"/>
    <xf numFmtId="167" fontId="5" fillId="0" borderId="8" xfId="0" applyNumberFormat="1" applyFont="1" applyBorder="1"/>
    <xf numFmtId="0" fontId="5" fillId="0" borderId="7" xfId="0" applyFont="1" applyBorder="1"/>
    <xf numFmtId="2" fontId="5" fillId="0" borderId="8" xfId="0" applyNumberFormat="1" applyFont="1" applyBorder="1"/>
    <xf numFmtId="164" fontId="5" fillId="0" borderId="8" xfId="0" applyNumberFormat="1" applyFont="1" applyBorder="1"/>
    <xf numFmtId="0" fontId="6" fillId="0" borderId="26" xfId="0" applyFont="1" applyBorder="1"/>
    <xf numFmtId="164" fontId="5" fillId="0" borderId="20" xfId="0" applyNumberFormat="1" applyFont="1" applyBorder="1"/>
    <xf numFmtId="0" fontId="6" fillId="0" borderId="20" xfId="0" applyFont="1" applyBorder="1"/>
    <xf numFmtId="0" fontId="5" fillId="0" borderId="7" xfId="0" applyFont="1" applyBorder="1" applyAlignment="1">
      <alignment horizontal="left"/>
    </xf>
    <xf numFmtId="164" fontId="5" fillId="0" borderId="0" xfId="0" applyNumberFormat="1" applyFont="1"/>
    <xf numFmtId="164" fontId="6" fillId="0" borderId="0" xfId="0" applyNumberFormat="1" applyFont="1"/>
    <xf numFmtId="170" fontId="6" fillId="0" borderId="0" xfId="0" applyNumberFormat="1" applyFont="1"/>
    <xf numFmtId="0" fontId="11" fillId="0" borderId="0" xfId="0" applyFont="1" applyAlignment="1">
      <alignment vertical="center"/>
    </xf>
    <xf numFmtId="0" fontId="11" fillId="0" borderId="0" xfId="0" applyFont="1" applyAlignment="1">
      <alignment horizontal="left"/>
    </xf>
    <xf numFmtId="0" fontId="16" fillId="0" borderId="8" xfId="0" applyFont="1" applyBorder="1" applyAlignment="1">
      <alignment horizontal="right"/>
    </xf>
    <xf numFmtId="164" fontId="5" fillId="0" borderId="14" xfId="0" applyNumberFormat="1" applyFont="1" applyBorder="1"/>
    <xf numFmtId="0" fontId="5" fillId="0" borderId="19" xfId="0" applyFont="1" applyBorder="1" applyAlignment="1">
      <alignment horizontal="left"/>
    </xf>
    <xf numFmtId="0" fontId="5" fillId="0" borderId="14" xfId="0" applyFont="1" applyBorder="1" applyAlignment="1">
      <alignment horizontal="left"/>
    </xf>
    <xf numFmtId="2" fontId="6" fillId="0" borderId="0" xfId="0" applyNumberFormat="1" applyFont="1"/>
    <xf numFmtId="169" fontId="6" fillId="0" borderId="0" xfId="0" applyNumberFormat="1" applyFont="1"/>
    <xf numFmtId="170" fontId="5" fillId="0" borderId="14" xfId="0" applyNumberFormat="1" applyFont="1" applyBorder="1" applyAlignment="1">
      <alignment vertical="center"/>
    </xf>
    <xf numFmtId="167" fontId="5" fillId="0" borderId="14" xfId="0" applyNumberFormat="1" applyFont="1" applyBorder="1"/>
    <xf numFmtId="0" fontId="6" fillId="0" borderId="14" xfId="0" applyFont="1" applyBorder="1"/>
    <xf numFmtId="0" fontId="5" fillId="0" borderId="14" xfId="0" applyFont="1" applyBorder="1"/>
    <xf numFmtId="0" fontId="11" fillId="0" borderId="27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5" fillId="0" borderId="27" xfId="0" applyFont="1" applyBorder="1"/>
    <xf numFmtId="0" fontId="5" fillId="0" borderId="27" xfId="0" applyFont="1" applyBorder="1" applyAlignment="1">
      <alignment horizontal="center"/>
    </xf>
    <xf numFmtId="170" fontId="6" fillId="0" borderId="27" xfId="0" applyNumberFormat="1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18" fillId="0" borderId="27" xfId="0" applyFont="1" applyBorder="1"/>
    <xf numFmtId="0" fontId="5" fillId="0" borderId="15" xfId="0" applyFont="1" applyBorder="1"/>
    <xf numFmtId="0" fontId="5" fillId="0" borderId="18" xfId="0" applyFont="1" applyBorder="1"/>
    <xf numFmtId="164" fontId="5" fillId="0" borderId="18" xfId="0" applyNumberFormat="1" applyFont="1" applyBorder="1"/>
    <xf numFmtId="1" fontId="6" fillId="0" borderId="0" xfId="0" applyNumberFormat="1" applyFont="1"/>
    <xf numFmtId="2" fontId="5" fillId="0" borderId="14" xfId="0" applyNumberFormat="1" applyFont="1" applyBorder="1"/>
    <xf numFmtId="164" fontId="5" fillId="0" borderId="14" xfId="0" applyNumberFormat="1" applyFont="1" applyBorder="1" applyAlignment="1">
      <alignment vertical="center"/>
    </xf>
    <xf numFmtId="167" fontId="5" fillId="0" borderId="14" xfId="0" applyNumberFormat="1" applyFont="1" applyBorder="1" applyAlignment="1">
      <alignment vertical="center"/>
    </xf>
    <xf numFmtId="169" fontId="5" fillId="0" borderId="14" xfId="0" applyNumberFormat="1" applyFont="1" applyBorder="1" applyAlignment="1">
      <alignment vertical="center"/>
    </xf>
    <xf numFmtId="0" fontId="5" fillId="0" borderId="14" xfId="0" applyFont="1" applyBorder="1" applyAlignment="1">
      <alignment vertical="center"/>
    </xf>
    <xf numFmtId="0" fontId="6" fillId="0" borderId="27" xfId="0" applyFont="1" applyBorder="1" applyAlignment="1">
      <alignment horizontal="right"/>
    </xf>
    <xf numFmtId="1" fontId="6" fillId="0" borderId="15" xfId="0" applyNumberFormat="1" applyFont="1" applyBorder="1"/>
    <xf numFmtId="169" fontId="6" fillId="0" borderId="18" xfId="0" applyNumberFormat="1" applyFont="1" applyBorder="1"/>
    <xf numFmtId="0" fontId="6" fillId="0" borderId="27" xfId="0" applyFont="1" applyBorder="1"/>
    <xf numFmtId="0" fontId="6" fillId="0" borderId="26" xfId="0" applyFont="1" applyBorder="1" applyAlignment="1">
      <alignment horizontal="right"/>
    </xf>
    <xf numFmtId="1" fontId="6" fillId="0" borderId="19" xfId="0" applyNumberFormat="1" applyFont="1" applyBorder="1"/>
    <xf numFmtId="0" fontId="6" fillId="0" borderId="4" xfId="0" applyFont="1" applyBorder="1"/>
    <xf numFmtId="0" fontId="6" fillId="0" borderId="24" xfId="0" applyFont="1" applyBorder="1"/>
    <xf numFmtId="0" fontId="6" fillId="0" borderId="7" xfId="0" applyFont="1" applyBorder="1"/>
    <xf numFmtId="169" fontId="6" fillId="0" borderId="8" xfId="0" applyNumberFormat="1" applyFont="1" applyBorder="1"/>
    <xf numFmtId="170" fontId="6" fillId="0" borderId="25" xfId="0" applyNumberFormat="1" applyFont="1" applyBorder="1"/>
    <xf numFmtId="0" fontId="6" fillId="0" borderId="19" xfId="0" applyFont="1" applyBorder="1"/>
    <xf numFmtId="170" fontId="6" fillId="0" borderId="20" xfId="0" applyNumberFormat="1" applyFont="1" applyBorder="1"/>
    <xf numFmtId="170" fontId="6" fillId="0" borderId="26" xfId="0" applyNumberFormat="1" applyFont="1" applyBorder="1"/>
    <xf numFmtId="2" fontId="5" fillId="0" borderId="14" xfId="0" applyNumberFormat="1" applyFont="1" applyBorder="1" applyAlignment="1">
      <alignment vertical="center"/>
    </xf>
    <xf numFmtId="0" fontId="6" fillId="0" borderId="0" xfId="0" applyFont="1" applyAlignment="1">
      <alignment horizontal="center"/>
    </xf>
    <xf numFmtId="0" fontId="24" fillId="0" borderId="0" xfId="1">
      <alignment vertical="center"/>
    </xf>
    <xf numFmtId="0" fontId="27" fillId="0" borderId="0" xfId="1" applyFont="1" applyAlignment="1">
      <alignment horizontal="center" vertical="center"/>
    </xf>
    <xf numFmtId="0" fontId="29" fillId="0" borderId="0" xfId="1" applyFont="1">
      <alignment vertical="center"/>
    </xf>
    <xf numFmtId="0" fontId="24" fillId="0" borderId="0" xfId="1" applyAlignment="1">
      <alignment vertical="center" wrapText="1"/>
    </xf>
    <xf numFmtId="0" fontId="30" fillId="0" borderId="0" xfId="1" applyFont="1">
      <alignment vertical="center"/>
    </xf>
    <xf numFmtId="0" fontId="27" fillId="0" borderId="0" xfId="1" applyFont="1">
      <alignment vertical="center"/>
    </xf>
    <xf numFmtId="0" fontId="31" fillId="0" borderId="0" xfId="1" applyFont="1" applyAlignment="1">
      <alignment horizontal="right" vertical="center"/>
    </xf>
    <xf numFmtId="0" fontId="32" fillId="0" borderId="0" xfId="1" applyFont="1">
      <alignment vertical="center"/>
    </xf>
    <xf numFmtId="0" fontId="27" fillId="0" borderId="0" xfId="1" applyFont="1" applyAlignment="1">
      <alignment horizontal="justify" vertical="center"/>
    </xf>
    <xf numFmtId="0" fontId="32" fillId="0" borderId="0" xfId="1" applyFont="1" applyAlignment="1">
      <alignment horizontal="justify" vertical="center"/>
    </xf>
    <xf numFmtId="0" fontId="24" fillId="0" borderId="0" xfId="1" applyAlignment="1">
      <alignment horizontal="right" vertical="center"/>
    </xf>
    <xf numFmtId="0" fontId="33" fillId="0" borderId="0" xfId="1" applyFont="1">
      <alignment vertical="center"/>
    </xf>
    <xf numFmtId="0" fontId="34" fillId="0" borderId="0" xfId="1" applyFont="1">
      <alignment vertical="center"/>
    </xf>
    <xf numFmtId="0" fontId="35" fillId="0" borderId="0" xfId="1" applyFont="1">
      <alignment vertical="center"/>
    </xf>
    <xf numFmtId="0" fontId="36" fillId="0" borderId="0" xfId="1" applyFont="1">
      <alignment vertical="center"/>
    </xf>
    <xf numFmtId="0" fontId="32" fillId="0" borderId="0" xfId="1" applyFont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37" fillId="0" borderId="0" xfId="2"/>
    <xf numFmtId="0" fontId="38" fillId="0" borderId="0" xfId="1" applyFont="1" applyAlignment="1">
      <alignment horizontal="left" vertical="center"/>
    </xf>
    <xf numFmtId="0" fontId="38" fillId="0" borderId="0" xfId="1" applyFont="1" applyAlignment="1">
      <alignment horizontal="center" vertical="center"/>
    </xf>
    <xf numFmtId="0" fontId="27" fillId="0" borderId="0" xfId="1" applyFont="1" applyAlignment="1">
      <alignment horizontal="left" vertical="center"/>
    </xf>
    <xf numFmtId="0" fontId="31" fillId="0" borderId="0" xfId="1" applyFont="1">
      <alignment vertical="center"/>
    </xf>
    <xf numFmtId="0" fontId="38" fillId="0" borderId="0" xfId="1" applyFont="1">
      <alignment vertical="center"/>
    </xf>
    <xf numFmtId="0" fontId="33" fillId="0" borderId="0" xfId="1" applyFont="1" applyAlignment="1">
      <alignment horizontal="left" vertical="center"/>
    </xf>
    <xf numFmtId="0" fontId="27" fillId="0" borderId="0" xfId="1" applyFont="1" applyAlignment="1">
      <alignment horizontal="right" vertical="center"/>
    </xf>
    <xf numFmtId="0" fontId="41" fillId="0" borderId="24" xfId="0" applyFont="1" applyBorder="1" applyAlignment="1">
      <alignment horizontal="center"/>
    </xf>
    <xf numFmtId="164" fontId="5" fillId="0" borderId="2" xfId="0" applyNumberFormat="1" applyFont="1" applyBorder="1" applyAlignment="1">
      <alignment horizontal="center" vertical="center" wrapText="1"/>
    </xf>
    <xf numFmtId="1" fontId="5" fillId="0" borderId="2" xfId="0" applyNumberFormat="1" applyFont="1" applyBorder="1" applyAlignment="1">
      <alignment horizontal="center" vertical="center" wrapText="1"/>
    </xf>
    <xf numFmtId="1" fontId="5" fillId="0" borderId="3" xfId="0" applyNumberFormat="1" applyFont="1" applyBorder="1" applyAlignment="1">
      <alignment horizontal="center" vertical="center" wrapText="1"/>
    </xf>
    <xf numFmtId="2" fontId="5" fillId="0" borderId="1" xfId="0" applyNumberFormat="1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 wrapText="1"/>
    </xf>
    <xf numFmtId="0" fontId="18" fillId="0" borderId="7" xfId="0" applyFont="1" applyBorder="1"/>
    <xf numFmtId="0" fontId="8" fillId="0" borderId="0" xfId="0" applyFont="1"/>
    <xf numFmtId="0" fontId="5" fillId="0" borderId="8" xfId="0" applyFont="1" applyBorder="1"/>
    <xf numFmtId="164" fontId="5" fillId="0" borderId="15" xfId="0" applyNumberFormat="1" applyFont="1" applyBorder="1"/>
    <xf numFmtId="2" fontId="6" fillId="2" borderId="0" xfId="0" applyNumberFormat="1" applyFont="1" applyFill="1"/>
    <xf numFmtId="164" fontId="6" fillId="3" borderId="0" xfId="0" applyNumberFormat="1" applyFont="1" applyFill="1"/>
    <xf numFmtId="164" fontId="5" fillId="0" borderId="1" xfId="0" applyNumberFormat="1" applyFont="1" applyBorder="1" applyAlignment="1">
      <alignment horizontal="center" vertical="center" wrapText="1"/>
    </xf>
    <xf numFmtId="0" fontId="42" fillId="0" borderId="0" xfId="0" applyFont="1" applyAlignment="1">
      <alignment vertical="center"/>
    </xf>
    <xf numFmtId="1" fontId="41" fillId="0" borderId="22" xfId="0" applyNumberFormat="1" applyFont="1" applyBorder="1" applyAlignment="1">
      <alignment horizontal="center"/>
    </xf>
    <xf numFmtId="170" fontId="5" fillId="0" borderId="2" xfId="0" applyNumberFormat="1" applyFont="1" applyBorder="1" applyAlignment="1">
      <alignment horizontal="center" vertical="center" wrapText="1"/>
    </xf>
    <xf numFmtId="0" fontId="43" fillId="0" borderId="15" xfId="0" applyFont="1" applyBorder="1"/>
    <xf numFmtId="164" fontId="5" fillId="0" borderId="31" xfId="0" applyNumberFormat="1" applyFont="1" applyBorder="1" applyAlignment="1">
      <alignment horizontal="center" vertical="center" wrapText="1"/>
    </xf>
    <xf numFmtId="2" fontId="13" fillId="0" borderId="17" xfId="0" quotePrefix="1" applyNumberFormat="1" applyFont="1" applyBorder="1"/>
    <xf numFmtId="0" fontId="43" fillId="0" borderId="16" xfId="0" applyFont="1" applyBorder="1"/>
    <xf numFmtId="0" fontId="43" fillId="0" borderId="16" xfId="0" applyFont="1" applyBorder="1" applyAlignment="1">
      <alignment horizontal="left"/>
    </xf>
    <xf numFmtId="0" fontId="43" fillId="0" borderId="17" xfId="0" applyFont="1" applyBorder="1"/>
    <xf numFmtId="0" fontId="13" fillId="0" borderId="17" xfId="0" applyFont="1" applyBorder="1" applyAlignment="1">
      <alignment horizontal="center"/>
    </xf>
    <xf numFmtId="0" fontId="43" fillId="0" borderId="17" xfId="0" applyFont="1" applyBorder="1" applyAlignment="1">
      <alignment horizontal="left"/>
    </xf>
    <xf numFmtId="0" fontId="13" fillId="0" borderId="17" xfId="0" applyFont="1" applyBorder="1"/>
    <xf numFmtId="164" fontId="40" fillId="0" borderId="0" xfId="3" applyNumberFormat="1" applyFont="1" applyAlignment="1">
      <alignment vertical="center"/>
    </xf>
    <xf numFmtId="1" fontId="40" fillId="0" borderId="30" xfId="0" applyNumberFormat="1" applyFont="1" applyBorder="1" applyAlignment="1">
      <alignment horizontal="center"/>
    </xf>
    <xf numFmtId="170" fontId="27" fillId="0" borderId="37" xfId="0" applyNumberFormat="1" applyFont="1" applyBorder="1" applyAlignment="1">
      <alignment horizontal="center" vertical="center" wrapText="1"/>
    </xf>
    <xf numFmtId="167" fontId="27" fillId="0" borderId="37" xfId="0" applyNumberFormat="1" applyFont="1" applyBorder="1" applyAlignment="1">
      <alignment horizontal="center" vertical="center" wrapText="1"/>
    </xf>
    <xf numFmtId="0" fontId="40" fillId="0" borderId="0" xfId="0" applyFont="1" applyAlignment="1">
      <alignment horizontal="center"/>
    </xf>
    <xf numFmtId="170" fontId="27" fillId="0" borderId="0" xfId="0" applyNumberFormat="1" applyFont="1" applyAlignment="1">
      <alignment horizontal="center" vertical="center" wrapText="1"/>
    </xf>
    <xf numFmtId="167" fontId="27" fillId="0" borderId="0" xfId="0" applyNumberFormat="1" applyFont="1" applyAlignment="1">
      <alignment horizontal="center" vertical="center" wrapText="1"/>
    </xf>
    <xf numFmtId="0" fontId="39" fillId="0" borderId="37" xfId="0" applyFont="1" applyBorder="1" applyAlignment="1">
      <alignment horizontal="left"/>
    </xf>
    <xf numFmtId="0" fontId="44" fillId="0" borderId="29" xfId="0" applyFont="1" applyBorder="1" applyAlignment="1">
      <alignment horizontal="center"/>
    </xf>
    <xf numFmtId="0" fontId="38" fillId="0" borderId="28" xfId="0" applyFont="1" applyBorder="1" applyAlignment="1">
      <alignment horizontal="center" vertical="center" wrapText="1"/>
    </xf>
    <xf numFmtId="0" fontId="39" fillId="0" borderId="0" xfId="0" applyFont="1" applyAlignment="1">
      <alignment horizontal="left"/>
    </xf>
    <xf numFmtId="49" fontId="27" fillId="0" borderId="0" xfId="1" applyNumberFormat="1" applyFont="1" applyAlignment="1">
      <alignment horizontal="left" vertical="top" wrapText="1"/>
    </xf>
    <xf numFmtId="1" fontId="40" fillId="0" borderId="0" xfId="0" applyNumberFormat="1" applyFont="1" applyAlignment="1">
      <alignment horizontal="center"/>
    </xf>
    <xf numFmtId="0" fontId="5" fillId="0" borderId="2" xfId="0" applyFont="1" applyBorder="1" applyAlignment="1">
      <alignment horizontal="center" vertical="center" wrapText="1"/>
    </xf>
    <xf numFmtId="0" fontId="33" fillId="0" borderId="0" xfId="1" applyFont="1" applyAlignment="1">
      <alignment horizontal="center" vertical="center"/>
    </xf>
    <xf numFmtId="168" fontId="13" fillId="0" borderId="5" xfId="0" applyNumberFormat="1" applyFont="1" applyBorder="1"/>
    <xf numFmtId="2" fontId="15" fillId="0" borderId="5" xfId="0" applyNumberFormat="1" applyFont="1" applyBorder="1"/>
    <xf numFmtId="0" fontId="13" fillId="0" borderId="36" xfId="0" applyFont="1" applyBorder="1"/>
    <xf numFmtId="168" fontId="13" fillId="0" borderId="36" xfId="0" applyNumberFormat="1" applyFont="1" applyBorder="1"/>
    <xf numFmtId="164" fontId="46" fillId="0" borderId="36" xfId="0" applyNumberFormat="1" applyFont="1" applyBorder="1"/>
    <xf numFmtId="2" fontId="15" fillId="0" borderId="36" xfId="0" applyNumberFormat="1" applyFont="1" applyBorder="1"/>
    <xf numFmtId="0" fontId="13" fillId="0" borderId="34" xfId="0" applyFont="1" applyBorder="1"/>
    <xf numFmtId="0" fontId="13" fillId="0" borderId="38" xfId="0" applyFont="1" applyBorder="1"/>
    <xf numFmtId="0" fontId="45" fillId="0" borderId="35" xfId="0" applyFont="1" applyBorder="1" applyAlignment="1">
      <alignment horizontal="left"/>
    </xf>
    <xf numFmtId="0" fontId="13" fillId="0" borderId="39" xfId="0" applyFont="1" applyBorder="1"/>
    <xf numFmtId="2" fontId="0" fillId="0" borderId="30" xfId="0" applyNumberFormat="1" applyBorder="1" applyAlignment="1">
      <alignment horizontal="center"/>
    </xf>
    <xf numFmtId="0" fontId="0" fillId="0" borderId="30" xfId="0" applyBorder="1" applyAlignment="1">
      <alignment horizontal="right"/>
    </xf>
    <xf numFmtId="0" fontId="0" fillId="0" borderId="30" xfId="0" applyBorder="1"/>
    <xf numFmtId="0" fontId="0" fillId="0" borderId="34" xfId="0" applyBorder="1" applyAlignment="1">
      <alignment horizontal="right"/>
    </xf>
    <xf numFmtId="0" fontId="39" fillId="0" borderId="0" xfId="3" applyFont="1" applyAlignment="1">
      <alignment vertical="center" wrapText="1"/>
    </xf>
    <xf numFmtId="0" fontId="39" fillId="0" borderId="0" xfId="3" applyFont="1" applyAlignment="1">
      <alignment vertical="top" wrapText="1"/>
    </xf>
    <xf numFmtId="0" fontId="41" fillId="0" borderId="24" xfId="0" applyFont="1" applyBorder="1" applyAlignment="1">
      <alignment horizontal="right"/>
    </xf>
    <xf numFmtId="170" fontId="5" fillId="0" borderId="0" xfId="0" applyNumberFormat="1" applyFont="1"/>
    <xf numFmtId="0" fontId="5" fillId="0" borderId="0" xfId="0" applyFont="1" applyAlignment="1">
      <alignment horizontal="right"/>
    </xf>
    <xf numFmtId="0" fontId="6" fillId="0" borderId="41" xfId="0" applyFont="1" applyBorder="1"/>
    <xf numFmtId="0" fontId="6" fillId="0" borderId="29" xfId="0" applyFont="1" applyBorder="1"/>
    <xf numFmtId="0" fontId="41" fillId="0" borderId="28" xfId="0" applyFont="1" applyBorder="1" applyAlignment="1">
      <alignment horizontal="right"/>
    </xf>
    <xf numFmtId="0" fontId="0" fillId="0" borderId="41" xfId="0" applyBorder="1" applyAlignment="1">
      <alignment horizontal="right"/>
    </xf>
    <xf numFmtId="0" fontId="6" fillId="0" borderId="41" xfId="0" applyFont="1" applyBorder="1" applyAlignment="1">
      <alignment horizontal="right"/>
    </xf>
    <xf numFmtId="0" fontId="0" fillId="0" borderId="29" xfId="0" applyBorder="1" applyAlignment="1">
      <alignment horizontal="right"/>
    </xf>
    <xf numFmtId="0" fontId="6" fillId="0" borderId="29" xfId="0" applyFont="1" applyBorder="1" applyAlignment="1">
      <alignment horizontal="right"/>
    </xf>
    <xf numFmtId="170" fontId="6" fillId="0" borderId="28" xfId="0" applyNumberFormat="1" applyFont="1" applyBorder="1"/>
    <xf numFmtId="170" fontId="6" fillId="0" borderId="41" xfId="0" applyNumberFormat="1" applyFont="1" applyBorder="1"/>
    <xf numFmtId="170" fontId="6" fillId="0" borderId="29" xfId="0" applyNumberFormat="1" applyFont="1" applyBorder="1"/>
    <xf numFmtId="0" fontId="6" fillId="0" borderId="5" xfId="0" applyFont="1" applyBorder="1"/>
    <xf numFmtId="170" fontId="6" fillId="0" borderId="14" xfId="0" applyNumberFormat="1" applyFont="1" applyBorder="1"/>
    <xf numFmtId="170" fontId="6" fillId="0" borderId="40" xfId="0" applyNumberFormat="1" applyFont="1" applyBorder="1"/>
    <xf numFmtId="170" fontId="6" fillId="0" borderId="42" xfId="0" applyNumberFormat="1" applyFont="1" applyBorder="1"/>
    <xf numFmtId="170" fontId="6" fillId="0" borderId="44" xfId="0" applyNumberFormat="1" applyFont="1" applyBorder="1"/>
    <xf numFmtId="167" fontId="5" fillId="0" borderId="15" xfId="0" applyNumberFormat="1" applyFont="1" applyBorder="1"/>
    <xf numFmtId="2" fontId="6" fillId="4" borderId="0" xfId="0" applyNumberFormat="1" applyFont="1" applyFill="1"/>
    <xf numFmtId="170" fontId="5" fillId="0" borderId="1" xfId="0" applyNumberFormat="1" applyFont="1" applyBorder="1" applyAlignment="1">
      <alignment horizontal="center" vertical="center" wrapText="1"/>
    </xf>
    <xf numFmtId="1" fontId="41" fillId="0" borderId="21" xfId="0" applyNumberFormat="1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167" fontId="5" fillId="0" borderId="22" xfId="0" applyNumberFormat="1" applyFont="1" applyBorder="1" applyAlignment="1">
      <alignment horizontal="center" vertical="center" wrapText="1"/>
    </xf>
    <xf numFmtId="167" fontId="5" fillId="0" borderId="21" xfId="0" applyNumberFormat="1" applyFont="1" applyBorder="1" applyAlignment="1">
      <alignment horizontal="center" vertical="center" wrapText="1"/>
    </xf>
    <xf numFmtId="167" fontId="6" fillId="0" borderId="32" xfId="0" applyNumberFormat="1" applyFont="1" applyBorder="1" applyAlignment="1">
      <alignment horizontal="center"/>
    </xf>
    <xf numFmtId="167" fontId="6" fillId="0" borderId="43" xfId="0" applyNumberFormat="1" applyFont="1" applyBorder="1" applyAlignment="1">
      <alignment horizontal="center"/>
    </xf>
    <xf numFmtId="167" fontId="5" fillId="0" borderId="47" xfId="0" applyNumberFormat="1" applyFont="1" applyBorder="1" applyAlignment="1">
      <alignment horizontal="center" vertical="center"/>
    </xf>
    <xf numFmtId="0" fontId="27" fillId="0" borderId="0" xfId="1" quotePrefix="1" applyFont="1">
      <alignment vertical="center"/>
    </xf>
    <xf numFmtId="0" fontId="23" fillId="0" borderId="0" xfId="0" applyFont="1"/>
    <xf numFmtId="0" fontId="41" fillId="0" borderId="0" xfId="0" applyFont="1"/>
    <xf numFmtId="0" fontId="48" fillId="0" borderId="0" xfId="0" applyFont="1"/>
    <xf numFmtId="0" fontId="49" fillId="0" borderId="30" xfId="0" applyFont="1" applyBorder="1"/>
    <xf numFmtId="0" fontId="50" fillId="0" borderId="30" xfId="0" applyFont="1" applyBorder="1"/>
    <xf numFmtId="0" fontId="42" fillId="0" borderId="0" xfId="0" applyFont="1" applyAlignment="1">
      <alignment vertical="center" wrapText="1"/>
    </xf>
    <xf numFmtId="164" fontId="42" fillId="0" borderId="0" xfId="0" applyNumberFormat="1" applyFont="1" applyAlignment="1">
      <alignment vertical="center" wrapText="1"/>
    </xf>
    <xf numFmtId="0" fontId="3" fillId="0" borderId="0" xfId="0" applyFont="1"/>
    <xf numFmtId="0" fontId="51" fillId="0" borderId="0" xfId="0" applyFont="1" applyAlignment="1">
      <alignment horizontal="right" vertical="center" wrapText="1"/>
    </xf>
    <xf numFmtId="164" fontId="7" fillId="0" borderId="0" xfId="0" applyNumberFormat="1" applyFont="1" applyAlignment="1">
      <alignment horizontal="right" vertical="center" wrapText="1"/>
    </xf>
    <xf numFmtId="1" fontId="50" fillId="0" borderId="30" xfId="0" applyNumberFormat="1" applyFont="1" applyBorder="1"/>
    <xf numFmtId="164" fontId="50" fillId="0" borderId="30" xfId="0" applyNumberFormat="1" applyFont="1" applyBorder="1"/>
    <xf numFmtId="0" fontId="53" fillId="5" borderId="30" xfId="0" applyFont="1" applyFill="1" applyBorder="1"/>
    <xf numFmtId="0" fontId="0" fillId="0" borderId="30" xfId="0" applyBorder="1" applyAlignment="1">
      <alignment horizontal="center"/>
    </xf>
    <xf numFmtId="167" fontId="5" fillId="0" borderId="0" xfId="0" applyNumberFormat="1" applyFont="1" applyAlignment="1">
      <alignment horizontal="right"/>
    </xf>
    <xf numFmtId="0" fontId="6" fillId="0" borderId="42" xfId="0" applyFont="1" applyBorder="1"/>
    <xf numFmtId="164" fontId="13" fillId="0" borderId="48" xfId="0" applyNumberFormat="1" applyFont="1" applyBorder="1"/>
    <xf numFmtId="167" fontId="13" fillId="0" borderId="48" xfId="0" applyNumberFormat="1" applyFont="1" applyBorder="1"/>
    <xf numFmtId="2" fontId="13" fillId="0" borderId="48" xfId="0" applyNumberFormat="1" applyFont="1" applyBorder="1"/>
    <xf numFmtId="0" fontId="10" fillId="0" borderId="30" xfId="0" applyFont="1" applyBorder="1"/>
    <xf numFmtId="0" fontId="43" fillId="4" borderId="16" xfId="0" applyFont="1" applyFill="1" applyBorder="1"/>
    <xf numFmtId="0" fontId="13" fillId="6" borderId="16" xfId="0" applyFont="1" applyFill="1" applyBorder="1"/>
    <xf numFmtId="0" fontId="0" fillId="0" borderId="41" xfId="0" applyBorder="1"/>
    <xf numFmtId="0" fontId="0" fillId="0" borderId="29" xfId="0" applyBorder="1"/>
    <xf numFmtId="0" fontId="6" fillId="0" borderId="50" xfId="0" applyFont="1" applyBorder="1"/>
    <xf numFmtId="0" fontId="6" fillId="0" borderId="51" xfId="0" applyFont="1" applyBorder="1"/>
    <xf numFmtId="164" fontId="13" fillId="6" borderId="17" xfId="0" applyNumberFormat="1" applyFont="1" applyFill="1" applyBorder="1"/>
    <xf numFmtId="0" fontId="13" fillId="6" borderId="17" xfId="0" applyFont="1" applyFill="1" applyBorder="1"/>
    <xf numFmtId="0" fontId="13" fillId="6" borderId="5" xfId="0" applyFont="1" applyFill="1" applyBorder="1"/>
    <xf numFmtId="0" fontId="13" fillId="4" borderId="16" xfId="0" applyFont="1" applyFill="1" applyBorder="1"/>
    <xf numFmtId="0" fontId="43" fillId="4" borderId="17" xfId="0" applyFont="1" applyFill="1" applyBorder="1"/>
    <xf numFmtId="0" fontId="13" fillId="7" borderId="17" xfId="0" applyFont="1" applyFill="1" applyBorder="1"/>
    <xf numFmtId="0" fontId="13" fillId="7" borderId="5" xfId="0" applyFont="1" applyFill="1" applyBorder="1"/>
    <xf numFmtId="164" fontId="45" fillId="4" borderId="36" xfId="0" applyNumberFormat="1" applyFont="1" applyFill="1" applyBorder="1"/>
    <xf numFmtId="164" fontId="13" fillId="7" borderId="17" xfId="0" applyNumberFormat="1" applyFont="1" applyFill="1" applyBorder="1"/>
    <xf numFmtId="164" fontId="13" fillId="7" borderId="5" xfId="0" applyNumberFormat="1" applyFont="1" applyFill="1" applyBorder="1"/>
    <xf numFmtId="0" fontId="13" fillId="4" borderId="17" xfId="0" applyFont="1" applyFill="1" applyBorder="1"/>
    <xf numFmtId="0" fontId="0" fillId="6" borderId="0" xfId="0" applyFill="1"/>
    <xf numFmtId="0" fontId="2" fillId="0" borderId="0" xfId="0" applyFont="1"/>
    <xf numFmtId="0" fontId="13" fillId="6" borderId="36" xfId="0" applyFont="1" applyFill="1" applyBorder="1"/>
    <xf numFmtId="0" fontId="0" fillId="6" borderId="30" xfId="0" applyFill="1" applyBorder="1" applyAlignment="1">
      <alignment horizontal="center" vertical="center"/>
    </xf>
    <xf numFmtId="0" fontId="8" fillId="0" borderId="18" xfId="0" applyFont="1" applyBorder="1"/>
    <xf numFmtId="164" fontId="0" fillId="4" borderId="30" xfId="0" applyNumberFormat="1" applyFill="1" applyBorder="1"/>
    <xf numFmtId="0" fontId="10" fillId="4" borderId="30" xfId="0" applyFont="1" applyFill="1" applyBorder="1"/>
    <xf numFmtId="164" fontId="5" fillId="0" borderId="55" xfId="0" applyNumberFormat="1" applyFont="1" applyBorder="1"/>
    <xf numFmtId="0" fontId="6" fillId="0" borderId="15" xfId="0" applyFont="1" applyBorder="1"/>
    <xf numFmtId="0" fontId="41" fillId="0" borderId="52" xfId="0" applyFont="1" applyBorder="1"/>
    <xf numFmtId="0" fontId="41" fillId="0" borderId="53" xfId="0" applyFont="1" applyBorder="1"/>
    <xf numFmtId="0" fontId="0" fillId="4" borderId="36" xfId="0" applyFill="1" applyBorder="1"/>
    <xf numFmtId="49" fontId="43" fillId="4" borderId="17" xfId="0" quotePrefix="1" applyNumberFormat="1" applyFont="1" applyFill="1" applyBorder="1"/>
    <xf numFmtId="0" fontId="55" fillId="0" borderId="0" xfId="0" applyFont="1" applyAlignment="1">
      <alignment horizontal="left"/>
    </xf>
    <xf numFmtId="0" fontId="56" fillId="0" borderId="0" xfId="0" applyFont="1"/>
    <xf numFmtId="167" fontId="56" fillId="0" borderId="0" xfId="0" applyNumberFormat="1" applyFont="1"/>
    <xf numFmtId="0" fontId="13" fillId="0" borderId="54" xfId="0" applyFont="1" applyBorder="1" applyAlignment="1">
      <alignment vertical="center" wrapText="1"/>
    </xf>
    <xf numFmtId="0" fontId="13" fillId="0" borderId="49" xfId="0" applyFont="1" applyBorder="1" applyAlignment="1">
      <alignment vertical="center" wrapText="1"/>
    </xf>
    <xf numFmtId="0" fontId="13" fillId="0" borderId="32" xfId="0" applyFont="1" applyBorder="1" applyAlignment="1">
      <alignment vertical="center" wrapText="1"/>
    </xf>
    <xf numFmtId="0" fontId="13" fillId="0" borderId="42" xfId="0" applyFont="1" applyBorder="1" applyAlignment="1">
      <alignment vertical="center" wrapText="1"/>
    </xf>
    <xf numFmtId="0" fontId="10" fillId="0" borderId="34" xfId="0" applyFont="1" applyBorder="1"/>
    <xf numFmtId="0" fontId="10" fillId="0" borderId="36" xfId="0" applyFont="1" applyBorder="1"/>
    <xf numFmtId="0" fontId="10" fillId="0" borderId="35" xfId="0" applyFont="1" applyBorder="1"/>
    <xf numFmtId="0" fontId="1" fillId="0" borderId="0" xfId="0" applyFont="1"/>
    <xf numFmtId="170" fontId="0" fillId="0" borderId="30" xfId="0" applyNumberFormat="1" applyBorder="1" applyAlignment="1">
      <alignment horizontal="center"/>
    </xf>
    <xf numFmtId="164" fontId="43" fillId="0" borderId="48" xfId="0" applyNumberFormat="1" applyFont="1" applyBorder="1"/>
    <xf numFmtId="167" fontId="0" fillId="4" borderId="30" xfId="0" applyNumberFormat="1" applyFill="1" applyBorder="1"/>
    <xf numFmtId="0" fontId="48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70" fontId="5" fillId="0" borderId="0" xfId="0" applyNumberFormat="1" applyFont="1" applyAlignment="1">
      <alignment horizontal="right"/>
    </xf>
    <xf numFmtId="164" fontId="5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center" vertical="top"/>
    </xf>
    <xf numFmtId="0" fontId="5" fillId="0" borderId="30" xfId="0" applyFont="1" applyBorder="1" applyAlignment="1">
      <alignment horizontal="center" vertical="center" wrapText="1"/>
    </xf>
    <xf numFmtId="167" fontId="5" fillId="0" borderId="30" xfId="0" applyNumberFormat="1" applyFont="1" applyBorder="1" applyAlignment="1">
      <alignment horizontal="center" vertical="center" wrapText="1"/>
    </xf>
    <xf numFmtId="167" fontId="10" fillId="4" borderId="30" xfId="0" applyNumberFormat="1" applyFont="1" applyFill="1" applyBorder="1"/>
    <xf numFmtId="0" fontId="0" fillId="0" borderId="30" xfId="0" applyBorder="1" applyAlignment="1">
      <alignment horizontal="center"/>
    </xf>
    <xf numFmtId="0" fontId="13" fillId="8" borderId="5" xfId="0" applyFont="1" applyFill="1" applyBorder="1" applyAlignment="1">
      <alignment horizontal="center" vertical="center" wrapText="1"/>
    </xf>
    <xf numFmtId="0" fontId="8" fillId="8" borderId="14" xfId="0" applyFont="1" applyFill="1" applyBorder="1"/>
    <xf numFmtId="0" fontId="0" fillId="8" borderId="28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/>
    <xf numFmtId="0" fontId="8" fillId="0" borderId="8" xfId="0" applyFont="1" applyBorder="1"/>
    <xf numFmtId="168" fontId="13" fillId="0" borderId="12" xfId="0" applyNumberFormat="1" applyFont="1" applyBorder="1" applyAlignment="1">
      <alignment horizontal="left"/>
    </xf>
    <xf numFmtId="0" fontId="8" fillId="0" borderId="13" xfId="0" applyFont="1" applyBorder="1"/>
    <xf numFmtId="0" fontId="13" fillId="0" borderId="54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3" fillId="0" borderId="32" xfId="0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 wrapText="1"/>
    </xf>
    <xf numFmtId="0" fontId="10" fillId="0" borderId="34" xfId="0" applyFont="1" applyBorder="1" applyAlignment="1">
      <alignment horizontal="center"/>
    </xf>
    <xf numFmtId="0" fontId="10" fillId="0" borderId="36" xfId="0" applyFont="1" applyBorder="1" applyAlignment="1">
      <alignment horizontal="center"/>
    </xf>
    <xf numFmtId="0" fontId="10" fillId="0" borderId="35" xfId="0" applyFont="1" applyBorder="1" applyAlignment="1">
      <alignment horizontal="center"/>
    </xf>
    <xf numFmtId="168" fontId="13" fillId="0" borderId="15" xfId="0" applyNumberFormat="1" applyFont="1" applyBorder="1" applyAlignment="1">
      <alignment horizontal="left"/>
    </xf>
    <xf numFmtId="0" fontId="8" fillId="0" borderId="16" xfId="0" applyFont="1" applyBorder="1"/>
    <xf numFmtId="168" fontId="43" fillId="0" borderId="15" xfId="0" applyNumberFormat="1" applyFont="1" applyBorder="1" applyAlignment="1">
      <alignment horizontal="left"/>
    </xf>
    <xf numFmtId="0" fontId="24" fillId="0" borderId="16" xfId="0" applyFont="1" applyBorder="1"/>
    <xf numFmtId="0" fontId="13" fillId="0" borderId="4" xfId="0" applyFont="1" applyBorder="1" applyAlignment="1">
      <alignment horizontal="center" vertical="center"/>
    </xf>
    <xf numFmtId="0" fontId="8" fillId="0" borderId="6" xfId="0" applyFont="1" applyBorder="1"/>
    <xf numFmtId="0" fontId="8" fillId="0" borderId="7" xfId="0" applyFont="1" applyBorder="1"/>
    <xf numFmtId="0" fontId="8" fillId="0" borderId="19" xfId="0" applyFont="1" applyBorder="1"/>
    <xf numFmtId="0" fontId="8" fillId="0" borderId="20" xfId="0" applyFont="1" applyBorder="1"/>
    <xf numFmtId="15" fontId="13" fillId="0" borderId="15" xfId="0" quotePrefix="1" applyNumberFormat="1" applyFont="1" applyBorder="1" applyAlignment="1">
      <alignment horizontal="left"/>
    </xf>
    <xf numFmtId="0" fontId="8" fillId="0" borderId="18" xfId="0" applyFont="1" applyBorder="1"/>
    <xf numFmtId="0" fontId="13" fillId="0" borderId="0" xfId="0" applyFont="1" applyAlignment="1">
      <alignment horizontal="left" vertical="top" wrapText="1"/>
    </xf>
    <xf numFmtId="0" fontId="8" fillId="0" borderId="14" xfId="0" applyFont="1" applyBorder="1"/>
    <xf numFmtId="0" fontId="13" fillId="8" borderId="56" xfId="0" applyFont="1" applyFill="1" applyBorder="1" applyAlignment="1">
      <alignment horizontal="center" vertical="center" wrapText="1"/>
    </xf>
    <xf numFmtId="0" fontId="8" fillId="8" borderId="57" xfId="0" applyFont="1" applyFill="1" applyBorder="1"/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168" fontId="43" fillId="0" borderId="15" xfId="0" applyNumberFormat="1" applyFont="1" applyBorder="1" applyAlignment="1">
      <alignment horizontal="center"/>
    </xf>
    <xf numFmtId="168" fontId="43" fillId="0" borderId="17" xfId="0" applyNumberFormat="1" applyFont="1" applyBorder="1" applyAlignment="1">
      <alignment horizontal="center"/>
    </xf>
    <xf numFmtId="0" fontId="18" fillId="0" borderId="15" xfId="0" applyFont="1" applyBorder="1"/>
    <xf numFmtId="0" fontId="5" fillId="0" borderId="15" xfId="0" applyFont="1" applyBorder="1"/>
    <xf numFmtId="168" fontId="5" fillId="0" borderId="4" xfId="0" applyNumberFormat="1" applyFont="1" applyBorder="1" applyAlignment="1">
      <alignment horizontal="left"/>
    </xf>
    <xf numFmtId="0" fontId="8" fillId="0" borderId="5" xfId="0" applyFont="1" applyBorder="1"/>
    <xf numFmtId="168" fontId="5" fillId="0" borderId="7" xfId="0" applyNumberFormat="1" applyFont="1" applyBorder="1" applyAlignment="1">
      <alignment horizontal="left"/>
    </xf>
    <xf numFmtId="0" fontId="6" fillId="0" borderId="1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47" fillId="0" borderId="45" xfId="0" applyFont="1" applyBorder="1" applyAlignment="1">
      <alignment horizontal="center" vertical="center" wrapText="1"/>
    </xf>
    <xf numFmtId="0" fontId="47" fillId="0" borderId="46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8" fillId="0" borderId="2" xfId="0" applyFont="1" applyBorder="1"/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wrapText="1"/>
    </xf>
    <xf numFmtId="0" fontId="8" fillId="0" borderId="3" xfId="0" applyFont="1" applyBorder="1"/>
    <xf numFmtId="0" fontId="6" fillId="0" borderId="22" xfId="0" applyFont="1" applyBorder="1" applyAlignment="1">
      <alignment horizontal="center" vertical="center" wrapText="1"/>
    </xf>
    <xf numFmtId="0" fontId="8" fillId="0" borderId="21" xfId="0" applyFont="1" applyBorder="1"/>
    <xf numFmtId="0" fontId="8" fillId="0" borderId="23" xfId="0" applyFont="1" applyBorder="1"/>
    <xf numFmtId="0" fontId="39" fillId="0" borderId="28" xfId="3" applyFont="1" applyBorder="1" applyAlignment="1">
      <alignment horizontal="center" vertical="center" wrapText="1"/>
    </xf>
    <xf numFmtId="0" fontId="39" fillId="0" borderId="29" xfId="3" applyFont="1" applyBorder="1" applyAlignment="1">
      <alignment horizontal="center" vertical="center" wrapText="1"/>
    </xf>
    <xf numFmtId="2" fontId="31" fillId="0" borderId="30" xfId="1" applyNumberFormat="1" applyFont="1" applyBorder="1" applyAlignment="1">
      <alignment horizontal="center" vertical="center"/>
    </xf>
    <xf numFmtId="167" fontId="27" fillId="0" borderId="30" xfId="0" applyNumberFormat="1" applyFont="1" applyBorder="1" applyAlignment="1">
      <alignment horizontal="center" vertical="center" wrapText="1"/>
    </xf>
    <xf numFmtId="170" fontId="27" fillId="0" borderId="30" xfId="0" applyNumberFormat="1" applyFont="1" applyBorder="1" applyAlignment="1">
      <alignment horizontal="center" vertical="center" wrapText="1"/>
    </xf>
    <xf numFmtId="1" fontId="31" fillId="0" borderId="30" xfId="0" applyNumberFormat="1" applyFont="1" applyBorder="1" applyAlignment="1">
      <alignment horizontal="center" vertical="center"/>
    </xf>
    <xf numFmtId="0" fontId="31" fillId="0" borderId="30" xfId="0" applyFont="1" applyBorder="1" applyAlignment="1">
      <alignment horizontal="center" vertical="center"/>
    </xf>
    <xf numFmtId="1" fontId="27" fillId="0" borderId="30" xfId="0" applyNumberFormat="1" applyFont="1" applyBorder="1" applyAlignment="1">
      <alignment horizontal="center" vertical="center" wrapText="1"/>
    </xf>
    <xf numFmtId="0" fontId="27" fillId="0" borderId="30" xfId="0" applyFont="1" applyBorder="1" applyAlignment="1">
      <alignment horizontal="center" vertical="center" wrapText="1"/>
    </xf>
    <xf numFmtId="0" fontId="38" fillId="0" borderId="28" xfId="0" applyFont="1" applyBorder="1" applyAlignment="1">
      <alignment horizontal="center" vertical="center" wrapText="1"/>
    </xf>
    <xf numFmtId="0" fontId="39" fillId="0" borderId="28" xfId="0" applyFont="1" applyBorder="1" applyAlignment="1">
      <alignment horizontal="center" vertical="center" wrapText="1"/>
    </xf>
    <xf numFmtId="0" fontId="39" fillId="0" borderId="28" xfId="0" applyFont="1" applyBorder="1" applyAlignment="1">
      <alignment horizontal="center" wrapText="1"/>
    </xf>
    <xf numFmtId="0" fontId="44" fillId="0" borderId="29" xfId="0" applyFont="1" applyBorder="1" applyAlignment="1">
      <alignment horizontal="center"/>
    </xf>
    <xf numFmtId="0" fontId="39" fillId="0" borderId="33" xfId="0" applyFont="1" applyBorder="1" applyAlignment="1">
      <alignment horizontal="center" vertical="center" wrapText="1"/>
    </xf>
    <xf numFmtId="0" fontId="39" fillId="0" borderId="40" xfId="0" applyFont="1" applyBorder="1" applyAlignment="1">
      <alignment horizontal="center" vertical="center" wrapText="1"/>
    </xf>
    <xf numFmtId="170" fontId="31" fillId="0" borderId="34" xfId="0" applyNumberFormat="1" applyFont="1" applyBorder="1" applyAlignment="1">
      <alignment horizontal="center"/>
    </xf>
    <xf numFmtId="170" fontId="31" fillId="0" borderId="35" xfId="0" applyNumberFormat="1" applyFont="1" applyBorder="1" applyAlignment="1">
      <alignment horizontal="center"/>
    </xf>
    <xf numFmtId="167" fontId="31" fillId="0" borderId="34" xfId="0" applyNumberFormat="1" applyFont="1" applyBorder="1" applyAlignment="1">
      <alignment horizontal="center"/>
    </xf>
    <xf numFmtId="167" fontId="31" fillId="0" borderId="35" xfId="0" applyNumberFormat="1" applyFont="1" applyBorder="1" applyAlignment="1">
      <alignment horizontal="center"/>
    </xf>
    <xf numFmtId="0" fontId="44" fillId="0" borderId="43" xfId="0" applyFont="1" applyBorder="1" applyAlignment="1">
      <alignment horizontal="center"/>
    </xf>
    <xf numFmtId="0" fontId="44" fillId="0" borderId="44" xfId="0" applyFont="1" applyBorder="1" applyAlignment="1">
      <alignment horizontal="center"/>
    </xf>
    <xf numFmtId="164" fontId="40" fillId="0" borderId="30" xfId="3" applyNumberFormat="1" applyFont="1" applyBorder="1" applyAlignment="1">
      <alignment horizontal="center" vertical="center"/>
    </xf>
    <xf numFmtId="1" fontId="40" fillId="0" borderId="30" xfId="3" applyNumberFormat="1" applyFont="1" applyBorder="1" applyAlignment="1">
      <alignment horizontal="center" vertical="center"/>
    </xf>
    <xf numFmtId="0" fontId="27" fillId="0" borderId="0" xfId="1" applyFont="1" applyAlignment="1">
      <alignment horizontal="left" vertical="top" wrapText="1"/>
    </xf>
    <xf numFmtId="0" fontId="39" fillId="0" borderId="33" xfId="3" applyFont="1" applyBorder="1" applyAlignment="1">
      <alignment horizontal="center" vertical="center" wrapText="1"/>
    </xf>
    <xf numFmtId="0" fontId="39" fillId="0" borderId="40" xfId="3" applyFont="1" applyBorder="1" applyAlignment="1">
      <alignment horizontal="center" vertical="center" wrapText="1"/>
    </xf>
    <xf numFmtId="0" fontId="25" fillId="0" borderId="0" xfId="1" applyFont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7" fillId="0" borderId="0" xfId="1" applyFont="1" applyAlignment="1">
      <alignment horizontal="center" vertical="center"/>
    </xf>
    <xf numFmtId="0" fontId="33" fillId="0" borderId="0" xfId="1" applyFont="1" applyAlignment="1">
      <alignment horizontal="center" vertical="center"/>
    </xf>
    <xf numFmtId="0" fontId="39" fillId="0" borderId="33" xfId="3" applyFont="1" applyBorder="1" applyAlignment="1">
      <alignment horizontal="center" vertical="top" wrapText="1"/>
    </xf>
    <xf numFmtId="0" fontId="39" fillId="0" borderId="40" xfId="3" applyFont="1" applyBorder="1" applyAlignment="1">
      <alignment horizontal="center" vertical="top" wrapText="1"/>
    </xf>
    <xf numFmtId="49" fontId="27" fillId="0" borderId="0" xfId="1" applyNumberFormat="1" applyFont="1" applyAlignment="1">
      <alignment horizontal="left" vertical="top" wrapText="1"/>
    </xf>
  </cellXfs>
  <cellStyles count="4">
    <cellStyle name="Normal" xfId="0" builtinId="0"/>
    <cellStyle name="Normal 2" xfId="2" xr:uid="{BFDE2859-4E0F-4049-B8BF-EC716ED1BBD8}"/>
    <cellStyle name="Normal 2 2" xfId="3" xr:uid="{E28B36CC-F71D-46A0-87A3-9D941923A0F7}"/>
    <cellStyle name="Normal 3" xfId="1" xr:uid="{EDD5BEBB-1C9D-43FA-8BE8-8B7C8D054121}"/>
  </cellStyles>
  <dxfs count="20"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numFmt numFmtId="167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numFmt numFmtId="167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numFmt numFmtId="170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rgb="FF000000"/>
        </left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none"/>
      </font>
      <numFmt numFmtId="167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mbria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rgb="FF000000"/>
        </left>
        <right style="medium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2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2.jp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6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g"/><Relationship Id="rId1" Type="http://schemas.openxmlformats.org/officeDocument/2006/relationships/image" Target="../media/image8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752475</xdr:colOff>
      <xdr:row>1</xdr:row>
      <xdr:rowOff>76200</xdr:rowOff>
    </xdr:from>
    <xdr:ext cx="1933575" cy="581025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048250" cy="8010525"/>
    <xdr:pic>
      <xdr:nvPicPr>
        <xdr:cNvPr id="2" name="image6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495300</xdr:colOff>
      <xdr:row>0</xdr:row>
      <xdr:rowOff>0</xdr:rowOff>
    </xdr:from>
    <xdr:ext cx="4629150" cy="8010525"/>
    <xdr:pic>
      <xdr:nvPicPr>
        <xdr:cNvPr id="3" name="image5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552450</xdr:colOff>
      <xdr:row>0</xdr:row>
      <xdr:rowOff>0</xdr:rowOff>
    </xdr:from>
    <xdr:ext cx="4610100" cy="8001000"/>
    <xdr:pic>
      <xdr:nvPicPr>
        <xdr:cNvPr id="4" name="image4.jp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285751</xdr:colOff>
      <xdr:row>48</xdr:row>
      <xdr:rowOff>25976</xdr:rowOff>
    </xdr:from>
    <xdr:to>
      <xdr:col>11</xdr:col>
      <xdr:colOff>417593</xdr:colOff>
      <xdr:row>85</xdr:row>
      <xdr:rowOff>198834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996B89D-704E-15FD-A7C9-D1ABA5DBD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1" y="9412431"/>
          <a:ext cx="6989842" cy="75417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153025" cy="7981950"/>
    <xdr:pic>
      <xdr:nvPicPr>
        <xdr:cNvPr id="2" name="image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590550</xdr:colOff>
      <xdr:row>0</xdr:row>
      <xdr:rowOff>0</xdr:rowOff>
    </xdr:from>
    <xdr:ext cx="5133975" cy="7981950"/>
    <xdr:pic>
      <xdr:nvPicPr>
        <xdr:cNvPr id="3" name="image8.jp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181600" cy="8020050"/>
    <xdr:pic>
      <xdr:nvPicPr>
        <xdr:cNvPr id="2" name="image3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581025</xdr:colOff>
      <xdr:row>0</xdr:row>
      <xdr:rowOff>0</xdr:rowOff>
    </xdr:from>
    <xdr:ext cx="5153025" cy="8020050"/>
    <xdr:pic>
      <xdr:nvPicPr>
        <xdr:cNvPr id="3" name="image7.jp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143500" cy="7981950"/>
    <xdr:pic>
      <xdr:nvPicPr>
        <xdr:cNvPr id="2" name="image10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542925</xdr:colOff>
      <xdr:row>0</xdr:row>
      <xdr:rowOff>0</xdr:rowOff>
    </xdr:from>
    <xdr:ext cx="5124450" cy="7981950"/>
    <xdr:pic>
      <xdr:nvPicPr>
        <xdr:cNvPr id="3" name="image11.jp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523875</xdr:colOff>
      <xdr:row>0</xdr:row>
      <xdr:rowOff>0</xdr:rowOff>
    </xdr:from>
    <xdr:ext cx="5124450" cy="7981950"/>
    <xdr:pic>
      <xdr:nvPicPr>
        <xdr:cNvPr id="4" name="image9.jp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92110</xdr:colOff>
      <xdr:row>45</xdr:row>
      <xdr:rowOff>2130</xdr:rowOff>
    </xdr:from>
    <xdr:to>
      <xdr:col>3</xdr:col>
      <xdr:colOff>16747</xdr:colOff>
      <xdr:row>48</xdr:row>
      <xdr:rowOff>31234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FDD354-5626-C7B4-61F2-F959F03EA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442745"/>
          <a:ext cx="577780" cy="581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E142F6-4D65-4DA0-9559-7679F2A0A871}" name="Table3" displayName="Table3" ref="A1:H15" totalsRowShown="0" headerRowDxfId="19">
  <autoFilter ref="A1:H15" xr:uid="{ACE142F6-4D65-4DA0-9559-7679F2A0A871}"/>
  <tableColumns count="8">
    <tableColumn id="1" xr3:uid="{6A33C209-45C1-4575-8BF6-17F0ABC7652F}" name="Glass Filter" dataDxfId="18">
      <calculatedColumnFormula>Data!B30</calculatedColumnFormula>
    </tableColumn>
    <tableColumn id="2" xr3:uid="{5693CB7E-9448-477C-8E7B-56BA75F19AC5}" name="P. Std" dataDxfId="17">
      <calculatedColumnFormula>Data!D30</calculatedColumnFormula>
    </tableColumn>
    <tableColumn id="3" xr3:uid="{BBC50D60-675F-4847-B09D-8463827CBDAF}" name="Kor. Std" dataDxfId="16"/>
    <tableColumn id="4" xr3:uid="{E10C4030-149B-4107-8F25-7627A313EAF5}" name="P. Alat" dataDxfId="15">
      <calculatedColumnFormula>AVERAGE(Data!F30:J30)</calculatedColumnFormula>
    </tableColumn>
    <tableColumn id="5" xr3:uid="{4ABA4265-1C53-443C-8509-AFD69B3C2661}" name="Kor. Alat" dataDxfId="14"/>
    <tableColumn id="6" xr3:uid="{2CBB5F1B-641D-4D55-8680-056B0174B8FD}" name="U 95%" dataDxfId="13"/>
    <tableColumn id="7" xr3:uid="{34737898-47B2-4950-B4BE-42451E5B5746}" name="k" dataDxfId="12"/>
    <tableColumn id="8" xr3:uid="{7BAECFBA-34D1-414D-926F-5550EA5AEB67}" name="CMC" dataDxfId="1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2F52A9-B723-46FA-8E91-507DA58ABE39}" name="Table2" displayName="Table2" ref="A1:I11" totalsRowShown="0" headerRowDxfId="10">
  <autoFilter ref="A1:I11" xr:uid="{332F52A9-B723-46FA-8E91-507DA58ABE39}"/>
  <tableColumns count="9">
    <tableColumn id="1" xr3:uid="{531B4CC6-7DE8-4AD8-88C9-27B53AE0994E}" name="GF " dataDxfId="9">
      <calculatedColumnFormula>CONCATENATE(Data!B50)</calculatedColumnFormula>
    </tableColumn>
    <tableColumn id="2" xr3:uid="{3DDBAFC4-E6ED-461D-BE9A-EEB1BA7EC70E}" name=" WVL" dataDxfId="8">
      <calculatedColumnFormula>CONCATENATE(Data!C50)</calculatedColumnFormula>
    </tableColumn>
    <tableColumn id="3" xr3:uid="{C5711E5E-631B-4F6D-B02F-A860E1957BE4}" name="P. Std" dataDxfId="7">
      <calculatedColumnFormula>Data!D50</calculatedColumnFormula>
    </tableColumn>
    <tableColumn id="4" xr3:uid="{6490970C-7F1E-4C1C-8481-4A9183AF50F1}" name="Kor Std" dataDxfId="6"/>
    <tableColumn id="5" xr3:uid="{B24700E6-078F-4B40-A497-6F66A2B1910E}" name="P. Alat" dataDxfId="5">
      <calculatedColumnFormula>AVERAGE(Data!F50:J50)</calculatedColumnFormula>
    </tableColumn>
    <tableColumn id="6" xr3:uid="{FFCEA16A-AC31-471B-836B-F39C6A236D56}" name="Kor Alat" dataDxfId="4"/>
    <tableColumn id="7" xr3:uid="{5C6F51EE-24C7-43BB-9D9B-71F8F5C3C674}" name="U 95%" dataDxfId="3"/>
    <tableColumn id="8" xr3:uid="{BDD99B46-D11A-4782-AD0A-BB9B74250ADB}" name="k" dataDxfId="2"/>
    <tableColumn id="9" xr3:uid="{B4AE0ABB-393C-4A5D-BBF5-A56C2D7EDF25}" name="CM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7E744F-813B-4B7A-BB18-945E2CE8B901}" name="Table1" displayName="Table1" ref="X2:Y27" totalsRowShown="0">
  <autoFilter ref="X2:Y27" xr:uid="{3A7E744F-813B-4B7A-BB18-945E2CE8B901}"/>
  <sortState xmlns:xlrd2="http://schemas.microsoft.com/office/spreadsheetml/2017/richdata2" ref="X3:Y26">
    <sortCondition ref="Y2:Y27"/>
  </sortState>
  <tableColumns count="2">
    <tableColumn id="1" xr3:uid="{C26517FC-C785-4F6C-AC69-EE899C833982}" name="No "/>
    <tableColumn id="2" xr3:uid="{7EE2C7BB-DA89-47EC-B975-146E64348410}" name="Rentang Gelomban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A1014"/>
  <sheetViews>
    <sheetView tabSelected="1" topLeftCell="A28" workbookViewId="0">
      <selection activeCell="M39" sqref="M39"/>
    </sheetView>
  </sheetViews>
  <sheetFormatPr defaultColWidth="14.44140625" defaultRowHeight="15" customHeight="1" x14ac:dyDescent="0.3"/>
  <cols>
    <col min="1" max="1" width="12" customWidth="1"/>
    <col min="2" max="2" width="13" customWidth="1"/>
    <col min="3" max="3" width="19.33203125" customWidth="1"/>
    <col min="4" max="4" width="10.5546875" customWidth="1"/>
    <col min="5" max="5" width="10.77734375" customWidth="1"/>
    <col min="6" max="6" width="13.6640625" customWidth="1"/>
    <col min="7" max="7" width="11.77734375" customWidth="1"/>
    <col min="8" max="8" width="11.109375" customWidth="1"/>
    <col min="9" max="13" width="7.77734375" customWidth="1"/>
    <col min="14" max="18" width="9.109375" customWidth="1"/>
    <col min="19" max="19" width="12.21875" bestFit="1" customWidth="1"/>
    <col min="20" max="27" width="9.109375" customWidth="1"/>
  </cols>
  <sheetData>
    <row r="1" spans="1:27" ht="3.75" customHeight="1" x14ac:dyDescent="0.3">
      <c r="A1" s="25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7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</row>
    <row r="2" spans="1:27" ht="14.25" customHeight="1" x14ac:dyDescent="0.3">
      <c r="A2" s="29"/>
      <c r="B2" s="30"/>
      <c r="C2" s="30"/>
      <c r="D2" s="30"/>
      <c r="E2" s="323" t="s">
        <v>11</v>
      </c>
      <c r="F2" s="324"/>
      <c r="G2" s="324"/>
      <c r="H2" s="324"/>
      <c r="I2" s="324"/>
      <c r="J2" s="324"/>
      <c r="K2" s="324"/>
      <c r="L2" s="324"/>
      <c r="M2" s="325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</row>
    <row r="3" spans="1:27" ht="14.25" customHeight="1" x14ac:dyDescent="0.3">
      <c r="A3" s="29"/>
      <c r="B3" s="30"/>
      <c r="C3" s="30"/>
      <c r="D3" s="30"/>
      <c r="E3" s="323" t="s">
        <v>12</v>
      </c>
      <c r="F3" s="324"/>
      <c r="G3" s="324"/>
      <c r="H3" s="324"/>
      <c r="I3" s="324"/>
      <c r="J3" s="324"/>
      <c r="K3" s="324"/>
      <c r="L3" s="324"/>
      <c r="M3" s="325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</row>
    <row r="4" spans="1:27" ht="14.25" customHeight="1" x14ac:dyDescent="0.3">
      <c r="A4" s="29"/>
      <c r="B4" s="30"/>
      <c r="C4" s="30"/>
      <c r="D4" s="30"/>
      <c r="E4" s="323" t="s">
        <v>13</v>
      </c>
      <c r="F4" s="324"/>
      <c r="G4" s="324"/>
      <c r="H4" s="324"/>
      <c r="I4" s="324"/>
      <c r="J4" s="324"/>
      <c r="K4" s="324"/>
      <c r="L4" s="324"/>
      <c r="M4" s="325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27" ht="14.25" customHeight="1" x14ac:dyDescent="0.3">
      <c r="A5" s="29"/>
      <c r="B5" s="30"/>
      <c r="C5" s="30"/>
      <c r="D5" s="30"/>
      <c r="E5" s="323" t="s">
        <v>14</v>
      </c>
      <c r="F5" s="324"/>
      <c r="G5" s="324"/>
      <c r="H5" s="324"/>
      <c r="I5" s="324"/>
      <c r="J5" s="324"/>
      <c r="K5" s="324"/>
      <c r="L5" s="324"/>
      <c r="M5" s="325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</row>
    <row r="6" spans="1:27" ht="3.75" customHeight="1" x14ac:dyDescent="0.3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3"/>
      <c r="M6" s="34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</row>
    <row r="7" spans="1:27" ht="14.25" customHeight="1" x14ac:dyDescent="0.3">
      <c r="A7" s="326"/>
      <c r="B7" s="327"/>
      <c r="C7" s="35"/>
      <c r="D7" s="35"/>
      <c r="E7" s="35"/>
      <c r="F7" s="35"/>
      <c r="G7" s="35"/>
      <c r="H7" s="35"/>
      <c r="I7" s="35"/>
      <c r="J7" s="35"/>
      <c r="K7" s="35"/>
      <c r="L7" s="35"/>
      <c r="M7" s="36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</row>
    <row r="8" spans="1:27" ht="14.25" customHeight="1" x14ac:dyDescent="0.3">
      <c r="A8" s="335" t="s">
        <v>259</v>
      </c>
      <c r="B8" s="336"/>
      <c r="C8" s="274" t="s">
        <v>347</v>
      </c>
      <c r="D8" s="37"/>
      <c r="E8" s="37"/>
      <c r="F8" s="37"/>
      <c r="G8" s="38"/>
      <c r="H8" s="39" t="s">
        <v>15</v>
      </c>
      <c r="I8" s="38" t="s">
        <v>348</v>
      </c>
      <c r="J8" s="37"/>
      <c r="K8" s="37"/>
      <c r="L8" s="37"/>
      <c r="M8" s="40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</row>
    <row r="9" spans="1:27" ht="14.25" customHeight="1" x14ac:dyDescent="0.3">
      <c r="A9" s="337" t="s">
        <v>366</v>
      </c>
      <c r="B9" s="338"/>
      <c r="C9" s="265" t="s">
        <v>364</v>
      </c>
      <c r="D9" s="41"/>
      <c r="E9" s="179" t="s">
        <v>43</v>
      </c>
      <c r="F9" s="37"/>
      <c r="G9" s="37"/>
      <c r="H9" s="178" t="s">
        <v>301</v>
      </c>
      <c r="I9" s="293">
        <v>1</v>
      </c>
      <c r="J9" s="178" t="s">
        <v>43</v>
      </c>
      <c r="K9" s="37"/>
      <c r="L9" s="37"/>
      <c r="M9" s="40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</row>
    <row r="10" spans="1:27" ht="14.25" customHeight="1" x14ac:dyDescent="0.3">
      <c r="A10" s="352" t="s">
        <v>352</v>
      </c>
      <c r="B10" s="353"/>
      <c r="C10" s="266">
        <v>5</v>
      </c>
      <c r="D10" s="181"/>
      <c r="E10" s="182" t="s">
        <v>43</v>
      </c>
      <c r="F10" s="183"/>
      <c r="G10" s="183"/>
      <c r="H10" s="180"/>
      <c r="I10" s="35"/>
      <c r="J10" s="180"/>
      <c r="K10" s="183"/>
      <c r="L10" s="183"/>
      <c r="M10" s="40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</row>
    <row r="11" spans="1:27" ht="14.25" customHeight="1" x14ac:dyDescent="0.3">
      <c r="A11" s="337" t="s">
        <v>302</v>
      </c>
      <c r="B11" s="336"/>
      <c r="C11" s="275" t="s">
        <v>329</v>
      </c>
      <c r="D11" s="181"/>
      <c r="E11" s="182" t="s">
        <v>96</v>
      </c>
      <c r="F11" s="183"/>
      <c r="G11" s="183"/>
      <c r="H11" s="180" t="s">
        <v>301</v>
      </c>
      <c r="I11" s="281">
        <v>1E-3</v>
      </c>
      <c r="J11" s="180" t="s">
        <v>96</v>
      </c>
      <c r="K11" s="183"/>
      <c r="L11" s="183"/>
      <c r="M11" s="40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</row>
    <row r="12" spans="1:27" ht="14.25" customHeight="1" x14ac:dyDescent="0.3">
      <c r="A12" s="335" t="s">
        <v>16</v>
      </c>
      <c r="B12" s="336"/>
      <c r="C12" s="294" t="s">
        <v>367</v>
      </c>
      <c r="D12" s="177"/>
      <c r="E12" s="42"/>
      <c r="F12" s="37"/>
      <c r="G12" s="37"/>
      <c r="H12" s="39" t="s">
        <v>17</v>
      </c>
      <c r="I12" s="43" t="s">
        <v>18</v>
      </c>
      <c r="J12" s="42"/>
      <c r="K12" s="37"/>
      <c r="L12" s="37"/>
      <c r="M12" s="40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</row>
    <row r="13" spans="1:27" ht="14.25" customHeight="1" x14ac:dyDescent="0.3">
      <c r="A13" s="335" t="s">
        <v>19</v>
      </c>
      <c r="B13" s="336"/>
      <c r="C13" s="44" t="s">
        <v>20</v>
      </c>
      <c r="D13" s="45"/>
      <c r="E13" s="28"/>
      <c r="F13" s="45" t="s">
        <v>21</v>
      </c>
      <c r="G13" s="45"/>
      <c r="H13" s="45"/>
      <c r="I13" s="45"/>
      <c r="J13" s="45"/>
      <c r="K13" s="45"/>
      <c r="L13" s="45"/>
      <c r="M13" s="40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</row>
    <row r="14" spans="1:27" ht="14.25" customHeight="1" x14ac:dyDescent="0.3">
      <c r="A14" s="46" t="s">
        <v>22</v>
      </c>
      <c r="B14" s="39"/>
      <c r="C14" s="39" t="s">
        <v>23</v>
      </c>
      <c r="D14" s="276">
        <v>20.100000000000001</v>
      </c>
      <c r="E14" s="47">
        <f>FORECAST(D14,'Koreksi Termometer '!$J$5:$J$9,'Koreksi Termometer '!$I$5:$I$9)</f>
        <v>0.10669154309318096</v>
      </c>
      <c r="F14" s="48"/>
      <c r="G14" s="37" t="s">
        <v>24</v>
      </c>
      <c r="H14" s="39"/>
      <c r="I14" s="39"/>
      <c r="J14" s="39" t="s">
        <v>23</v>
      </c>
      <c r="K14" s="279">
        <v>60</v>
      </c>
      <c r="L14" s="47">
        <f>FORECAST(K14,'Koreksi Termometer '!$N$5:$N$9,'Koreksi Termometer '!$M$5:$M$9)</f>
        <v>-1.6110026796646952</v>
      </c>
      <c r="M14" s="49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</row>
    <row r="15" spans="1:27" ht="14.25" customHeight="1" x14ac:dyDescent="0.3">
      <c r="A15" s="53"/>
      <c r="B15" s="199"/>
      <c r="C15" s="199" t="s">
        <v>25</v>
      </c>
      <c r="D15" s="277">
        <v>20.100000000000001</v>
      </c>
      <c r="E15" s="47">
        <f>FORECAST(D15,'Koreksi Termometer '!$J$5:$J$9,'Koreksi Termometer '!$I$5:$I$9)</f>
        <v>0.10669154309318096</v>
      </c>
      <c r="F15" s="200"/>
      <c r="G15" s="45"/>
      <c r="H15" s="45"/>
      <c r="I15" s="199"/>
      <c r="J15" s="199" t="s">
        <v>25</v>
      </c>
      <c r="K15" s="280">
        <v>60</v>
      </c>
      <c r="L15" s="47">
        <f>FORECAST(K15,'Koreksi Termometer '!$N$5:$N$9,'Koreksi Termometer '!$M$5:$M$9)</f>
        <v>-1.6110026796646952</v>
      </c>
      <c r="M15" s="40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</row>
    <row r="16" spans="1:27" ht="14.25" customHeight="1" x14ac:dyDescent="0.3">
      <c r="A16" s="205"/>
      <c r="B16" s="202"/>
      <c r="C16" s="202" t="s">
        <v>321</v>
      </c>
      <c r="D16" s="278">
        <f>SUM(D14:D15,E14:E15)/2</f>
        <v>20.206691543093186</v>
      </c>
      <c r="E16" s="203">
        <f>MAX(MAX(SUM(D14,E14),SUM(D15,E15))-D16,D16-MIN(SUM(D14,E14),SUM(D15,E15)))</f>
        <v>3.5527136788005009E-15</v>
      </c>
      <c r="F16" s="204"/>
      <c r="G16" s="201"/>
      <c r="H16" s="201"/>
      <c r="I16" s="202"/>
      <c r="J16" s="202" t="s">
        <v>321</v>
      </c>
      <c r="K16" s="278">
        <f>SUM(K14:K15,L14:L15)/2</f>
        <v>58.388997320335307</v>
      </c>
      <c r="L16" s="203">
        <f>MAX(MAX(SUM(K14,L14),SUM(K15,L15))-K16,K16-MIN(SUM(K14,L14),SUM(K15,L15)))</f>
        <v>0</v>
      </c>
      <c r="M16" s="207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</row>
    <row r="17" spans="1:27" ht="14.25" customHeight="1" x14ac:dyDescent="0.3">
      <c r="A17" s="206" t="s">
        <v>26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20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</row>
    <row r="18" spans="1:27" ht="14.25" customHeight="1" x14ac:dyDescent="0.3">
      <c r="A18" s="50" t="s">
        <v>0</v>
      </c>
      <c r="B18" s="175" t="s">
        <v>380</v>
      </c>
      <c r="C18" s="51"/>
      <c r="D18" s="50" t="s">
        <v>27</v>
      </c>
      <c r="E18" s="52"/>
      <c r="F18" s="46" t="s">
        <v>349</v>
      </c>
      <c r="G18" s="42"/>
      <c r="H18" s="51"/>
      <c r="I18" s="339" t="s">
        <v>28</v>
      </c>
      <c r="J18" s="340"/>
      <c r="K18" s="46"/>
      <c r="L18" s="37"/>
      <c r="M18" s="49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</row>
    <row r="19" spans="1:27" ht="14.25" customHeight="1" x14ac:dyDescent="0.3">
      <c r="A19" s="50" t="s">
        <v>29</v>
      </c>
      <c r="B19" s="344" t="s">
        <v>351</v>
      </c>
      <c r="C19" s="345"/>
      <c r="D19" s="50" t="s">
        <v>30</v>
      </c>
      <c r="E19" s="52"/>
      <c r="F19" s="46" t="s">
        <v>31</v>
      </c>
      <c r="G19" s="37"/>
      <c r="H19" s="37"/>
      <c r="I19" s="341"/>
      <c r="J19" s="325"/>
      <c r="K19" s="46"/>
      <c r="L19" s="37"/>
      <c r="M19" s="49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</row>
    <row r="20" spans="1:27" ht="14.25" customHeight="1" x14ac:dyDescent="0.3">
      <c r="A20" s="50" t="s">
        <v>32</v>
      </c>
      <c r="B20" s="344" t="s">
        <v>351</v>
      </c>
      <c r="C20" s="345"/>
      <c r="D20" s="50" t="s">
        <v>33</v>
      </c>
      <c r="E20" s="52"/>
      <c r="F20" s="175" t="s">
        <v>350</v>
      </c>
      <c r="G20" s="37"/>
      <c r="H20" s="45"/>
      <c r="I20" s="342"/>
      <c r="J20" s="343"/>
      <c r="K20" s="46"/>
      <c r="L20" s="37"/>
      <c r="M20" s="49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</row>
    <row r="21" spans="1:27" ht="14.25" customHeight="1" x14ac:dyDescent="0.3">
      <c r="A21" s="53" t="s">
        <v>34</v>
      </c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54"/>
      <c r="M21" s="40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</row>
    <row r="22" spans="1:27" ht="14.25" customHeight="1" x14ac:dyDescent="0.3">
      <c r="A22" s="55"/>
      <c r="B22" s="346" t="s">
        <v>35</v>
      </c>
      <c r="C22" s="324"/>
      <c r="D22" s="324"/>
      <c r="E22" s="324"/>
      <c r="F22" s="324"/>
      <c r="G22" s="324"/>
      <c r="H22" s="324"/>
      <c r="I22" s="324"/>
      <c r="J22" s="324"/>
      <c r="K22" s="324"/>
      <c r="L22" s="324"/>
      <c r="M22" s="325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</row>
    <row r="23" spans="1:27" ht="14.25" customHeight="1" x14ac:dyDescent="0.3">
      <c r="A23" s="55"/>
      <c r="B23" s="324"/>
      <c r="C23" s="324"/>
      <c r="D23" s="324"/>
      <c r="E23" s="324"/>
      <c r="F23" s="324"/>
      <c r="G23" s="324"/>
      <c r="H23" s="324"/>
      <c r="I23" s="324"/>
      <c r="J23" s="324"/>
      <c r="K23" s="324"/>
      <c r="L23" s="324"/>
      <c r="M23" s="3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</row>
    <row r="24" spans="1:27" ht="14.25" customHeight="1" x14ac:dyDescent="0.3">
      <c r="A24" s="56"/>
      <c r="B24" s="347"/>
      <c r="C24" s="347"/>
      <c r="D24" s="347"/>
      <c r="E24" s="347"/>
      <c r="F24" s="347"/>
      <c r="G24" s="347"/>
      <c r="H24" s="347"/>
      <c r="I24" s="347"/>
      <c r="J24" s="347"/>
      <c r="K24" s="347"/>
      <c r="L24" s="347"/>
      <c r="M24" s="343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</row>
    <row r="25" spans="1:27" ht="14.25" customHeight="1" x14ac:dyDescent="0.3">
      <c r="A25" s="38"/>
      <c r="B25" s="166"/>
      <c r="C25" s="166"/>
      <c r="D25" s="166"/>
      <c r="E25" s="166"/>
      <c r="F25" s="166"/>
      <c r="G25" s="166"/>
      <c r="H25" s="166"/>
      <c r="I25" s="166"/>
      <c r="J25" s="166"/>
      <c r="K25" s="166"/>
      <c r="L25" s="166"/>
      <c r="M25" s="166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</row>
    <row r="26" spans="1:27" ht="13.8" customHeight="1" x14ac:dyDescent="0.3">
      <c r="A26" s="38"/>
      <c r="B26" s="166"/>
      <c r="C26" s="166"/>
      <c r="D26" s="166"/>
      <c r="E26" s="166"/>
      <c r="F26" s="166"/>
      <c r="G26" s="166"/>
      <c r="H26" s="166"/>
      <c r="I26" s="166"/>
      <c r="J26" s="166"/>
      <c r="K26" s="166"/>
      <c r="L26" s="166"/>
      <c r="M26" s="166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</row>
    <row r="27" spans="1:27" ht="14.25" customHeight="1" x14ac:dyDescent="0.3">
      <c r="A27" s="295" t="s">
        <v>371</v>
      </c>
      <c r="B27" s="57"/>
      <c r="C27" s="57"/>
      <c r="D27" s="58"/>
      <c r="E27" s="57"/>
      <c r="F27" s="38"/>
      <c r="G27" s="38"/>
      <c r="H27" s="38"/>
      <c r="I27" s="38"/>
      <c r="J27" s="57"/>
      <c r="K27" s="59"/>
      <c r="L27" s="60"/>
      <c r="M27" s="3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</row>
    <row r="28" spans="1:27" ht="14.25" customHeight="1" x14ac:dyDescent="0.3">
      <c r="A28" s="350" t="s">
        <v>258</v>
      </c>
      <c r="B28" s="348" t="s">
        <v>36</v>
      </c>
      <c r="C28" s="321" t="s">
        <v>361</v>
      </c>
      <c r="D28" s="328" t="s">
        <v>37</v>
      </c>
      <c r="E28" s="329"/>
      <c r="F28" s="332" t="s">
        <v>356</v>
      </c>
      <c r="G28" s="333"/>
      <c r="H28" s="333"/>
      <c r="I28" s="333"/>
      <c r="J28" s="334"/>
      <c r="K28" s="28"/>
      <c r="L28" s="28"/>
      <c r="M28" s="28"/>
      <c r="N28" s="28"/>
      <c r="O28" s="28"/>
      <c r="P28" s="28"/>
      <c r="Q28" s="28"/>
    </row>
    <row r="29" spans="1:27" ht="14.25" customHeight="1" x14ac:dyDescent="0.3">
      <c r="A29" s="351"/>
      <c r="B29" s="349"/>
      <c r="C29" s="322"/>
      <c r="D29" s="330"/>
      <c r="E29" s="331"/>
      <c r="F29" s="264" t="s">
        <v>38</v>
      </c>
      <c r="G29" s="264" t="s">
        <v>39</v>
      </c>
      <c r="H29" s="264" t="s">
        <v>40</v>
      </c>
      <c r="I29" s="264" t="s">
        <v>41</v>
      </c>
      <c r="J29" s="264" t="s">
        <v>42</v>
      </c>
      <c r="K29" s="28"/>
      <c r="L29" s="28"/>
      <c r="M29" s="28"/>
      <c r="N29" s="28"/>
      <c r="O29" s="28"/>
      <c r="P29" s="28"/>
      <c r="Q29" s="28"/>
    </row>
    <row r="30" spans="1:27" ht="14.25" customHeight="1" x14ac:dyDescent="0.3">
      <c r="A30" s="258">
        <v>1</v>
      </c>
      <c r="B30" s="271" t="s">
        <v>346</v>
      </c>
      <c r="C30" s="285">
        <v>748</v>
      </c>
      <c r="D30" s="209">
        <f>IF(B30="DG",VLOOKUP(C30,Database!$T$25:$U$36,2,FALSE),IF(Data!B30="HG",VLOOKUP(Data!C30,Database!$T$5:$U$19,2,FALSE),0))</f>
        <v>747.61</v>
      </c>
      <c r="E30" s="261" t="s">
        <v>43</v>
      </c>
      <c r="F30" s="287">
        <v>748</v>
      </c>
      <c r="G30" s="287">
        <v>748</v>
      </c>
      <c r="H30" s="287">
        <v>748</v>
      </c>
      <c r="I30" s="287">
        <v>748</v>
      </c>
      <c r="J30" s="287">
        <v>748</v>
      </c>
      <c r="K30" s="28"/>
      <c r="L30" s="28"/>
      <c r="M30" s="28"/>
      <c r="N30" s="28"/>
      <c r="O30" s="28"/>
      <c r="P30" s="28"/>
      <c r="Q30" s="28"/>
    </row>
    <row r="31" spans="1:27" ht="14.25" customHeight="1" x14ac:dyDescent="0.3">
      <c r="A31" s="258">
        <v>2</v>
      </c>
      <c r="B31" s="271" t="s">
        <v>346</v>
      </c>
      <c r="C31" s="285">
        <v>741</v>
      </c>
      <c r="D31" s="209">
        <f>IF(B31="DG",VLOOKUP(C31,Database!$T$25:$U$36,2,FALSE),IF(Data!B31="HG",VLOOKUP(Data!C31,Database!$T$5:$U$19,2,FALSE),0))</f>
        <v>740.51</v>
      </c>
      <c r="E31" s="262" t="s">
        <v>43</v>
      </c>
      <c r="F31" s="287">
        <v>740</v>
      </c>
      <c r="G31" s="287">
        <v>740</v>
      </c>
      <c r="H31" s="287">
        <v>740</v>
      </c>
      <c r="I31" s="287">
        <v>740</v>
      </c>
      <c r="J31" s="287">
        <v>740</v>
      </c>
      <c r="K31" s="28"/>
      <c r="L31" s="28"/>
      <c r="M31" s="28"/>
      <c r="N31" s="28"/>
      <c r="O31" s="28"/>
      <c r="P31" s="28"/>
      <c r="Q31" s="28"/>
    </row>
    <row r="32" spans="1:27" ht="14.25" customHeight="1" x14ac:dyDescent="0.3">
      <c r="A32" s="258">
        <v>3</v>
      </c>
      <c r="B32" s="272" t="s">
        <v>346</v>
      </c>
      <c r="C32" s="285">
        <v>684</v>
      </c>
      <c r="D32" s="209">
        <f>IF(B32="DG",VLOOKUP(C32,Database!$T$25:$U$36,2,FALSE),IF(Data!B32="HG",VLOOKUP(Data!C32,Database!$T$5:$U$19,2,FALSE),0))</f>
        <v>684.7</v>
      </c>
      <c r="E32" s="263" t="s">
        <v>43</v>
      </c>
      <c r="F32" s="287">
        <v>684</v>
      </c>
      <c r="G32" s="287">
        <v>684</v>
      </c>
      <c r="H32" s="287">
        <v>684</v>
      </c>
      <c r="I32" s="287">
        <v>684</v>
      </c>
      <c r="J32" s="287">
        <v>684</v>
      </c>
      <c r="K32" s="28"/>
      <c r="L32" s="28"/>
      <c r="M32" s="28"/>
      <c r="N32" s="28"/>
      <c r="O32" s="28"/>
      <c r="P32" s="28"/>
      <c r="Q32" s="28"/>
    </row>
    <row r="33" spans="1:17" ht="14.25" customHeight="1" x14ac:dyDescent="0.3">
      <c r="A33" s="258">
        <v>4</v>
      </c>
      <c r="B33" s="271" t="s">
        <v>325</v>
      </c>
      <c r="C33" s="285">
        <v>641</v>
      </c>
      <c r="D33" s="209">
        <f>IF(B33="DG",VLOOKUP(C33,Database!$T$25:$U$36,2,FALSE),IF(Data!B33="HG",VLOOKUP(Data!C33,Database!$T$5:$U$19,2,FALSE),0))</f>
        <v>641.41</v>
      </c>
      <c r="E33" s="261" t="s">
        <v>43</v>
      </c>
      <c r="F33" s="287">
        <v>640</v>
      </c>
      <c r="G33" s="287">
        <v>640</v>
      </c>
      <c r="H33" s="287">
        <v>640</v>
      </c>
      <c r="I33" s="287">
        <v>640</v>
      </c>
      <c r="J33" s="287">
        <v>640</v>
      </c>
      <c r="K33" s="28"/>
      <c r="L33" s="28"/>
      <c r="M33" s="28"/>
      <c r="N33" s="28"/>
      <c r="P33" s="28"/>
      <c r="Q33" s="28"/>
    </row>
    <row r="34" spans="1:17" ht="14.25" customHeight="1" x14ac:dyDescent="0.3">
      <c r="A34" s="258">
        <v>5</v>
      </c>
      <c r="B34" s="272" t="s">
        <v>325</v>
      </c>
      <c r="C34" s="285">
        <v>537</v>
      </c>
      <c r="D34" s="209">
        <f>IF(B34="DG",VLOOKUP(C34,Database!$T$25:$U$36,2,FALSE),IF(Data!B34="HG",VLOOKUP(Data!C34,Database!$T$5:$U$19,2,FALSE),0))</f>
        <v>537.54</v>
      </c>
      <c r="E34" s="261" t="s">
        <v>43</v>
      </c>
      <c r="F34" s="287">
        <v>536</v>
      </c>
      <c r="G34" s="287">
        <v>536</v>
      </c>
      <c r="H34" s="287">
        <v>536</v>
      </c>
      <c r="I34" s="287">
        <v>536</v>
      </c>
      <c r="J34" s="287">
        <v>536</v>
      </c>
      <c r="K34" s="28"/>
      <c r="L34" s="28"/>
      <c r="M34" s="28"/>
      <c r="N34" s="28"/>
      <c r="O34" s="28"/>
      <c r="P34" s="28"/>
      <c r="Q34" s="28"/>
    </row>
    <row r="35" spans="1:17" ht="14.25" customHeight="1" x14ac:dyDescent="0.3">
      <c r="A35" s="258">
        <v>6</v>
      </c>
      <c r="B35" s="272" t="s">
        <v>325</v>
      </c>
      <c r="C35" s="285">
        <v>472</v>
      </c>
      <c r="D35" s="209">
        <f>IF(B35="DG",VLOOKUP(C35,Database!$T$25:$U$36,2,FALSE),IF(Data!B35="HG",VLOOKUP(Data!C35,Database!$T$5:$U$19,2,FALSE),0))</f>
        <v>471.66</v>
      </c>
      <c r="E35" s="261" t="s">
        <v>43</v>
      </c>
      <c r="F35" s="287">
        <v>470</v>
      </c>
      <c r="G35" s="287">
        <v>470</v>
      </c>
      <c r="H35" s="287">
        <v>470</v>
      </c>
      <c r="I35" s="287">
        <v>470</v>
      </c>
      <c r="J35" s="287">
        <v>470</v>
      </c>
      <c r="K35" s="28"/>
      <c r="L35" s="28"/>
      <c r="M35" s="28"/>
      <c r="N35" s="28"/>
      <c r="O35" s="28"/>
      <c r="P35" s="28"/>
      <c r="Q35" s="28"/>
    </row>
    <row r="36" spans="1:17" ht="14.25" customHeight="1" x14ac:dyDescent="0.3">
      <c r="A36" s="258">
        <v>7</v>
      </c>
      <c r="B36" s="272" t="s">
        <v>325</v>
      </c>
      <c r="C36" s="285">
        <v>447</v>
      </c>
      <c r="D36" s="209">
        <f>IF(B36="DG",VLOOKUP(C36,Database!$T$25:$U$36,2,FALSE),IF(Data!B36="HG",VLOOKUP(Data!C36,Database!$T$5:$U$19,2,FALSE),0))</f>
        <v>448.76</v>
      </c>
      <c r="E36" s="261" t="s">
        <v>43</v>
      </c>
      <c r="F36" s="287">
        <v>447</v>
      </c>
      <c r="G36" s="287">
        <v>447</v>
      </c>
      <c r="H36" s="287">
        <v>447</v>
      </c>
      <c r="I36" s="287">
        <v>447</v>
      </c>
      <c r="J36" s="287">
        <v>447</v>
      </c>
      <c r="K36" s="28"/>
      <c r="L36" s="28"/>
      <c r="M36" s="28"/>
      <c r="N36" s="28"/>
      <c r="O36" s="28"/>
      <c r="P36" s="28"/>
      <c r="Q36" s="28"/>
    </row>
    <row r="37" spans="1:17" ht="14.25" customHeight="1" x14ac:dyDescent="0.3">
      <c r="A37" s="258">
        <v>8</v>
      </c>
      <c r="B37" s="272" t="s">
        <v>325</v>
      </c>
      <c r="C37" s="285">
        <v>418</v>
      </c>
      <c r="D37" s="209">
        <f>IF(B37="DG",VLOOKUP(C37,Database!$T$25:$U$36,2,FALSE),IF(Data!B37="HG",VLOOKUP(Data!C37,Database!$T$5:$U$19,2,FALSE),0))</f>
        <v>417.78</v>
      </c>
      <c r="E37" s="261" t="s">
        <v>43</v>
      </c>
      <c r="F37" s="287">
        <v>416</v>
      </c>
      <c r="G37" s="287">
        <v>416</v>
      </c>
      <c r="H37" s="287">
        <v>416</v>
      </c>
      <c r="I37" s="287">
        <v>416</v>
      </c>
      <c r="J37" s="287">
        <v>416</v>
      </c>
      <c r="K37" s="28"/>
      <c r="L37" s="28"/>
      <c r="M37" s="28"/>
      <c r="N37" s="28"/>
      <c r="O37" s="28"/>
      <c r="P37" s="28"/>
      <c r="Q37" s="28"/>
    </row>
    <row r="38" spans="1:17" ht="14.25" customHeight="1" x14ac:dyDescent="0.3">
      <c r="A38" s="258">
        <v>9</v>
      </c>
      <c r="B38" s="272" t="s">
        <v>325</v>
      </c>
      <c r="C38" s="285">
        <v>360</v>
      </c>
      <c r="D38" s="209">
        <f>IF(B38="DG",VLOOKUP(C38,Database!$T$25:$U$36,2,FALSE),IF(Data!B38="HG",VLOOKUP(Data!C38,Database!$T$5:$U$19,2,FALSE),0))</f>
        <v>360.89</v>
      </c>
      <c r="E38" s="261" t="s">
        <v>43</v>
      </c>
      <c r="F38" s="287">
        <v>359</v>
      </c>
      <c r="G38" s="287">
        <v>359</v>
      </c>
      <c r="H38" s="287">
        <v>359</v>
      </c>
      <c r="I38" s="287">
        <v>359</v>
      </c>
      <c r="J38" s="287">
        <v>359</v>
      </c>
      <c r="K38" s="28"/>
      <c r="L38" s="28"/>
      <c r="M38" s="28"/>
      <c r="N38" s="28"/>
      <c r="O38" s="28"/>
      <c r="P38" s="28"/>
      <c r="Q38" s="28"/>
    </row>
    <row r="39" spans="1:17" ht="14.25" customHeight="1" x14ac:dyDescent="0.3">
      <c r="A39" s="258">
        <v>10</v>
      </c>
      <c r="B39" s="272"/>
      <c r="C39" s="285" t="s">
        <v>363</v>
      </c>
      <c r="D39" s="209">
        <f>IF(B39="DG",VLOOKUP(C39,Database!$T$25:$U$36,2,FALSE),IF(Data!B39="HG",VLOOKUP(Data!C39,Database!$T$5:$U$19,2,FALSE),0))</f>
        <v>0</v>
      </c>
      <c r="E39" s="261" t="s">
        <v>43</v>
      </c>
      <c r="F39" s="288"/>
      <c r="G39" s="288"/>
      <c r="H39" s="288"/>
      <c r="I39" s="288"/>
      <c r="J39" s="288"/>
      <c r="K39" s="28"/>
      <c r="L39" s="28"/>
      <c r="M39" s="28"/>
      <c r="N39" s="28"/>
      <c r="O39" s="28"/>
      <c r="P39" s="28"/>
      <c r="Q39" s="28"/>
    </row>
    <row r="40" spans="1:17" ht="14.25" customHeight="1" x14ac:dyDescent="0.3">
      <c r="A40" s="258">
        <v>11</v>
      </c>
      <c r="B40" s="272"/>
      <c r="C40" s="285" t="s">
        <v>363</v>
      </c>
      <c r="D40" s="209">
        <f>IF(B40="DG",VLOOKUP(C40,Database!$T$25:$U$36,2,FALSE),IF(Data!B40="HG",VLOOKUP(Data!C40,Database!$T$5:$U$19,2,FALSE),0))</f>
        <v>0</v>
      </c>
      <c r="E40" s="261" t="s">
        <v>43</v>
      </c>
      <c r="F40" s="288"/>
      <c r="G40" s="288"/>
      <c r="H40" s="288"/>
      <c r="I40" s="288"/>
      <c r="J40" s="288"/>
      <c r="K40" s="28"/>
      <c r="L40" s="28"/>
      <c r="M40" s="28"/>
      <c r="N40" s="28"/>
      <c r="O40" s="28"/>
      <c r="P40" s="28"/>
      <c r="Q40" s="28"/>
    </row>
    <row r="41" spans="1:17" ht="14.25" customHeight="1" x14ac:dyDescent="0.3">
      <c r="A41" s="258">
        <v>12</v>
      </c>
      <c r="B41" s="272"/>
      <c r="C41" s="285" t="s">
        <v>363</v>
      </c>
      <c r="D41" s="209">
        <f>IF(B41="DG",VLOOKUP(C41,Database!$T$25:$U$36,2,FALSE),IF(Data!B41="HG",VLOOKUP(Data!C41,Database!$T$5:$U$19,2,FALSE),0))</f>
        <v>0</v>
      </c>
      <c r="E41" s="261" t="s">
        <v>43</v>
      </c>
      <c r="F41" s="288"/>
      <c r="G41" s="288"/>
      <c r="H41" s="288"/>
      <c r="I41" s="288"/>
      <c r="J41" s="288"/>
      <c r="K41" s="28"/>
      <c r="L41" s="28"/>
      <c r="M41" s="28"/>
      <c r="N41" s="28"/>
      <c r="O41" s="28"/>
      <c r="P41" s="28"/>
      <c r="Q41" s="28"/>
    </row>
    <row r="42" spans="1:17" ht="14.25" customHeight="1" x14ac:dyDescent="0.3">
      <c r="A42" s="258">
        <v>13</v>
      </c>
      <c r="B42" s="273"/>
      <c r="C42" s="285" t="s">
        <v>363</v>
      </c>
      <c r="D42" s="209">
        <f>IF(B42="DG",VLOOKUP(C42,Database!$T$25:$U$36,2,FALSE),IF(Data!B42="HG",VLOOKUP(Data!C42,Database!$T$5:$U$19,2,FALSE),0))</f>
        <v>0</v>
      </c>
      <c r="E42" s="261" t="s">
        <v>43</v>
      </c>
      <c r="F42" s="288"/>
      <c r="G42" s="288"/>
      <c r="H42" s="288"/>
      <c r="I42" s="288"/>
      <c r="J42" s="288"/>
      <c r="K42" s="28"/>
      <c r="L42" s="28"/>
      <c r="M42" s="28"/>
      <c r="N42" s="28"/>
      <c r="O42" s="28"/>
      <c r="P42" s="28"/>
      <c r="Q42" s="28"/>
    </row>
    <row r="43" spans="1:17" ht="14.25" customHeight="1" x14ac:dyDescent="0.3">
      <c r="A43" s="258">
        <v>14</v>
      </c>
      <c r="B43" s="284"/>
      <c r="C43" s="285" t="s">
        <v>363</v>
      </c>
      <c r="D43" s="209">
        <f>IF(B43="DG",VLOOKUP(C43,Database!$T$25:$U$36,2,FALSE),IF(Data!B43="HG",VLOOKUP(Data!C43,Database!$T$5:$U$19,2,FALSE),0))</f>
        <v>0</v>
      </c>
      <c r="E43" s="261" t="s">
        <v>43</v>
      </c>
      <c r="F43" s="288"/>
      <c r="G43" s="288"/>
      <c r="H43" s="288"/>
      <c r="I43" s="288"/>
      <c r="J43" s="288"/>
      <c r="K43" s="28"/>
      <c r="L43" s="28"/>
      <c r="M43" s="28"/>
      <c r="N43" s="28"/>
      <c r="O43" s="28"/>
      <c r="P43" s="28"/>
      <c r="Q43" s="28"/>
    </row>
    <row r="44" spans="1:17" ht="14.25" customHeight="1" x14ac:dyDescent="0.3">
      <c r="A44" s="258">
        <v>15</v>
      </c>
      <c r="B44" s="284"/>
      <c r="C44" s="285" t="s">
        <v>363</v>
      </c>
      <c r="D44" s="209">
        <f>IF(B44="DG",VLOOKUP(C44,Database!$T$25:$U$36,2,FALSE),IF(Data!B44="HG",VLOOKUP(Data!C44,Database!$T$5:$U$19,2,FALSE),0))</f>
        <v>0</v>
      </c>
      <c r="E44" s="261" t="s">
        <v>43</v>
      </c>
      <c r="F44" s="288"/>
      <c r="G44" s="288"/>
      <c r="H44" s="288"/>
      <c r="I44" s="288"/>
      <c r="J44" s="288"/>
      <c r="K44" s="28"/>
      <c r="L44" s="28"/>
      <c r="M44" s="28"/>
      <c r="N44" s="28"/>
      <c r="O44" s="28"/>
      <c r="P44" s="28"/>
      <c r="Q44" s="28"/>
    </row>
    <row r="45" spans="1:17" ht="14.25" customHeight="1" x14ac:dyDescent="0.3">
      <c r="A45" s="28"/>
      <c r="B45" s="28"/>
      <c r="C45" s="28"/>
      <c r="D45" s="28"/>
      <c r="F45" s="28"/>
      <c r="G45" s="28"/>
      <c r="H45" s="28"/>
      <c r="I45" s="28"/>
      <c r="J45" s="28"/>
      <c r="K45" s="28"/>
      <c r="L45" s="28"/>
      <c r="M45" s="28"/>
      <c r="N45" s="28"/>
    </row>
    <row r="46" spans="1:17" ht="14.25" customHeight="1" x14ac:dyDescent="0.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</row>
    <row r="47" spans="1:17" ht="14.25" customHeight="1" x14ac:dyDescent="0.3">
      <c r="A47" s="296" t="s">
        <v>372</v>
      </c>
      <c r="B47" s="297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</row>
    <row r="48" spans="1:17" ht="14.25" customHeight="1" x14ac:dyDescent="0.3">
      <c r="A48" s="318" t="s">
        <v>258</v>
      </c>
      <c r="B48" s="319" t="s">
        <v>36</v>
      </c>
      <c r="C48" s="321" t="s">
        <v>361</v>
      </c>
      <c r="D48" s="298" t="s">
        <v>37</v>
      </c>
      <c r="E48" s="299"/>
      <c r="F48" s="302" t="s">
        <v>356</v>
      </c>
      <c r="G48" s="303"/>
      <c r="H48" s="303"/>
      <c r="I48" s="303"/>
      <c r="J48" s="304"/>
      <c r="K48" s="28"/>
      <c r="L48" s="28"/>
      <c r="M48" s="28"/>
      <c r="N48" s="28"/>
    </row>
    <row r="49" spans="1:14" ht="14.25" customHeight="1" x14ac:dyDescent="0.3">
      <c r="A49" s="318"/>
      <c r="B49" s="320"/>
      <c r="C49" s="322"/>
      <c r="D49" s="300"/>
      <c r="E49" s="301"/>
      <c r="F49" s="264" t="s">
        <v>38</v>
      </c>
      <c r="G49" s="264" t="s">
        <v>39</v>
      </c>
      <c r="H49" s="264" t="s">
        <v>40</v>
      </c>
      <c r="I49" s="264" t="s">
        <v>41</v>
      </c>
      <c r="J49" s="264" t="s">
        <v>42</v>
      </c>
      <c r="K49" s="28"/>
      <c r="L49" s="28"/>
      <c r="M49" s="28"/>
      <c r="N49" s="28"/>
    </row>
    <row r="50" spans="1:14" ht="14.25" customHeight="1" x14ac:dyDescent="0.3">
      <c r="A50" s="258">
        <v>1</v>
      </c>
      <c r="B50" s="271" t="s">
        <v>327</v>
      </c>
      <c r="C50" s="285">
        <v>440</v>
      </c>
      <c r="D50" s="306">
        <f>IF(B50="1N",VLOOKUP(C50,Database!$C$38:$D$43,2,FALSE),IF(Data!B50="2N",VLOOKUP(Data!C50,Database!$F$38:$G$43,2,FALSE),IF(Data!B50="3N",VLOOKUP(Data!C50,Database!$I$38:$J$43,2,FALSE),0)))</f>
        <v>1.0011000000000001</v>
      </c>
      <c r="E50" s="307" t="s">
        <v>96</v>
      </c>
      <c r="F50" s="308">
        <v>0.99399999999999999</v>
      </c>
      <c r="G50" s="308">
        <v>0.99399999999999999</v>
      </c>
      <c r="H50" s="308">
        <v>0.99399999999999999</v>
      </c>
      <c r="I50" s="308">
        <v>0.99299999999999999</v>
      </c>
      <c r="J50" s="308">
        <v>0.99299999999999999</v>
      </c>
      <c r="K50" s="28"/>
      <c r="L50" s="28"/>
      <c r="M50" s="28"/>
      <c r="N50" s="28"/>
    </row>
    <row r="51" spans="1:14" ht="14.25" customHeight="1" x14ac:dyDescent="0.3">
      <c r="A51" s="258">
        <v>2</v>
      </c>
      <c r="B51" s="271" t="s">
        <v>327</v>
      </c>
      <c r="C51" s="285">
        <v>465</v>
      </c>
      <c r="D51" s="306">
        <f>IF(B51="1N",VLOOKUP(C51,Database!$C$38:$D$43,2,FALSE),IF(Data!B51="2N",VLOOKUP(Data!C51,Database!$F$38:$G$43,2,FALSE),IF(Data!B51="3N",VLOOKUP(Data!C51,Database!$I$38:$J$43,2,FALSE),0)))</f>
        <v>0.94420000000000004</v>
      </c>
      <c r="E51" s="307" t="s">
        <v>96</v>
      </c>
      <c r="F51" s="308">
        <v>0.94099999999999995</v>
      </c>
      <c r="G51" s="308">
        <v>0.94099999999999995</v>
      </c>
      <c r="H51" s="308">
        <v>0.94099999999999995</v>
      </c>
      <c r="I51" s="308">
        <v>0.94099999999999995</v>
      </c>
      <c r="J51" s="308">
        <v>0.94099999999999995</v>
      </c>
      <c r="K51" s="28"/>
      <c r="L51" s="28"/>
      <c r="M51" s="28"/>
      <c r="N51" s="28"/>
    </row>
    <row r="52" spans="1:14" ht="14.25" customHeight="1" x14ac:dyDescent="0.3">
      <c r="A52" s="258">
        <v>3</v>
      </c>
      <c r="B52" s="271" t="s">
        <v>327</v>
      </c>
      <c r="C52" s="285">
        <v>546</v>
      </c>
      <c r="D52" s="306">
        <f>IF(B52="1N",VLOOKUP(C52,Database!$C$38:$D$43,2,FALSE),IF(Data!B52="2N",VLOOKUP(Data!C52,Database!$F$38:$G$43,2,FALSE),IF(Data!B52="3N",VLOOKUP(Data!C52,Database!$I$38:$J$43,2,FALSE),0)))</f>
        <v>0.99950000000000006</v>
      </c>
      <c r="E52" s="307" t="s">
        <v>96</v>
      </c>
      <c r="F52" s="308">
        <v>0.99399999999999999</v>
      </c>
      <c r="G52" s="308">
        <v>0.99399999999999999</v>
      </c>
      <c r="H52" s="308">
        <v>0.99399999999999999</v>
      </c>
      <c r="I52" s="308">
        <v>0.99399999999999999</v>
      </c>
      <c r="J52" s="308">
        <v>0.99399999999999999</v>
      </c>
      <c r="K52" s="28"/>
      <c r="L52" s="28"/>
      <c r="M52" s="28"/>
      <c r="N52" s="28"/>
    </row>
    <row r="53" spans="1:14" ht="14.25" customHeight="1" x14ac:dyDescent="0.3">
      <c r="A53" s="258">
        <v>4</v>
      </c>
      <c r="B53" s="271" t="s">
        <v>327</v>
      </c>
      <c r="C53" s="285">
        <v>590</v>
      </c>
      <c r="D53" s="306">
        <f>IF(B53="1N",VLOOKUP(C53,Database!$C$38:$D$43,2,FALSE),IF(Data!B53="2N",VLOOKUP(Data!C53,Database!$F$38:$G$43,2,FALSE),IF(Data!B53="3N",VLOOKUP(Data!C53,Database!$I$38:$J$43,2,FALSE),0)))</f>
        <v>1.111</v>
      </c>
      <c r="E53" s="307" t="s">
        <v>96</v>
      </c>
      <c r="F53" s="308">
        <v>1.1080000000000001</v>
      </c>
      <c r="G53" s="308">
        <v>1.1080000000000001</v>
      </c>
      <c r="H53" s="308">
        <v>1.1080000000000001</v>
      </c>
      <c r="I53" s="308">
        <v>1.1080000000000001</v>
      </c>
      <c r="J53" s="308">
        <v>1.1080000000000001</v>
      </c>
      <c r="K53" s="28"/>
      <c r="L53" s="28"/>
      <c r="M53" s="28"/>
      <c r="N53" s="28"/>
    </row>
    <row r="54" spans="1:14" ht="14.25" customHeight="1" x14ac:dyDescent="0.3">
      <c r="A54" s="258">
        <v>5</v>
      </c>
      <c r="B54" s="271" t="s">
        <v>327</v>
      </c>
      <c r="C54" s="285">
        <v>635</v>
      </c>
      <c r="D54" s="306">
        <f>IF(B54="1N",VLOOKUP(C54,Database!$C$38:$D$43,2,FALSE),IF(Data!B54="2N",VLOOKUP(Data!C54,Database!$F$38:$G$43,2,FALSE),IF(Data!B54="3N",VLOOKUP(Data!C54,Database!$I$38:$J$43,2,FALSE),0)))</f>
        <v>1.0968</v>
      </c>
      <c r="E54" s="307" t="s">
        <v>96</v>
      </c>
      <c r="F54" s="308">
        <v>1.093</v>
      </c>
      <c r="G54" s="308">
        <v>1.093</v>
      </c>
      <c r="H54" s="308">
        <v>1.093</v>
      </c>
      <c r="I54" s="308">
        <v>1.093</v>
      </c>
      <c r="J54" s="308">
        <v>1.093</v>
      </c>
      <c r="K54" s="28"/>
      <c r="L54" s="28"/>
      <c r="M54" s="28"/>
      <c r="N54" s="28"/>
    </row>
    <row r="55" spans="1:14" ht="14.25" customHeight="1" x14ac:dyDescent="0.3">
      <c r="A55" s="258">
        <v>6</v>
      </c>
      <c r="B55" s="271" t="s">
        <v>363</v>
      </c>
      <c r="C55" s="285" t="s">
        <v>374</v>
      </c>
      <c r="D55" s="306">
        <f>IF(B55="1N",VLOOKUP(C55,Database!$C$38:$D$43,2,FALSE),IF(Data!B55="2N",VLOOKUP(Data!C55,Database!$F$38:$G$43,2,FALSE),IF(Data!B55="3N",VLOOKUP(Data!C55,Database!$I$38:$J$43,2,FALSE),0)))</f>
        <v>0</v>
      </c>
      <c r="E55" s="307" t="s">
        <v>96</v>
      </c>
      <c r="F55" s="287"/>
      <c r="G55" s="287"/>
      <c r="H55" s="287"/>
      <c r="I55" s="287"/>
      <c r="J55" s="287"/>
      <c r="K55" s="28"/>
      <c r="L55" s="28"/>
      <c r="M55" s="28"/>
      <c r="N55" s="28"/>
    </row>
    <row r="56" spans="1:14" ht="14.25" customHeight="1" x14ac:dyDescent="0.3">
      <c r="A56" s="258">
        <v>7</v>
      </c>
      <c r="B56" s="271" t="s">
        <v>363</v>
      </c>
      <c r="C56" s="285" t="s">
        <v>374</v>
      </c>
      <c r="D56" s="306">
        <f>IF(B56="1N",VLOOKUP(C56,Database!$C$38:$D$43,2,FALSE),IF(Data!B56="2N",VLOOKUP(Data!C56,Database!$F$38:$G$43,2,FALSE),IF(Data!B56="3N",VLOOKUP(Data!C56,Database!$I$38:$J$43,2,FALSE),0)))</f>
        <v>0</v>
      </c>
      <c r="E56" s="307" t="s">
        <v>96</v>
      </c>
      <c r="F56" s="287"/>
      <c r="G56" s="287"/>
      <c r="H56" s="287"/>
      <c r="I56" s="287"/>
      <c r="J56" s="287"/>
      <c r="K56" s="28"/>
      <c r="L56" s="28"/>
      <c r="M56" s="28"/>
      <c r="N56" s="28"/>
    </row>
    <row r="57" spans="1:14" ht="14.25" customHeight="1" x14ac:dyDescent="0.3">
      <c r="A57" s="258">
        <v>8</v>
      </c>
      <c r="B57" s="271" t="s">
        <v>363</v>
      </c>
      <c r="C57" s="285" t="s">
        <v>374</v>
      </c>
      <c r="D57" s="306">
        <f>IF(B57="1N",VLOOKUP(C57,Database!$C$38:$D$43,2,FALSE),IF(Data!B57="2N",VLOOKUP(Data!C57,Database!$F$38:$G$43,2,FALSE),IF(Data!B57="3N",VLOOKUP(Data!C57,Database!$I$38:$J$43,2,FALSE),0)))</f>
        <v>0</v>
      </c>
      <c r="E57" s="307" t="s">
        <v>96</v>
      </c>
      <c r="F57" s="287"/>
      <c r="G57" s="287"/>
      <c r="H57" s="287"/>
      <c r="I57" s="287"/>
      <c r="J57" s="287"/>
      <c r="K57" s="28"/>
      <c r="L57" s="28"/>
      <c r="M57" s="28"/>
      <c r="N57" s="28"/>
    </row>
    <row r="58" spans="1:14" ht="14.25" customHeight="1" x14ac:dyDescent="0.3">
      <c r="A58" s="258">
        <v>9</v>
      </c>
      <c r="B58" s="271" t="s">
        <v>363</v>
      </c>
      <c r="C58" s="285" t="s">
        <v>374</v>
      </c>
      <c r="D58" s="306">
        <f>IF(B58="1N",VLOOKUP(C58,Database!$C$38:$D$43,2,FALSE),IF(Data!B58="2N",VLOOKUP(Data!C58,Database!$F$38:$G$43,2,FALSE),IF(Data!B58="3N",VLOOKUP(Data!C58,Database!$I$38:$J$43,2,FALSE),0)))</f>
        <v>0</v>
      </c>
      <c r="E58" s="307" t="s">
        <v>96</v>
      </c>
      <c r="F58" s="287"/>
      <c r="G58" s="287"/>
      <c r="H58" s="287"/>
      <c r="I58" s="287"/>
      <c r="J58" s="287"/>
      <c r="K58" s="28"/>
    </row>
    <row r="59" spans="1:14" ht="14.25" customHeight="1" x14ac:dyDescent="0.3">
      <c r="A59" s="258">
        <v>10</v>
      </c>
      <c r="B59" s="271" t="s">
        <v>363</v>
      </c>
      <c r="C59" s="285" t="s">
        <v>374</v>
      </c>
      <c r="D59" s="306">
        <f>IF(B59="1N",VLOOKUP(C59,Database!$C$38:$D$43,2,FALSE),IF(Data!B59="2N",VLOOKUP(Data!C59,Database!$F$38:$G$43,2,FALSE),IF(Data!B59="3N",VLOOKUP(Data!C59,Database!$I$38:$J$43,2,FALSE),0)))</f>
        <v>0</v>
      </c>
      <c r="E59" s="307" t="s">
        <v>96</v>
      </c>
      <c r="F59" s="288"/>
      <c r="G59" s="288"/>
      <c r="H59" s="288"/>
      <c r="I59" s="288"/>
      <c r="J59" s="288"/>
      <c r="K59" s="28"/>
      <c r="L59" s="28"/>
      <c r="M59" s="28"/>
      <c r="N59" s="28"/>
    </row>
    <row r="60" spans="1:14" ht="14.25" customHeight="1" x14ac:dyDescent="0.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</row>
    <row r="61" spans="1:14" ht="14.25" customHeight="1" x14ac:dyDescent="0.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</row>
    <row r="62" spans="1:14" ht="14.25" customHeight="1" x14ac:dyDescent="0.3">
      <c r="A62" s="296" t="s">
        <v>377</v>
      </c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</row>
    <row r="63" spans="1:14" ht="14.25" customHeight="1" x14ac:dyDescent="0.3">
      <c r="A63" s="318" t="s">
        <v>258</v>
      </c>
      <c r="B63" s="319" t="s">
        <v>36</v>
      </c>
      <c r="C63" s="321" t="s">
        <v>361</v>
      </c>
      <c r="D63" s="298" t="s">
        <v>37</v>
      </c>
      <c r="E63" s="299"/>
      <c r="F63" s="302" t="s">
        <v>356</v>
      </c>
      <c r="G63" s="303"/>
      <c r="H63" s="303"/>
      <c r="I63" s="303"/>
      <c r="J63" s="304"/>
      <c r="K63" s="28"/>
      <c r="L63" s="28"/>
    </row>
    <row r="64" spans="1:14" ht="14.25" customHeight="1" x14ac:dyDescent="0.3">
      <c r="A64" s="318"/>
      <c r="B64" s="320"/>
      <c r="C64" s="322"/>
      <c r="D64" s="300"/>
      <c r="E64" s="301"/>
      <c r="F64" s="264" t="s">
        <v>38</v>
      </c>
      <c r="G64" s="264" t="s">
        <v>39</v>
      </c>
      <c r="H64" s="264" t="s">
        <v>40</v>
      </c>
      <c r="I64" s="264" t="s">
        <v>41</v>
      </c>
      <c r="J64" s="264" t="s">
        <v>42</v>
      </c>
      <c r="K64" s="28"/>
      <c r="L64" s="28"/>
    </row>
    <row r="65" spans="1:14" ht="14.25" customHeight="1" x14ac:dyDescent="0.3">
      <c r="A65" s="258">
        <v>1</v>
      </c>
      <c r="B65" s="271" t="s">
        <v>327</v>
      </c>
      <c r="C65" s="285">
        <v>440</v>
      </c>
      <c r="D65" s="306">
        <f>IF(B65="1N",VLOOKUP(C65,Database!$C$38:$D$43,2,FALSE),IF(Data!B65="2N",VLOOKUP(Data!C65,Database!$F$38:$G$43,2,FALSE),IF(Data!B65="3N",VLOOKUP(Data!C65,Database!$I$38:$J$43,2,FALSE),0)))</f>
        <v>1.0011000000000001</v>
      </c>
      <c r="E65" s="307" t="s">
        <v>96</v>
      </c>
      <c r="F65" s="308">
        <v>0.99399999999999999</v>
      </c>
      <c r="G65" s="308">
        <v>0.99399999999999999</v>
      </c>
      <c r="H65" s="308">
        <v>0.99399999999999999</v>
      </c>
      <c r="I65" s="308">
        <v>0.99299999999999999</v>
      </c>
      <c r="J65" s="308">
        <v>0.99299999999999999</v>
      </c>
      <c r="K65" s="28"/>
      <c r="L65" s="28"/>
      <c r="M65" s="28"/>
      <c r="N65" s="28"/>
    </row>
    <row r="66" spans="1:14" ht="14.25" customHeight="1" x14ac:dyDescent="0.3">
      <c r="A66" s="258">
        <v>2</v>
      </c>
      <c r="B66" s="271" t="s">
        <v>327</v>
      </c>
      <c r="C66" s="285">
        <v>465</v>
      </c>
      <c r="D66" s="306">
        <f>IF(B66="1N",VLOOKUP(C66,Database!$C$38:$D$43,2,FALSE),IF(Data!B66="2N",VLOOKUP(Data!C66,Database!$F$38:$G$43,2,FALSE),IF(Data!B66="3N",VLOOKUP(Data!C66,Database!$I$38:$J$43,2,FALSE),0)))</f>
        <v>0.94420000000000004</v>
      </c>
      <c r="E66" s="307" t="s">
        <v>96</v>
      </c>
      <c r="F66" s="308">
        <v>0.94099999999999995</v>
      </c>
      <c r="G66" s="308">
        <v>0.94099999999999995</v>
      </c>
      <c r="H66" s="308">
        <v>0.94099999999999995</v>
      </c>
      <c r="I66" s="308">
        <v>0.94099999999999995</v>
      </c>
      <c r="J66" s="308">
        <v>0.94099999999999995</v>
      </c>
      <c r="K66" s="28"/>
      <c r="L66" s="28"/>
      <c r="M66" s="28"/>
      <c r="N66" s="28"/>
    </row>
    <row r="67" spans="1:14" ht="14.25" customHeight="1" x14ac:dyDescent="0.3">
      <c r="A67" s="258">
        <v>3</v>
      </c>
      <c r="B67" s="271" t="s">
        <v>327</v>
      </c>
      <c r="C67" s="285">
        <v>546</v>
      </c>
      <c r="D67" s="306">
        <f>IF(B67="1N",VLOOKUP(C67,Database!$C$38:$D$43,2,FALSE),IF(Data!B67="2N",VLOOKUP(Data!C67,Database!$F$38:$G$43,2,FALSE),IF(Data!B67="3N",VLOOKUP(Data!C67,Database!$I$38:$J$43,2,FALSE),0)))</f>
        <v>0.99950000000000006</v>
      </c>
      <c r="E67" s="307" t="s">
        <v>96</v>
      </c>
      <c r="F67" s="308">
        <v>0.99399999999999999</v>
      </c>
      <c r="G67" s="308">
        <v>0.99399999999999999</v>
      </c>
      <c r="H67" s="308">
        <v>0.99399999999999999</v>
      </c>
      <c r="I67" s="308">
        <v>0.99399999999999999</v>
      </c>
      <c r="J67" s="308">
        <v>0.99399999999999999</v>
      </c>
      <c r="K67" s="28"/>
      <c r="L67" s="28"/>
      <c r="M67" s="28"/>
      <c r="N67" s="28"/>
    </row>
    <row r="68" spans="1:14" ht="14.25" customHeight="1" x14ac:dyDescent="0.3">
      <c r="A68" s="258">
        <v>4</v>
      </c>
      <c r="B68" s="271" t="s">
        <v>327</v>
      </c>
      <c r="C68" s="285">
        <v>590</v>
      </c>
      <c r="D68" s="306">
        <f>IF(B68="1N",VLOOKUP(C68,Database!$C$38:$D$43,2,FALSE),IF(Data!B68="2N",VLOOKUP(Data!C68,Database!$F$38:$G$43,2,FALSE),IF(Data!B68="3N",VLOOKUP(Data!C68,Database!$I$38:$J$43,2,FALSE),0)))</f>
        <v>1.111</v>
      </c>
      <c r="E68" s="307" t="s">
        <v>96</v>
      </c>
      <c r="F68" s="308">
        <v>1.1080000000000001</v>
      </c>
      <c r="G68" s="308">
        <v>1.1080000000000001</v>
      </c>
      <c r="H68" s="308">
        <v>1.1080000000000001</v>
      </c>
      <c r="I68" s="308">
        <v>1.1080000000000001</v>
      </c>
      <c r="J68" s="308">
        <v>1.1080000000000001</v>
      </c>
      <c r="K68" s="28"/>
      <c r="L68" s="28"/>
      <c r="M68" s="28"/>
      <c r="N68" s="28"/>
    </row>
    <row r="69" spans="1:14" ht="14.25" customHeight="1" x14ac:dyDescent="0.3">
      <c r="A69" s="258">
        <v>5</v>
      </c>
      <c r="B69" s="271" t="s">
        <v>327</v>
      </c>
      <c r="C69" s="285">
        <v>635</v>
      </c>
      <c r="D69" s="306">
        <f>IF(B69="1N",VLOOKUP(C69,Database!$C$38:$D$43,2,FALSE),IF(Data!B69="2N",VLOOKUP(Data!C69,Database!$F$38:$G$43,2,FALSE),IF(Data!B69="3N",VLOOKUP(Data!C69,Database!$I$38:$J$43,2,FALSE),0)))</f>
        <v>1.0968</v>
      </c>
      <c r="E69" s="307" t="s">
        <v>96</v>
      </c>
      <c r="F69" s="308">
        <v>1.093</v>
      </c>
      <c r="G69" s="308">
        <v>1.093</v>
      </c>
      <c r="H69" s="308">
        <v>1.093</v>
      </c>
      <c r="I69" s="308">
        <v>1.093</v>
      </c>
      <c r="J69" s="308">
        <v>1.093</v>
      </c>
      <c r="K69" s="28"/>
      <c r="L69" s="28"/>
      <c r="M69" s="28"/>
      <c r="N69" s="28"/>
    </row>
    <row r="70" spans="1:14" ht="14.25" customHeight="1" x14ac:dyDescent="0.3">
      <c r="A70" s="258">
        <v>6</v>
      </c>
      <c r="B70" s="271" t="s">
        <v>328</v>
      </c>
      <c r="C70" s="285">
        <v>440</v>
      </c>
      <c r="D70" s="306">
        <f>IF(B70="1N",VLOOKUP(C70,Database!$C$38:$D$43,2,FALSE),IF(Data!B70="2N",VLOOKUP(Data!C70,Database!$F$38:$G$43,2,FALSE),IF(Data!B70="3N",VLOOKUP(Data!C70,Database!$I$38:$J$43,2,FALSE),0)))</f>
        <v>0.70269999999999999</v>
      </c>
      <c r="E70" s="307" t="s">
        <v>96</v>
      </c>
      <c r="F70" s="308">
        <v>0.69499999999999995</v>
      </c>
      <c r="G70" s="308">
        <v>0.69499999999999995</v>
      </c>
      <c r="H70" s="308">
        <v>0.69499999999999995</v>
      </c>
      <c r="I70" s="308">
        <v>0.69499999999999995</v>
      </c>
      <c r="J70" s="308">
        <v>0.69499999999999995</v>
      </c>
      <c r="K70" s="28"/>
      <c r="L70" s="28"/>
      <c r="M70" s="28"/>
      <c r="N70" s="28"/>
    </row>
    <row r="71" spans="1:14" ht="14.25" customHeight="1" x14ac:dyDescent="0.3">
      <c r="A71" s="258">
        <v>7</v>
      </c>
      <c r="B71" s="271" t="s">
        <v>328</v>
      </c>
      <c r="C71" s="285">
        <v>465</v>
      </c>
      <c r="D71" s="306">
        <f>IF(B71="1N",VLOOKUP(C71,Database!$C$38:$D$43,2,FALSE),IF(Data!B71="2N",VLOOKUP(Data!C71,Database!$F$38:$G$43,2,FALSE),IF(Data!B71="3N",VLOOKUP(Data!C71,Database!$I$38:$J$43,2,FALSE),0)))</f>
        <v>0.66379999999999995</v>
      </c>
      <c r="E71" s="307" t="s">
        <v>96</v>
      </c>
      <c r="F71" s="308">
        <v>0.65900000000000003</v>
      </c>
      <c r="G71" s="308">
        <v>0.65900000000000003</v>
      </c>
      <c r="H71" s="308">
        <v>0.65900000000000003</v>
      </c>
      <c r="I71" s="308">
        <v>0.65900000000000003</v>
      </c>
      <c r="J71" s="308">
        <v>0.65900000000000003</v>
      </c>
      <c r="K71" s="28"/>
      <c r="L71" s="28"/>
      <c r="M71" s="28"/>
      <c r="N71" s="28"/>
    </row>
    <row r="72" spans="1:14" ht="14.25" customHeight="1" x14ac:dyDescent="0.3">
      <c r="A72" s="258">
        <v>8</v>
      </c>
      <c r="B72" s="271" t="s">
        <v>328</v>
      </c>
      <c r="C72" s="285">
        <v>546</v>
      </c>
      <c r="D72" s="306">
        <f>IF(B72="1N",VLOOKUP(C72,Database!$C$38:$D$43,2,FALSE),IF(Data!B72="2N",VLOOKUP(Data!C72,Database!$F$38:$G$43,2,FALSE),IF(Data!B72="3N",VLOOKUP(Data!C72,Database!$I$38:$J$43,2,FALSE),0)))</f>
        <v>0.70050000000000001</v>
      </c>
      <c r="E72" s="307" t="s">
        <v>96</v>
      </c>
      <c r="F72" s="308">
        <v>0.69399999999999995</v>
      </c>
      <c r="G72" s="308">
        <v>0.69399999999999995</v>
      </c>
      <c r="H72" s="308">
        <v>0.69399999999999995</v>
      </c>
      <c r="I72" s="308">
        <v>0.69399999999999995</v>
      </c>
      <c r="J72" s="308">
        <v>0.69399999999999995</v>
      </c>
      <c r="K72" s="28"/>
      <c r="L72" s="28"/>
      <c r="M72" s="28"/>
      <c r="N72" s="28"/>
    </row>
    <row r="73" spans="1:14" ht="14.25" customHeight="1" x14ac:dyDescent="0.3">
      <c r="A73" s="258">
        <v>9</v>
      </c>
      <c r="B73" s="271" t="s">
        <v>328</v>
      </c>
      <c r="C73" s="285">
        <v>590</v>
      </c>
      <c r="D73" s="306">
        <f>IF(B73="1N",VLOOKUP(C73,Database!$C$38:$D$43,2,FALSE),IF(Data!B73="2N",VLOOKUP(Data!C73,Database!$F$38:$G$43,2,FALSE),IF(Data!B73="3N",VLOOKUP(Data!C73,Database!$I$38:$J$43,2,FALSE),0)))</f>
        <v>0.77600000000000002</v>
      </c>
      <c r="E73" s="307" t="s">
        <v>96</v>
      </c>
      <c r="F73" s="308">
        <v>0.77200000000000002</v>
      </c>
      <c r="G73" s="308">
        <v>0.77200000000000002</v>
      </c>
      <c r="H73" s="308">
        <v>0.77200000000000002</v>
      </c>
      <c r="I73" s="308">
        <v>0.77200000000000002</v>
      </c>
      <c r="J73" s="308">
        <v>0.77200000000000002</v>
      </c>
      <c r="K73" s="28"/>
      <c r="L73" s="28"/>
      <c r="M73" s="28"/>
      <c r="N73" s="28"/>
    </row>
    <row r="74" spans="1:14" ht="14.25" customHeight="1" x14ac:dyDescent="0.3">
      <c r="A74" s="258">
        <v>10</v>
      </c>
      <c r="B74" s="271" t="s">
        <v>328</v>
      </c>
      <c r="C74" s="285">
        <v>635</v>
      </c>
      <c r="D74" s="306">
        <f>IF(B74="1N",VLOOKUP(C74,Database!$C$38:$D$43,2,FALSE),IF(Data!B74="2N",VLOOKUP(Data!C74,Database!$F$38:$G$43,2,FALSE),IF(Data!B74="3N",VLOOKUP(Data!C74,Database!$I$38:$J$43,2,FALSE),0)))</f>
        <v>0.76559999999999995</v>
      </c>
      <c r="E74" s="307" t="s">
        <v>96</v>
      </c>
      <c r="F74" s="317">
        <v>0.76</v>
      </c>
      <c r="G74" s="317">
        <v>0.76</v>
      </c>
      <c r="H74" s="317">
        <v>0.76</v>
      </c>
      <c r="I74" s="317">
        <v>0.76</v>
      </c>
      <c r="J74" s="317">
        <v>0.76</v>
      </c>
      <c r="K74" s="28"/>
      <c r="L74" s="28"/>
      <c r="M74" s="28"/>
      <c r="N74" s="28"/>
    </row>
    <row r="75" spans="1:14" ht="14.25" customHeight="1" x14ac:dyDescent="0.3">
      <c r="A75" s="258">
        <v>11</v>
      </c>
      <c r="B75" s="271" t="s">
        <v>326</v>
      </c>
      <c r="C75" s="285">
        <v>440</v>
      </c>
      <c r="D75" s="306">
        <f>IF(B75="1N",VLOOKUP(C75,Database!$C$38:$D$43,2,FALSE),IF(Data!B75="2N",VLOOKUP(Data!C75,Database!$F$38:$G$43,2,FALSE),IF(Data!B75="3N",VLOOKUP(Data!C75,Database!$I$38:$J$43,2,FALSE),0)))</f>
        <v>0.56130000000000002</v>
      </c>
      <c r="E75" s="307" t="s">
        <v>96</v>
      </c>
      <c r="F75" s="308">
        <v>0.55300000000000005</v>
      </c>
      <c r="G75" s="308">
        <v>0.55300000000000005</v>
      </c>
      <c r="H75" s="308">
        <v>0.55300000000000005</v>
      </c>
      <c r="I75" s="308">
        <v>0.55300000000000005</v>
      </c>
      <c r="J75" s="308">
        <v>0.55300000000000005</v>
      </c>
      <c r="K75" s="28"/>
      <c r="L75" s="28"/>
      <c r="M75" s="28"/>
      <c r="N75" s="28"/>
    </row>
    <row r="76" spans="1:14" ht="14.25" customHeight="1" x14ac:dyDescent="0.3">
      <c r="A76" s="258">
        <v>12</v>
      </c>
      <c r="B76" s="271" t="s">
        <v>326</v>
      </c>
      <c r="C76" s="285">
        <v>465</v>
      </c>
      <c r="D76" s="306">
        <f>IF(B76="1N",VLOOKUP(C76,Database!$C$38:$D$43,2,FALSE),IF(Data!B76="2N",VLOOKUP(Data!C76,Database!$F$38:$G$43,2,FALSE),IF(Data!B76="3N",VLOOKUP(Data!C76,Database!$I$38:$J$43,2,FALSE),0)))</f>
        <v>0.52370000000000005</v>
      </c>
      <c r="E76" s="307" t="s">
        <v>96</v>
      </c>
      <c r="F76" s="308">
        <v>0.51700000000000002</v>
      </c>
      <c r="G76" s="308">
        <v>0.51700000000000002</v>
      </c>
      <c r="H76" s="308">
        <v>0.51700000000000002</v>
      </c>
      <c r="I76" s="308">
        <v>0.51700000000000002</v>
      </c>
      <c r="J76" s="308">
        <v>0.51700000000000002</v>
      </c>
      <c r="K76" s="28"/>
      <c r="L76" s="28"/>
      <c r="M76" s="28"/>
      <c r="N76" s="28"/>
    </row>
    <row r="77" spans="1:14" ht="14.25" customHeight="1" x14ac:dyDescent="0.3">
      <c r="A77" s="258">
        <v>13</v>
      </c>
      <c r="B77" s="271" t="s">
        <v>326</v>
      </c>
      <c r="C77" s="285">
        <v>546</v>
      </c>
      <c r="D77" s="306">
        <f>IF(B77="1N",VLOOKUP(C77,Database!$C$38:$D$43,2,FALSE),IF(Data!B77="2N",VLOOKUP(Data!C77,Database!$F$38:$G$43,2,FALSE),IF(Data!B77="3N",VLOOKUP(Data!C77,Database!$I$38:$J$43,2,FALSE),0)))</f>
        <v>0.52529999999999999</v>
      </c>
      <c r="E77" s="307" t="s">
        <v>96</v>
      </c>
      <c r="F77" s="308">
        <v>0.51900000000000002</v>
      </c>
      <c r="G77" s="308">
        <v>0.51800000000000002</v>
      </c>
      <c r="H77" s="308">
        <v>0.51900000000000002</v>
      </c>
      <c r="I77" s="308">
        <v>0.51900000000000002</v>
      </c>
      <c r="J77" s="308">
        <v>0.51900000000000002</v>
      </c>
      <c r="K77" s="28"/>
      <c r="L77" s="28"/>
      <c r="M77" s="28"/>
      <c r="N77" s="28"/>
    </row>
    <row r="78" spans="1:14" ht="14.25" customHeight="1" x14ac:dyDescent="0.3">
      <c r="A78" s="258">
        <v>14</v>
      </c>
      <c r="B78" s="271" t="s">
        <v>326</v>
      </c>
      <c r="C78" s="285">
        <v>590</v>
      </c>
      <c r="D78" s="306">
        <f>IF(B78="1N",VLOOKUP(C78,Database!$C$38:$D$43,2,FALSE),IF(Data!B78="2N",VLOOKUP(Data!C78,Database!$F$38:$G$43,2,FALSE),IF(Data!B78="3N",VLOOKUP(Data!C78,Database!$I$38:$J$43,2,FALSE),0)))</f>
        <v>0.5595</v>
      </c>
      <c r="E78" s="307" t="s">
        <v>96</v>
      </c>
      <c r="F78" s="308">
        <v>0.55400000000000005</v>
      </c>
      <c r="G78" s="308">
        <v>0.55400000000000005</v>
      </c>
      <c r="H78" s="308">
        <v>0.55400000000000005</v>
      </c>
      <c r="I78" s="308">
        <v>0.55400000000000005</v>
      </c>
      <c r="J78" s="308">
        <v>0.55400000000000005</v>
      </c>
      <c r="K78" s="28"/>
      <c r="L78" s="28"/>
      <c r="M78" s="28"/>
      <c r="N78" s="28"/>
    </row>
    <row r="79" spans="1:14" ht="14.25" customHeight="1" x14ac:dyDescent="0.3">
      <c r="A79" s="258">
        <v>15</v>
      </c>
      <c r="B79" s="271" t="s">
        <v>326</v>
      </c>
      <c r="C79" s="285">
        <v>635</v>
      </c>
      <c r="D79" s="306">
        <f>IF(B79="1N",VLOOKUP(C79,Database!$C$38:$D$43,2,FALSE),IF(Data!B79="2N",VLOOKUP(Data!C79,Database!$F$38:$G$43,2,FALSE),IF(Data!B79="3N",VLOOKUP(Data!C79,Database!$I$38:$J$43,2,FALSE),0)))</f>
        <v>0.56710000000000005</v>
      </c>
      <c r="E79" s="307" t="s">
        <v>96</v>
      </c>
      <c r="F79" s="308">
        <v>0.56200000000000006</v>
      </c>
      <c r="G79" s="308">
        <v>0.56200000000000006</v>
      </c>
      <c r="H79" s="308">
        <v>0.56200000000000006</v>
      </c>
      <c r="I79" s="308">
        <v>0.56200000000000006</v>
      </c>
      <c r="J79" s="308">
        <v>0.56200000000000006</v>
      </c>
      <c r="K79" s="28"/>
      <c r="L79" s="28"/>
      <c r="M79" s="28"/>
      <c r="N79" s="28"/>
    </row>
    <row r="80" spans="1:14" ht="14.25" customHeight="1" x14ac:dyDescent="0.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</row>
    <row r="81" spans="1:27" ht="14.25" customHeight="1" x14ac:dyDescent="0.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</row>
    <row r="82" spans="1:27" ht="14.25" customHeight="1" x14ac:dyDescent="0.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</row>
    <row r="83" spans="1:27" ht="14.25" customHeight="1" x14ac:dyDescent="0.3">
      <c r="A83" s="38"/>
      <c r="B83" s="61"/>
      <c r="C83" s="61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</row>
    <row r="84" spans="1:27" ht="14.25" customHeight="1" x14ac:dyDescent="0.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</row>
    <row r="85" spans="1:27" ht="14.25" customHeight="1" x14ac:dyDescent="0.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</row>
    <row r="86" spans="1:27" ht="14.25" customHeight="1" x14ac:dyDescent="0.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</row>
    <row r="87" spans="1:27" ht="14.25" customHeight="1" x14ac:dyDescent="0.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</row>
    <row r="88" spans="1:27" ht="14.25" customHeight="1" x14ac:dyDescent="0.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</row>
    <row r="89" spans="1:27" ht="14.25" customHeight="1" x14ac:dyDescent="0.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</row>
    <row r="90" spans="1:27" ht="14.25" customHeight="1" x14ac:dyDescent="0.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</row>
    <row r="91" spans="1:27" ht="14.25" customHeight="1" x14ac:dyDescent="0.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</row>
    <row r="92" spans="1:27" ht="14.25" customHeight="1" x14ac:dyDescent="0.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</row>
    <row r="93" spans="1:27" ht="14.25" customHeight="1" x14ac:dyDescent="0.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</row>
    <row r="94" spans="1:27" ht="14.25" customHeight="1" x14ac:dyDescent="0.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</row>
    <row r="95" spans="1:27" ht="14.25" customHeight="1" x14ac:dyDescent="0.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</row>
    <row r="96" spans="1:27" ht="14.25" customHeight="1" x14ac:dyDescent="0.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</row>
    <row r="97" spans="1:27" ht="14.25" customHeight="1" x14ac:dyDescent="0.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</row>
    <row r="98" spans="1:27" ht="14.25" customHeight="1" x14ac:dyDescent="0.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</row>
    <row r="99" spans="1:27" ht="14.25" customHeight="1" x14ac:dyDescent="0.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</row>
    <row r="100" spans="1:27" ht="14.25" customHeight="1" x14ac:dyDescent="0.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</row>
    <row r="101" spans="1:27" ht="14.25" customHeight="1" x14ac:dyDescent="0.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</row>
    <row r="102" spans="1:27" ht="14.25" customHeight="1" x14ac:dyDescent="0.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</row>
    <row r="103" spans="1:27" ht="14.25" customHeight="1" x14ac:dyDescent="0.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</row>
    <row r="104" spans="1:27" ht="14.25" customHeight="1" x14ac:dyDescent="0.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</row>
    <row r="105" spans="1:27" ht="14.25" customHeight="1" x14ac:dyDescent="0.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</row>
    <row r="106" spans="1:27" ht="14.25" customHeight="1" x14ac:dyDescent="0.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</row>
    <row r="107" spans="1:27" ht="14.25" customHeight="1" x14ac:dyDescent="0.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</row>
    <row r="108" spans="1:27" ht="14.25" customHeight="1" x14ac:dyDescent="0.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</row>
    <row r="109" spans="1:27" ht="14.25" customHeight="1" x14ac:dyDescent="0.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</row>
    <row r="110" spans="1:27" ht="14.25" customHeight="1" x14ac:dyDescent="0.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</row>
    <row r="111" spans="1:27" ht="14.25" customHeight="1" x14ac:dyDescent="0.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</row>
    <row r="112" spans="1:27" ht="14.25" customHeight="1" x14ac:dyDescent="0.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</row>
    <row r="113" spans="1:27" ht="14.25" customHeight="1" x14ac:dyDescent="0.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</row>
    <row r="114" spans="1:27" ht="14.25" customHeight="1" x14ac:dyDescent="0.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</row>
    <row r="115" spans="1:27" ht="14.25" customHeight="1" x14ac:dyDescent="0.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</row>
    <row r="116" spans="1:27" ht="14.25" customHeight="1" x14ac:dyDescent="0.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</row>
    <row r="117" spans="1:27" ht="14.25" customHeight="1" x14ac:dyDescent="0.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</row>
    <row r="118" spans="1:27" ht="14.25" customHeight="1" x14ac:dyDescent="0.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</row>
    <row r="119" spans="1:27" ht="14.25" customHeight="1" x14ac:dyDescent="0.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</row>
    <row r="120" spans="1:27" ht="14.25" customHeight="1" x14ac:dyDescent="0.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</row>
    <row r="121" spans="1:27" ht="14.25" customHeight="1" x14ac:dyDescent="0.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</row>
    <row r="122" spans="1:27" ht="14.25" customHeight="1" x14ac:dyDescent="0.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</row>
    <row r="123" spans="1:27" ht="14.25" customHeight="1" x14ac:dyDescent="0.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</row>
    <row r="124" spans="1:27" ht="14.25" customHeight="1" x14ac:dyDescent="0.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</row>
    <row r="125" spans="1:27" ht="14.25" customHeight="1" x14ac:dyDescent="0.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</row>
    <row r="126" spans="1:27" ht="14.25" customHeight="1" x14ac:dyDescent="0.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</row>
    <row r="127" spans="1:27" ht="14.25" customHeight="1" x14ac:dyDescent="0.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</row>
    <row r="128" spans="1:27" ht="14.25" customHeight="1" x14ac:dyDescent="0.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</row>
    <row r="129" spans="1:27" ht="14.25" customHeight="1" x14ac:dyDescent="0.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</row>
    <row r="130" spans="1:27" ht="14.25" customHeight="1" x14ac:dyDescent="0.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</row>
    <row r="131" spans="1:27" ht="14.25" customHeight="1" x14ac:dyDescent="0.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</row>
    <row r="132" spans="1:27" ht="14.25" customHeight="1" x14ac:dyDescent="0.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</row>
    <row r="133" spans="1:27" ht="14.25" customHeight="1" x14ac:dyDescent="0.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</row>
    <row r="134" spans="1:27" ht="14.25" customHeight="1" x14ac:dyDescent="0.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</row>
    <row r="135" spans="1:27" ht="14.25" customHeight="1" x14ac:dyDescent="0.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</row>
    <row r="136" spans="1:27" ht="14.25" customHeight="1" x14ac:dyDescent="0.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</row>
    <row r="137" spans="1:27" ht="14.25" customHeight="1" x14ac:dyDescent="0.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</row>
    <row r="138" spans="1:27" ht="14.25" customHeight="1" x14ac:dyDescent="0.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</row>
    <row r="139" spans="1:27" ht="14.25" customHeight="1" x14ac:dyDescent="0.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</row>
    <row r="140" spans="1:27" ht="14.25" customHeight="1" x14ac:dyDescent="0.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</row>
    <row r="141" spans="1:27" ht="14.25" customHeight="1" x14ac:dyDescent="0.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</row>
    <row r="142" spans="1:27" ht="14.25" customHeight="1" x14ac:dyDescent="0.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</row>
    <row r="143" spans="1:27" ht="14.25" customHeight="1" x14ac:dyDescent="0.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</row>
    <row r="144" spans="1:27" ht="14.25" customHeight="1" x14ac:dyDescent="0.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</row>
    <row r="145" spans="1:27" ht="14.25" customHeight="1" x14ac:dyDescent="0.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</row>
    <row r="146" spans="1:27" ht="14.25" customHeight="1" x14ac:dyDescent="0.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</row>
    <row r="147" spans="1:27" ht="14.25" customHeight="1" x14ac:dyDescent="0.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</row>
    <row r="148" spans="1:27" ht="14.25" customHeight="1" x14ac:dyDescent="0.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</row>
    <row r="149" spans="1:27" ht="14.25" customHeight="1" x14ac:dyDescent="0.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</row>
    <row r="150" spans="1:27" ht="14.25" customHeight="1" x14ac:dyDescent="0.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</row>
    <row r="151" spans="1:27" ht="14.25" customHeight="1" x14ac:dyDescent="0.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</row>
    <row r="152" spans="1:27" ht="14.25" customHeight="1" x14ac:dyDescent="0.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</row>
    <row r="153" spans="1:27" ht="14.25" customHeight="1" x14ac:dyDescent="0.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</row>
    <row r="154" spans="1:27" ht="14.25" customHeight="1" x14ac:dyDescent="0.3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</row>
    <row r="155" spans="1:27" ht="14.25" customHeight="1" x14ac:dyDescent="0.3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</row>
    <row r="156" spans="1:27" ht="14.25" customHeight="1" x14ac:dyDescent="0.3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</row>
    <row r="157" spans="1:27" ht="14.25" customHeight="1" x14ac:dyDescent="0.3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</row>
    <row r="158" spans="1:27" ht="14.25" customHeight="1" x14ac:dyDescent="0.3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</row>
    <row r="159" spans="1:27" ht="14.25" customHeight="1" x14ac:dyDescent="0.3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</row>
    <row r="160" spans="1:27" ht="14.25" customHeight="1" x14ac:dyDescent="0.3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</row>
    <row r="161" spans="1:27" ht="14.25" customHeight="1" x14ac:dyDescent="0.3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</row>
    <row r="162" spans="1:27" ht="14.25" customHeight="1" x14ac:dyDescent="0.3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</row>
    <row r="163" spans="1:27" ht="14.25" customHeight="1" x14ac:dyDescent="0.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</row>
    <row r="164" spans="1:27" ht="14.25" customHeight="1" x14ac:dyDescent="0.3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</row>
    <row r="165" spans="1:27" ht="14.25" customHeight="1" x14ac:dyDescent="0.3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</row>
    <row r="166" spans="1:27" ht="14.25" customHeight="1" x14ac:dyDescent="0.3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</row>
    <row r="167" spans="1:27" ht="14.25" customHeight="1" x14ac:dyDescent="0.3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</row>
    <row r="168" spans="1:27" ht="14.25" customHeight="1" x14ac:dyDescent="0.3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</row>
    <row r="169" spans="1:27" ht="14.25" customHeight="1" x14ac:dyDescent="0.3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</row>
    <row r="170" spans="1:27" ht="14.25" customHeight="1" x14ac:dyDescent="0.3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</row>
    <row r="171" spans="1:27" ht="14.25" customHeight="1" x14ac:dyDescent="0.3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</row>
    <row r="172" spans="1:27" ht="14.25" customHeight="1" x14ac:dyDescent="0.3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</row>
    <row r="173" spans="1:27" ht="14.25" customHeight="1" x14ac:dyDescent="0.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</row>
    <row r="174" spans="1:27" ht="14.25" customHeight="1" x14ac:dyDescent="0.3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</row>
    <row r="175" spans="1:27" ht="14.25" customHeight="1" x14ac:dyDescent="0.3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</row>
    <row r="176" spans="1:27" ht="14.25" customHeight="1" x14ac:dyDescent="0.3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</row>
    <row r="177" spans="1:27" ht="14.25" customHeight="1" x14ac:dyDescent="0.3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</row>
    <row r="178" spans="1:27" ht="14.25" customHeight="1" x14ac:dyDescent="0.3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</row>
    <row r="179" spans="1:27" ht="14.25" customHeight="1" x14ac:dyDescent="0.3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</row>
    <row r="180" spans="1:27" ht="14.25" customHeight="1" x14ac:dyDescent="0.3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</row>
    <row r="181" spans="1:27" ht="14.25" customHeight="1" x14ac:dyDescent="0.3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</row>
    <row r="182" spans="1:27" ht="14.25" customHeight="1" x14ac:dyDescent="0.3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</row>
    <row r="183" spans="1:27" ht="14.25" customHeight="1" x14ac:dyDescent="0.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</row>
    <row r="184" spans="1:27" ht="14.25" customHeight="1" x14ac:dyDescent="0.3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</row>
    <row r="185" spans="1:27" ht="14.25" customHeight="1" x14ac:dyDescent="0.3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</row>
    <row r="186" spans="1:27" ht="14.25" customHeight="1" x14ac:dyDescent="0.3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</row>
    <row r="187" spans="1:27" ht="14.25" customHeight="1" x14ac:dyDescent="0.3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</row>
    <row r="188" spans="1:27" ht="14.25" customHeight="1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</row>
    <row r="189" spans="1:27" ht="14.25" customHeight="1" x14ac:dyDescent="0.3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</row>
    <row r="190" spans="1:27" ht="14.25" customHeight="1" x14ac:dyDescent="0.3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</row>
    <row r="191" spans="1:27" ht="14.25" customHeight="1" x14ac:dyDescent="0.3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</row>
    <row r="192" spans="1:27" ht="14.25" customHeight="1" x14ac:dyDescent="0.3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</row>
    <row r="193" spans="1:27" ht="14.25" customHeight="1" x14ac:dyDescent="0.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</row>
    <row r="194" spans="1:27" ht="14.25" customHeight="1" x14ac:dyDescent="0.3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</row>
    <row r="195" spans="1:27" ht="14.25" customHeight="1" x14ac:dyDescent="0.3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</row>
    <row r="196" spans="1:27" ht="14.25" customHeight="1" x14ac:dyDescent="0.3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</row>
    <row r="197" spans="1:27" ht="14.25" customHeight="1" x14ac:dyDescent="0.3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</row>
    <row r="198" spans="1:27" ht="14.25" customHeight="1" x14ac:dyDescent="0.3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</row>
    <row r="199" spans="1:27" ht="14.25" customHeight="1" x14ac:dyDescent="0.3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</row>
    <row r="200" spans="1:27" ht="14.25" customHeight="1" x14ac:dyDescent="0.3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</row>
    <row r="201" spans="1:27" ht="14.25" customHeight="1" x14ac:dyDescent="0.3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</row>
    <row r="202" spans="1:27" ht="14.25" customHeight="1" x14ac:dyDescent="0.3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</row>
    <row r="203" spans="1:27" ht="14.25" customHeight="1" x14ac:dyDescent="0.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</row>
    <row r="204" spans="1:27" ht="14.25" customHeight="1" x14ac:dyDescent="0.3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</row>
    <row r="205" spans="1:27" ht="14.25" customHeight="1" x14ac:dyDescent="0.3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</row>
    <row r="206" spans="1:27" ht="14.25" customHeight="1" x14ac:dyDescent="0.3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</row>
    <row r="207" spans="1:27" ht="14.25" customHeight="1" x14ac:dyDescent="0.3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</row>
    <row r="208" spans="1:27" ht="14.25" customHeight="1" x14ac:dyDescent="0.3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</row>
    <row r="209" spans="1:27" ht="14.25" customHeight="1" x14ac:dyDescent="0.3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</row>
    <row r="210" spans="1:27" ht="14.25" customHeight="1" x14ac:dyDescent="0.3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</row>
    <row r="211" spans="1:27" ht="14.25" customHeight="1" x14ac:dyDescent="0.3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</row>
    <row r="212" spans="1:27" ht="14.25" customHeight="1" x14ac:dyDescent="0.3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</row>
    <row r="213" spans="1:27" ht="14.25" customHeight="1" x14ac:dyDescent="0.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</row>
    <row r="214" spans="1:27" ht="14.25" customHeight="1" x14ac:dyDescent="0.3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</row>
    <row r="215" spans="1:27" ht="14.25" customHeight="1" x14ac:dyDescent="0.3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</row>
    <row r="216" spans="1:27" ht="14.25" customHeight="1" x14ac:dyDescent="0.3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</row>
    <row r="217" spans="1:27" ht="14.25" customHeight="1" x14ac:dyDescent="0.3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</row>
    <row r="218" spans="1:27" ht="14.25" customHeight="1" x14ac:dyDescent="0.3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</row>
    <row r="219" spans="1:27" ht="14.25" customHeight="1" x14ac:dyDescent="0.3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</row>
    <row r="220" spans="1:27" ht="14.25" customHeight="1" x14ac:dyDescent="0.3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</row>
    <row r="221" spans="1:27" ht="14.25" customHeight="1" x14ac:dyDescent="0.3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</row>
    <row r="222" spans="1:27" ht="14.25" customHeight="1" x14ac:dyDescent="0.3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</row>
    <row r="223" spans="1:27" ht="14.25" customHeight="1" x14ac:dyDescent="0.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</row>
    <row r="224" spans="1:27" ht="14.25" customHeight="1" x14ac:dyDescent="0.3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</row>
    <row r="225" spans="1:27" ht="14.25" customHeight="1" x14ac:dyDescent="0.3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</row>
    <row r="226" spans="1:27" ht="14.25" customHeight="1" x14ac:dyDescent="0.3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</row>
    <row r="227" spans="1:27" ht="14.25" customHeight="1" x14ac:dyDescent="0.3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</row>
    <row r="228" spans="1:27" ht="14.25" customHeight="1" x14ac:dyDescent="0.3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</row>
    <row r="229" spans="1:27" ht="14.25" customHeight="1" x14ac:dyDescent="0.3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</row>
    <row r="230" spans="1:27" ht="14.25" customHeight="1" x14ac:dyDescent="0.3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</row>
    <row r="231" spans="1:27" ht="14.25" customHeight="1" x14ac:dyDescent="0.3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</row>
    <row r="232" spans="1:27" ht="14.25" customHeight="1" x14ac:dyDescent="0.3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</row>
    <row r="233" spans="1:27" ht="14.25" customHeight="1" x14ac:dyDescent="0.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</row>
    <row r="234" spans="1:27" ht="14.25" customHeight="1" x14ac:dyDescent="0.3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</row>
    <row r="235" spans="1:27" ht="14.25" customHeight="1" x14ac:dyDescent="0.3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</row>
    <row r="236" spans="1:27" ht="14.25" customHeight="1" x14ac:dyDescent="0.3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</row>
    <row r="237" spans="1:27" ht="14.25" customHeight="1" x14ac:dyDescent="0.3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</row>
    <row r="238" spans="1:27" ht="14.25" customHeight="1" x14ac:dyDescent="0.3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</row>
    <row r="239" spans="1:27" ht="14.25" customHeight="1" x14ac:dyDescent="0.3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</row>
    <row r="240" spans="1:27" ht="14.25" customHeight="1" x14ac:dyDescent="0.3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</row>
    <row r="241" spans="1:27" ht="14.25" customHeight="1" x14ac:dyDescent="0.3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</row>
    <row r="242" spans="1:27" ht="14.25" customHeight="1" x14ac:dyDescent="0.3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</row>
    <row r="243" spans="1:27" ht="14.25" customHeight="1" x14ac:dyDescent="0.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</row>
    <row r="244" spans="1:27" ht="14.25" customHeight="1" x14ac:dyDescent="0.3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</row>
    <row r="245" spans="1:27" ht="14.25" customHeight="1" x14ac:dyDescent="0.3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</row>
    <row r="246" spans="1:27" ht="14.25" customHeight="1" x14ac:dyDescent="0.3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</row>
    <row r="247" spans="1:27" ht="14.25" customHeight="1" x14ac:dyDescent="0.3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</row>
    <row r="248" spans="1:27" ht="14.25" customHeight="1" x14ac:dyDescent="0.3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</row>
    <row r="249" spans="1:27" ht="14.25" customHeight="1" x14ac:dyDescent="0.3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</row>
    <row r="250" spans="1:27" ht="14.25" customHeight="1" x14ac:dyDescent="0.3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</row>
    <row r="251" spans="1:27" ht="14.25" customHeight="1" x14ac:dyDescent="0.3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</row>
    <row r="252" spans="1:27" ht="14.25" customHeight="1" x14ac:dyDescent="0.3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</row>
    <row r="253" spans="1:27" ht="14.25" customHeight="1" x14ac:dyDescent="0.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</row>
    <row r="254" spans="1:27" ht="14.25" customHeight="1" x14ac:dyDescent="0.3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</row>
    <row r="255" spans="1:27" ht="14.25" customHeight="1" x14ac:dyDescent="0.3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</row>
    <row r="256" spans="1:27" ht="14.25" customHeight="1" x14ac:dyDescent="0.3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</row>
    <row r="257" spans="1:27" ht="14.25" customHeight="1" x14ac:dyDescent="0.3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</row>
    <row r="258" spans="1:27" ht="14.25" customHeight="1" x14ac:dyDescent="0.3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</row>
    <row r="259" spans="1:27" ht="14.25" customHeight="1" x14ac:dyDescent="0.3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</row>
    <row r="260" spans="1:27" ht="14.25" customHeight="1" x14ac:dyDescent="0.3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</row>
    <row r="261" spans="1:27" ht="14.25" customHeight="1" x14ac:dyDescent="0.3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</row>
    <row r="262" spans="1:27" ht="14.25" customHeight="1" x14ac:dyDescent="0.3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</row>
    <row r="263" spans="1:27" ht="14.25" customHeight="1" x14ac:dyDescent="0.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</row>
    <row r="264" spans="1:27" ht="14.25" customHeight="1" x14ac:dyDescent="0.3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</row>
    <row r="265" spans="1:27" ht="14.25" customHeight="1" x14ac:dyDescent="0.3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</row>
    <row r="266" spans="1:27" ht="14.25" customHeight="1" x14ac:dyDescent="0.3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</row>
    <row r="267" spans="1:27" ht="14.25" customHeight="1" x14ac:dyDescent="0.3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</row>
    <row r="268" spans="1:27" ht="14.25" customHeight="1" x14ac:dyDescent="0.3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</row>
    <row r="269" spans="1:27" ht="14.25" customHeight="1" x14ac:dyDescent="0.3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</row>
    <row r="270" spans="1:27" ht="14.25" customHeight="1" x14ac:dyDescent="0.3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</row>
    <row r="271" spans="1:27" ht="14.25" customHeight="1" x14ac:dyDescent="0.3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</row>
    <row r="272" spans="1:27" ht="14.25" customHeight="1" x14ac:dyDescent="0.3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</row>
    <row r="273" spans="1:27" ht="14.25" customHeight="1" x14ac:dyDescent="0.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</row>
    <row r="274" spans="1:27" ht="14.25" customHeight="1" x14ac:dyDescent="0.3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</row>
    <row r="275" spans="1:27" ht="14.25" customHeight="1" x14ac:dyDescent="0.3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</row>
    <row r="276" spans="1:27" ht="14.25" customHeight="1" x14ac:dyDescent="0.3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</row>
    <row r="277" spans="1:27" ht="14.25" customHeight="1" x14ac:dyDescent="0.3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</row>
    <row r="278" spans="1:27" ht="14.25" customHeight="1" x14ac:dyDescent="0.3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</row>
    <row r="279" spans="1:27" ht="14.25" customHeight="1" x14ac:dyDescent="0.3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</row>
    <row r="280" spans="1:27" ht="14.25" customHeight="1" x14ac:dyDescent="0.3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</row>
    <row r="281" spans="1:27" ht="14.25" customHeight="1" x14ac:dyDescent="0.3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</row>
    <row r="282" spans="1:27" ht="14.25" customHeight="1" x14ac:dyDescent="0.3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</row>
    <row r="283" spans="1:27" ht="14.25" customHeight="1" x14ac:dyDescent="0.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</row>
    <row r="284" spans="1:27" ht="15.75" customHeight="1" x14ac:dyDescent="0.3"/>
    <row r="285" spans="1:27" ht="15.75" customHeight="1" x14ac:dyDescent="0.3"/>
    <row r="286" spans="1:27" ht="15.75" customHeight="1" x14ac:dyDescent="0.3"/>
    <row r="287" spans="1:27" ht="15.75" customHeight="1" x14ac:dyDescent="0.3"/>
    <row r="288" spans="1:27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  <row r="1013" ht="15.75" customHeight="1" x14ac:dyDescent="0.3"/>
    <row r="1014" ht="15.75" customHeight="1" x14ac:dyDescent="0.3"/>
  </sheetData>
  <dataConsolidate/>
  <mergeCells count="26">
    <mergeCell ref="D28:E29"/>
    <mergeCell ref="F28:J28"/>
    <mergeCell ref="C28:C29"/>
    <mergeCell ref="A8:B8"/>
    <mergeCell ref="A9:B9"/>
    <mergeCell ref="A12:B12"/>
    <mergeCell ref="A13:B13"/>
    <mergeCell ref="I18:J20"/>
    <mergeCell ref="B19:C19"/>
    <mergeCell ref="B20:C20"/>
    <mergeCell ref="A11:B11"/>
    <mergeCell ref="B22:M24"/>
    <mergeCell ref="B28:B29"/>
    <mergeCell ref="A28:A29"/>
    <mergeCell ref="A10:B10"/>
    <mergeCell ref="E2:M2"/>
    <mergeCell ref="E3:M3"/>
    <mergeCell ref="E4:M4"/>
    <mergeCell ref="E5:M5"/>
    <mergeCell ref="A7:B7"/>
    <mergeCell ref="A63:A64"/>
    <mergeCell ref="B63:B64"/>
    <mergeCell ref="C63:C64"/>
    <mergeCell ref="A48:A49"/>
    <mergeCell ref="B48:B49"/>
    <mergeCell ref="C48:C49"/>
  </mergeCells>
  <pageMargins left="1.1023622047244095" right="0.35433070866141736" top="0.6692913385826772" bottom="0.39370078740157483" header="0" footer="0"/>
  <pageSetup paperSize="9" fitToHeight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showInputMessage="1" showErrorMessage="1" xr:uid="{66274E56-EA7A-48FE-AB9E-279C0A53078B}">
          <x14:formula1>
            <xm:f>Database!$B$2:$B$4</xm:f>
          </x14:formula1>
          <xm:sqref>B30:B44</xm:sqref>
        </x14:dataValidation>
        <x14:dataValidation type="list" showInputMessage="1" showErrorMessage="1" xr:uid="{38B3C0FF-D9F1-47E0-B421-9DBBEAF0EF1E}">
          <x14:formula1>
            <xm:f>Database!$Y$3:$Y$27</xm:f>
          </x14:formula1>
          <xm:sqref>C30:C44</xm:sqref>
        </x14:dataValidation>
        <x14:dataValidation type="list" allowBlank="1" showInputMessage="1" showErrorMessage="1" xr:uid="{4A741172-E394-4ABE-88F8-D1B83FEA032A}">
          <x14:formula1>
            <xm:f>Database!$B$12:$B$20</xm:f>
          </x14:formula1>
          <xm:sqref>C10</xm:sqref>
        </x14:dataValidation>
        <x14:dataValidation type="list" showInputMessage="1" showErrorMessage="1" xr:uid="{C5534463-12D1-4B85-9137-D8EE37E185C3}">
          <x14:formula1>
            <xm:f>Database!$B$5:$B$8</xm:f>
          </x14:formula1>
          <xm:sqref>B50:B59 B65:B79</xm:sqref>
        </x14:dataValidation>
        <x14:dataValidation type="list" showInputMessage="1" showErrorMessage="1" xr:uid="{75566DD8-BA6C-442B-BDEF-CF0CDD0D68EB}">
          <x14:formula1>
            <xm:f>Database!$C$48:$C$58</xm:f>
          </x14:formula1>
          <xm:sqref>C50:C59 C65:C79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79"/>
  <sheetViews>
    <sheetView topLeftCell="A25" workbookViewId="0">
      <selection activeCell="B3" sqref="B3"/>
    </sheetView>
  </sheetViews>
  <sheetFormatPr defaultColWidth="14.44140625" defaultRowHeight="15" customHeight="1" x14ac:dyDescent="0.3"/>
  <cols>
    <col min="1" max="1" width="12.5546875" customWidth="1"/>
    <col min="2" max="2" width="8.109375" customWidth="1"/>
    <col min="3" max="3" width="9.88671875" customWidth="1"/>
    <col min="4" max="4" width="8.5546875" customWidth="1"/>
    <col min="5" max="5" width="10.5546875" customWidth="1"/>
    <col min="6" max="10" width="9.109375" customWidth="1"/>
    <col min="11" max="13" width="11.21875" customWidth="1"/>
    <col min="14" max="14" width="5.77734375" customWidth="1"/>
    <col min="15" max="15" width="3.88671875" customWidth="1"/>
    <col min="16" max="16" width="12" customWidth="1"/>
    <col min="17" max="17" width="10.5546875" bestFit="1" customWidth="1"/>
    <col min="18" max="18" width="6.109375" customWidth="1"/>
    <col min="19" max="19" width="9.109375" customWidth="1"/>
    <col min="20" max="20" width="10.44140625" customWidth="1"/>
    <col min="21" max="23" width="9.109375" customWidth="1"/>
    <col min="24" max="24" width="12.21875" customWidth="1"/>
    <col min="25" max="26" width="9.109375" customWidth="1"/>
  </cols>
  <sheetData>
    <row r="1" spans="1:26" ht="15.75" customHeight="1" x14ac:dyDescent="0.3">
      <c r="A1" s="310" t="s">
        <v>48</v>
      </c>
      <c r="B1" s="310" t="s">
        <v>49</v>
      </c>
      <c r="C1" s="310" t="s">
        <v>50</v>
      </c>
      <c r="D1" s="310" t="s">
        <v>51</v>
      </c>
      <c r="E1" s="310" t="s">
        <v>52</v>
      </c>
      <c r="F1" s="310" t="s">
        <v>53</v>
      </c>
      <c r="G1" s="310" t="s">
        <v>54</v>
      </c>
      <c r="H1" s="310" t="s">
        <v>55</v>
      </c>
      <c r="I1" s="24"/>
      <c r="L1" s="64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 x14ac:dyDescent="0.3">
      <c r="A2" s="312" t="str">
        <f>Data!B30</f>
        <v>DG</v>
      </c>
      <c r="B2" s="87">
        <f>Data!D30</f>
        <v>747.61</v>
      </c>
      <c r="C2" s="217"/>
      <c r="D2" s="313">
        <f>AVERAGE(Data!F30:J30)</f>
        <v>748</v>
      </c>
      <c r="E2" s="88"/>
      <c r="F2" s="217">
        <f>K50</f>
        <v>0.58926646521228532</v>
      </c>
      <c r="G2" s="66">
        <f>K49</f>
        <v>2.0052087927937725</v>
      </c>
      <c r="H2" s="217"/>
      <c r="I2" s="24"/>
      <c r="L2" s="65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2.75" customHeight="1" x14ac:dyDescent="0.3">
      <c r="A3" s="312" t="str">
        <f>Data!B31</f>
        <v>DG</v>
      </c>
      <c r="B3" s="87">
        <f>Data!D31</f>
        <v>740.51</v>
      </c>
      <c r="C3" s="311"/>
      <c r="D3" s="313">
        <f>AVERAGE(Data!F31:J31)</f>
        <v>740</v>
      </c>
      <c r="E3" s="88"/>
      <c r="F3" s="217">
        <f>K64</f>
        <v>0.58926646521228532</v>
      </c>
      <c r="G3" s="66">
        <f>K63</f>
        <v>2.0052087927937725</v>
      </c>
      <c r="H3" s="217"/>
      <c r="I3" s="24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.75" customHeight="1" x14ac:dyDescent="0.3">
      <c r="A4" s="312" t="str">
        <f>Data!B32</f>
        <v>DG</v>
      </c>
      <c r="B4" s="87">
        <f>Data!D32</f>
        <v>684.7</v>
      </c>
      <c r="C4" s="70"/>
      <c r="D4" s="313">
        <f>AVERAGE(Data!F32:J32)</f>
        <v>684</v>
      </c>
      <c r="E4" s="88"/>
      <c r="F4" s="217">
        <f>K78</f>
        <v>0.58926646521228532</v>
      </c>
      <c r="G4" s="66">
        <f>K77</f>
        <v>2.0052087927937725</v>
      </c>
      <c r="H4" s="217"/>
      <c r="I4" s="24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 x14ac:dyDescent="0.3">
      <c r="A5" s="312" t="str">
        <f>Data!B33</f>
        <v>HG</v>
      </c>
      <c r="B5" s="87">
        <f>Data!D33</f>
        <v>641.41</v>
      </c>
      <c r="C5" s="217"/>
      <c r="D5" s="313">
        <f>AVERAGE(Data!F33:J33)</f>
        <v>640</v>
      </c>
      <c r="E5" s="88"/>
      <c r="F5" s="217">
        <f>K92</f>
        <v>0.58926646521228532</v>
      </c>
      <c r="G5" s="66">
        <f>K91</f>
        <v>2.0052087927937725</v>
      </c>
      <c r="H5" s="217"/>
      <c r="I5" s="24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2.75" customHeight="1" x14ac:dyDescent="0.3">
      <c r="A6" s="312" t="str">
        <f>Data!B34</f>
        <v>HG</v>
      </c>
      <c r="B6" s="87">
        <f>Data!D34</f>
        <v>537.54</v>
      </c>
      <c r="C6" s="70"/>
      <c r="D6" s="313">
        <f>AVERAGE(Data!F34:J34)</f>
        <v>536</v>
      </c>
      <c r="E6" s="65"/>
      <c r="F6" s="217">
        <f>K106</f>
        <v>0.58926646521228532</v>
      </c>
      <c r="G6" s="66">
        <f>K105</f>
        <v>2.0052087927937725</v>
      </c>
      <c r="H6" s="217"/>
      <c r="I6" s="24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 x14ac:dyDescent="0.3">
      <c r="A7" s="312" t="str">
        <f>Data!B35</f>
        <v>HG</v>
      </c>
      <c r="B7" s="87">
        <f>Data!D35</f>
        <v>471.66</v>
      </c>
      <c r="C7" s="70"/>
      <c r="D7" s="313">
        <f>AVERAGE(Data!F35:J35)</f>
        <v>470</v>
      </c>
      <c r="E7" s="65"/>
      <c r="F7" s="217">
        <f>K120</f>
        <v>0.58926646521228532</v>
      </c>
      <c r="G7" s="314">
        <f>K119</f>
        <v>2.0052087927937725</v>
      </c>
      <c r="H7" s="217"/>
      <c r="I7" s="24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2.75" customHeight="1" x14ac:dyDescent="0.3">
      <c r="A8" s="312" t="str">
        <f>Data!B36</f>
        <v>HG</v>
      </c>
      <c r="B8" s="87">
        <f>Data!D36</f>
        <v>448.76</v>
      </c>
      <c r="C8" s="70"/>
      <c r="D8" s="313">
        <f>AVERAGE(Data!F36:J36)</f>
        <v>447</v>
      </c>
      <c r="E8" s="65"/>
      <c r="F8" s="217">
        <f>K134</f>
        <v>0.58926646521228532</v>
      </c>
      <c r="G8" s="66">
        <f>K133</f>
        <v>2.0052087927937725</v>
      </c>
      <c r="H8" s="217"/>
      <c r="I8" s="24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 x14ac:dyDescent="0.3">
      <c r="A9" s="312" t="str">
        <f>Data!B37</f>
        <v>HG</v>
      </c>
      <c r="B9" s="87">
        <f>Data!D37</f>
        <v>417.78</v>
      </c>
      <c r="C9" s="70"/>
      <c r="D9" s="313">
        <f>AVERAGE(Data!F37:J37)</f>
        <v>416</v>
      </c>
      <c r="E9" s="65"/>
      <c r="F9" s="217">
        <f>K148</f>
        <v>0.58926646521228532</v>
      </c>
      <c r="G9" s="66">
        <f>K147</f>
        <v>2.0052087927937725</v>
      </c>
      <c r="H9" s="217"/>
      <c r="I9" s="24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 x14ac:dyDescent="0.3">
      <c r="A10" s="312" t="str">
        <f>Data!B38</f>
        <v>HG</v>
      </c>
      <c r="B10" s="87">
        <f>Data!D38</f>
        <v>360.89</v>
      </c>
      <c r="C10" s="70"/>
      <c r="D10" s="313">
        <f>AVERAGE(Data!F38:J38)</f>
        <v>359</v>
      </c>
      <c r="E10" s="65"/>
      <c r="F10" s="217">
        <f>K162</f>
        <v>0.58926646521228532</v>
      </c>
      <c r="G10" s="66">
        <f>K161</f>
        <v>2.0052087927937725</v>
      </c>
      <c r="H10" s="217"/>
      <c r="I10" s="24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 x14ac:dyDescent="0.3">
      <c r="A11" s="312">
        <f>Data!B39</f>
        <v>0</v>
      </c>
      <c r="B11" s="87">
        <f>Data!D39</f>
        <v>0</v>
      </c>
      <c r="C11" s="70"/>
      <c r="D11" s="313" t="e">
        <f>AVERAGE(Data!F39:J39)</f>
        <v>#DIV/0!</v>
      </c>
      <c r="E11" s="65"/>
      <c r="F11" s="217" t="e">
        <f>K176</f>
        <v>#DIV/0!</v>
      </c>
      <c r="G11" s="66" t="e">
        <f>K175</f>
        <v>#DIV/0!</v>
      </c>
      <c r="H11" s="217"/>
      <c r="I11" s="24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 x14ac:dyDescent="0.3">
      <c r="A12" s="312">
        <f>Data!B40</f>
        <v>0</v>
      </c>
      <c r="B12" s="87">
        <f>Data!D40</f>
        <v>0</v>
      </c>
      <c r="C12" s="70"/>
      <c r="D12" s="313" t="e">
        <f>AVERAGE(Data!F40:J40)</f>
        <v>#DIV/0!</v>
      </c>
      <c r="E12" s="65"/>
      <c r="F12" s="217" t="e">
        <f>K190</f>
        <v>#DIV/0!</v>
      </c>
      <c r="G12" s="66" t="e">
        <f>K189</f>
        <v>#DIV/0!</v>
      </c>
      <c r="H12" s="217"/>
      <c r="I12" s="24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 x14ac:dyDescent="0.3">
      <c r="A13" s="312">
        <f>Data!B41</f>
        <v>0</v>
      </c>
      <c r="B13" s="87">
        <f>Data!D41</f>
        <v>0</v>
      </c>
      <c r="C13" s="70"/>
      <c r="D13" s="313" t="e">
        <f>AVERAGE(Data!F41:J41)</f>
        <v>#DIV/0!</v>
      </c>
      <c r="E13" s="65"/>
      <c r="F13" s="217" t="e">
        <f>K204</f>
        <v>#DIV/0!</v>
      </c>
      <c r="G13" s="66" t="e">
        <f>K203</f>
        <v>#DIV/0!</v>
      </c>
      <c r="H13" s="217"/>
      <c r="I13" s="24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 x14ac:dyDescent="0.3">
      <c r="A14" s="312">
        <f>Data!B42</f>
        <v>0</v>
      </c>
      <c r="B14" s="87">
        <f>Data!D42</f>
        <v>0</v>
      </c>
      <c r="C14" s="70"/>
      <c r="D14" s="313" t="e">
        <f>AVERAGE(Data!F42:J42)</f>
        <v>#DIV/0!</v>
      </c>
      <c r="E14" s="65"/>
      <c r="F14" s="217" t="e">
        <f>K218</f>
        <v>#DIV/0!</v>
      </c>
      <c r="G14" s="66" t="e">
        <f>K217</f>
        <v>#DIV/0!</v>
      </c>
      <c r="H14" s="217"/>
      <c r="I14" s="24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 x14ac:dyDescent="0.3">
      <c r="A15" s="312">
        <f>Data!B43</f>
        <v>0</v>
      </c>
      <c r="B15" s="87">
        <f>Data!D43</f>
        <v>0</v>
      </c>
      <c r="C15" s="70"/>
      <c r="D15" s="313" t="e">
        <f>AVERAGE(Data!F43:J43)</f>
        <v>#DIV/0!</v>
      </c>
      <c r="E15" s="65"/>
      <c r="F15" s="217" t="e">
        <f>K232</f>
        <v>#DIV/0!</v>
      </c>
      <c r="G15" s="66" t="e">
        <f>K231</f>
        <v>#DIV/0!</v>
      </c>
      <c r="H15" s="217"/>
      <c r="I15" s="24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 x14ac:dyDescent="0.3">
      <c r="A16" s="6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spans="1:26" ht="12.75" customHeight="1" x14ac:dyDescent="0.3">
      <c r="A17" s="6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 spans="1:26" ht="12.75" customHeight="1" x14ac:dyDescent="0.3">
      <c r="A18" s="63"/>
      <c r="D18" s="67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1:26" ht="12.75" customHeight="1" x14ac:dyDescent="0.3">
      <c r="A19" s="6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</row>
    <row r="20" spans="1:26" ht="12.75" customHeight="1" x14ac:dyDescent="0.3">
      <c r="A20" s="6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</row>
    <row r="21" spans="1:26" ht="12.75" customHeight="1" x14ac:dyDescent="0.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68"/>
      <c r="Y21" s="68"/>
      <c r="Z21" s="68"/>
    </row>
    <row r="22" spans="1:26" ht="12.75" customHeight="1" x14ac:dyDescent="0.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68"/>
      <c r="Y22" s="68"/>
      <c r="Z22" s="68"/>
    </row>
    <row r="23" spans="1:26" ht="12.75" customHeight="1" x14ac:dyDescent="0.3">
      <c r="A23" s="69" t="s">
        <v>56</v>
      </c>
      <c r="B23" s="69"/>
      <c r="C23" s="69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68"/>
      <c r="Y23" s="68"/>
      <c r="Z23" s="68"/>
    </row>
    <row r="24" spans="1:26" ht="12.75" customHeight="1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 x14ac:dyDescent="0.3">
      <c r="A25" s="70" t="s">
        <v>57</v>
      </c>
      <c r="B25" s="70"/>
      <c r="C25" s="71" t="s">
        <v>58</v>
      </c>
      <c r="D25" s="70" t="s">
        <v>59</v>
      </c>
      <c r="E25" s="70"/>
      <c r="F25" s="70"/>
      <c r="G25" s="70"/>
      <c r="H25" s="70"/>
      <c r="I25" s="70"/>
      <c r="J25" s="70"/>
      <c r="K25" s="70"/>
      <c r="L25" s="70"/>
      <c r="M25" s="260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 x14ac:dyDescent="0.3">
      <c r="A26" s="70" t="s">
        <v>60</v>
      </c>
      <c r="B26" s="70"/>
      <c r="C26" s="71" t="s">
        <v>58</v>
      </c>
      <c r="D26" s="70" t="s">
        <v>61</v>
      </c>
      <c r="E26" s="70"/>
      <c r="F26" s="70"/>
      <c r="G26" s="70"/>
      <c r="H26" s="70"/>
      <c r="I26" s="70"/>
      <c r="J26" s="70"/>
      <c r="K26" s="70"/>
      <c r="L26" s="70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 x14ac:dyDescent="0.3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 x14ac:dyDescent="0.3">
      <c r="A28" s="356" t="s">
        <v>62</v>
      </c>
      <c r="B28" s="357"/>
      <c r="C28" s="357"/>
      <c r="D28" s="357"/>
      <c r="E28" s="26" t="s">
        <v>63</v>
      </c>
      <c r="F28" s="26"/>
      <c r="G28" s="26"/>
      <c r="H28" s="26"/>
      <c r="I28" s="26"/>
      <c r="J28" s="26"/>
      <c r="K28" s="26"/>
      <c r="L28" s="26"/>
      <c r="M28" s="72" t="s">
        <v>20</v>
      </c>
      <c r="N28" s="3"/>
      <c r="O28" s="3"/>
      <c r="P28" s="73" t="s">
        <v>48</v>
      </c>
      <c r="Q28" s="290" t="s">
        <v>64</v>
      </c>
      <c r="R28" s="286"/>
      <c r="S28" s="291" t="s">
        <v>298</v>
      </c>
      <c r="T28" s="292"/>
      <c r="U28" s="3"/>
      <c r="V28" s="3"/>
      <c r="W28" s="3"/>
      <c r="X28" s="3"/>
      <c r="Y28" s="3"/>
      <c r="Z28" s="3"/>
    </row>
    <row r="29" spans="1:26" ht="12.75" customHeight="1" x14ac:dyDescent="0.3">
      <c r="A29" s="358" t="s">
        <v>65</v>
      </c>
      <c r="B29" s="324"/>
      <c r="C29" s="324"/>
      <c r="D29" s="324"/>
      <c r="E29" s="70" t="s">
        <v>66</v>
      </c>
      <c r="F29" s="70"/>
      <c r="G29" s="70"/>
      <c r="H29" s="70"/>
      <c r="I29" s="70"/>
      <c r="J29" s="70"/>
      <c r="K29" s="70"/>
      <c r="L29" s="70"/>
      <c r="M29" s="74"/>
      <c r="N29" s="3"/>
      <c r="O29" s="3"/>
      <c r="P29" s="215" t="s">
        <v>325</v>
      </c>
      <c r="Q29" s="209">
        <f>Database!U6</f>
        <v>641.41</v>
      </c>
      <c r="R29" s="76" t="s">
        <v>43</v>
      </c>
      <c r="S29" s="78">
        <v>0.11</v>
      </c>
      <c r="T29" s="78" t="s">
        <v>43</v>
      </c>
      <c r="U29" s="3"/>
      <c r="V29" s="3"/>
      <c r="W29" s="3"/>
      <c r="X29" s="3"/>
      <c r="Y29" s="3"/>
      <c r="Z29" s="3"/>
    </row>
    <row r="30" spans="1:26" ht="12.75" customHeight="1" x14ac:dyDescent="0.3">
      <c r="A30" s="358" t="s">
        <v>67</v>
      </c>
      <c r="B30" s="324"/>
      <c r="C30" s="324"/>
      <c r="D30" s="324"/>
      <c r="E30" s="70" t="s">
        <v>68</v>
      </c>
      <c r="F30" s="70"/>
      <c r="G30" s="70"/>
      <c r="H30" s="70"/>
      <c r="I30" s="70"/>
      <c r="J30" s="70"/>
      <c r="K30" s="70"/>
      <c r="L30" s="70"/>
      <c r="M30" s="74"/>
      <c r="N30" s="3"/>
      <c r="O30" s="3"/>
      <c r="P30" s="218"/>
      <c r="Q30" s="209">
        <f>Database!U7</f>
        <v>537.54</v>
      </c>
      <c r="R30" s="79" t="s">
        <v>43</v>
      </c>
      <c r="S30" s="125">
        <v>0.11</v>
      </c>
      <c r="T30" s="78" t="s">
        <v>43</v>
      </c>
      <c r="U30" s="3"/>
      <c r="V30" s="3"/>
      <c r="W30" s="3"/>
      <c r="X30" s="3"/>
      <c r="Y30" s="3"/>
      <c r="Z30" s="3"/>
    </row>
    <row r="31" spans="1:26" ht="12.75" customHeight="1" x14ac:dyDescent="0.35">
      <c r="A31" s="80" t="s">
        <v>69</v>
      </c>
      <c r="B31" s="70"/>
      <c r="C31" s="70"/>
      <c r="D31" s="71" t="s">
        <v>58</v>
      </c>
      <c r="E31" s="70" t="s">
        <v>70</v>
      </c>
      <c r="F31" s="3"/>
      <c r="G31" s="9" t="s">
        <v>71</v>
      </c>
      <c r="H31" s="70"/>
      <c r="I31" s="70"/>
      <c r="J31" s="70"/>
      <c r="K31" s="70"/>
      <c r="L31" s="70"/>
      <c r="M31" s="74"/>
      <c r="N31" s="3"/>
      <c r="O31" s="3"/>
      <c r="P31" s="218"/>
      <c r="Q31" s="209">
        <f>Database!U8</f>
        <v>471.66</v>
      </c>
      <c r="R31" s="81" t="s">
        <v>43</v>
      </c>
      <c r="S31" s="125">
        <v>0.11</v>
      </c>
      <c r="T31" s="78" t="s">
        <v>43</v>
      </c>
      <c r="U31" s="3"/>
      <c r="V31" s="3"/>
      <c r="W31" s="3"/>
      <c r="X31" s="3"/>
      <c r="Y31" s="3"/>
      <c r="Z31" s="3"/>
    </row>
    <row r="32" spans="1:26" ht="12.75" customHeight="1" x14ac:dyDescent="0.3">
      <c r="A32" s="80"/>
      <c r="B32" s="70"/>
      <c r="C32" s="70"/>
      <c r="D32" s="71" t="s">
        <v>58</v>
      </c>
      <c r="E32" s="70" t="s">
        <v>72</v>
      </c>
      <c r="F32" s="70"/>
      <c r="G32" s="70"/>
      <c r="H32" s="70"/>
      <c r="I32" s="70"/>
      <c r="J32" s="70"/>
      <c r="K32" s="70"/>
      <c r="L32" s="70"/>
      <c r="M32" s="74"/>
      <c r="N32" s="3"/>
      <c r="O32" s="3"/>
      <c r="P32" s="218"/>
      <c r="Q32" s="209">
        <f>Database!U9</f>
        <v>0</v>
      </c>
      <c r="R32" s="82" t="s">
        <v>43</v>
      </c>
      <c r="S32" s="125">
        <v>0.11</v>
      </c>
      <c r="T32" s="78" t="s">
        <v>43</v>
      </c>
      <c r="U32" s="3"/>
      <c r="V32" s="3"/>
      <c r="W32" s="3"/>
      <c r="X32" s="3"/>
      <c r="Y32" s="3"/>
      <c r="Z32" s="3"/>
    </row>
    <row r="33" spans="1:26" ht="12.75" customHeight="1" x14ac:dyDescent="0.3">
      <c r="A33" s="80"/>
      <c r="B33" s="70"/>
      <c r="C33" s="70"/>
      <c r="D33" s="70"/>
      <c r="E33" s="67" t="s">
        <v>73</v>
      </c>
      <c r="F33" s="70" t="s">
        <v>74</v>
      </c>
      <c r="G33" s="70"/>
      <c r="H33" s="70"/>
      <c r="I33" s="70"/>
      <c r="J33" s="70"/>
      <c r="K33" s="70"/>
      <c r="L33" s="70"/>
      <c r="M33" s="74"/>
      <c r="N33" s="3"/>
      <c r="O33" s="3"/>
      <c r="P33" s="218"/>
      <c r="Q33" s="209">
        <f>Database!U10</f>
        <v>0</v>
      </c>
      <c r="R33" s="82" t="s">
        <v>43</v>
      </c>
      <c r="S33" s="125">
        <v>0.11</v>
      </c>
      <c r="T33" s="78" t="s">
        <v>43</v>
      </c>
      <c r="U33" s="3"/>
      <c r="V33" s="3"/>
      <c r="W33" s="3"/>
      <c r="X33" s="3"/>
      <c r="Y33" s="3"/>
      <c r="Z33" s="3"/>
    </row>
    <row r="34" spans="1:26" ht="12.75" customHeight="1" x14ac:dyDescent="0.3">
      <c r="A34" s="86"/>
      <c r="B34" s="67"/>
      <c r="C34" s="67"/>
      <c r="D34" s="67"/>
      <c r="E34" s="67" t="s">
        <v>75</v>
      </c>
      <c r="F34" s="9" t="s">
        <v>76</v>
      </c>
      <c r="G34" s="70"/>
      <c r="H34" s="70"/>
      <c r="I34" s="70"/>
      <c r="J34" s="70"/>
      <c r="K34" s="70"/>
      <c r="L34" s="70"/>
      <c r="M34" s="74"/>
      <c r="N34" s="3"/>
      <c r="O34" s="3"/>
      <c r="P34" s="267"/>
      <c r="Q34" s="209">
        <f>Database!U11</f>
        <v>448.76</v>
      </c>
      <c r="R34" s="82" t="s">
        <v>43</v>
      </c>
      <c r="S34" s="125">
        <v>0.11</v>
      </c>
      <c r="T34" s="78" t="s">
        <v>43</v>
      </c>
      <c r="U34" s="3"/>
      <c r="V34" s="3"/>
      <c r="W34" s="3"/>
      <c r="X34" s="3"/>
      <c r="Y34" s="3"/>
      <c r="Z34" s="3"/>
    </row>
    <row r="35" spans="1:26" ht="12.75" customHeight="1" x14ac:dyDescent="0.3">
      <c r="A35" s="86"/>
      <c r="B35" s="67"/>
      <c r="C35" s="67"/>
      <c r="D35" s="67"/>
      <c r="E35" s="67" t="s">
        <v>77</v>
      </c>
      <c r="F35" s="9" t="s">
        <v>78</v>
      </c>
      <c r="G35" s="70"/>
      <c r="H35" s="70"/>
      <c r="I35" s="70"/>
      <c r="J35" s="70"/>
      <c r="K35" s="70"/>
      <c r="L35" s="70"/>
      <c r="M35" s="74"/>
      <c r="N35" s="3"/>
      <c r="O35" s="3"/>
      <c r="P35" s="267"/>
      <c r="Q35" s="209">
        <f>Database!U12</f>
        <v>417.78</v>
      </c>
      <c r="R35" s="82" t="s">
        <v>43</v>
      </c>
      <c r="S35" s="125">
        <v>0.11</v>
      </c>
      <c r="T35" s="78" t="s">
        <v>43</v>
      </c>
      <c r="U35" s="3"/>
      <c r="V35" s="3"/>
      <c r="W35" s="3"/>
      <c r="X35" s="3"/>
      <c r="Y35" s="3"/>
      <c r="Z35" s="3"/>
    </row>
    <row r="36" spans="1:26" ht="12.75" customHeight="1" x14ac:dyDescent="0.3">
      <c r="A36" s="86"/>
      <c r="B36" s="67"/>
      <c r="C36" s="67"/>
      <c r="D36" s="67"/>
      <c r="E36" s="67" t="s">
        <v>79</v>
      </c>
      <c r="F36" s="9" t="s">
        <v>80</v>
      </c>
      <c r="G36" s="70"/>
      <c r="H36" s="70"/>
      <c r="I36" s="70"/>
      <c r="J36" s="70"/>
      <c r="K36" s="70"/>
      <c r="L36" s="70"/>
      <c r="M36" s="74"/>
      <c r="N36" s="3"/>
      <c r="O36" s="3"/>
      <c r="P36" s="267"/>
      <c r="Q36" s="209">
        <f>Database!U13</f>
        <v>360.89</v>
      </c>
      <c r="R36" s="82" t="s">
        <v>43</v>
      </c>
      <c r="S36" s="125">
        <v>0.11</v>
      </c>
      <c r="T36" s="78" t="s">
        <v>43</v>
      </c>
      <c r="U36" s="3"/>
      <c r="V36" s="3"/>
      <c r="W36" s="3"/>
      <c r="X36" s="3"/>
      <c r="Y36" s="3"/>
      <c r="Z36" s="3"/>
    </row>
    <row r="37" spans="1:26" ht="12.75" customHeight="1" x14ac:dyDescent="0.3">
      <c r="A37" s="86"/>
      <c r="B37" s="67"/>
      <c r="C37" s="67"/>
      <c r="D37" s="67"/>
      <c r="E37" s="70"/>
      <c r="F37" s="9"/>
      <c r="G37" s="70"/>
      <c r="H37" s="70"/>
      <c r="I37" s="70"/>
      <c r="J37" s="70"/>
      <c r="K37" s="70"/>
      <c r="L37" s="70"/>
      <c r="M37" s="74"/>
      <c r="N37" s="3"/>
      <c r="O37" s="3"/>
      <c r="P37" s="267"/>
      <c r="Q37" s="209">
        <f>Database!U14</f>
        <v>333.93</v>
      </c>
      <c r="R37" s="82" t="s">
        <v>43</v>
      </c>
      <c r="S37" s="125">
        <v>0.11</v>
      </c>
      <c r="T37" s="78" t="s">
        <v>43</v>
      </c>
      <c r="U37" s="3"/>
      <c r="V37" s="3"/>
      <c r="W37" s="3"/>
      <c r="X37" s="3"/>
      <c r="Y37" s="3"/>
      <c r="Z37" s="3"/>
    </row>
    <row r="38" spans="1:26" ht="12.75" customHeight="1" x14ac:dyDescent="0.3">
      <c r="A38" s="80" t="s">
        <v>48</v>
      </c>
      <c r="B38" s="3"/>
      <c r="C38" s="3"/>
      <c r="D38" s="88" t="str">
        <f>A$2</f>
        <v>DG</v>
      </c>
      <c r="E38" s="89"/>
      <c r="F38" s="90"/>
      <c r="G38" s="91"/>
      <c r="H38" s="69"/>
      <c r="I38" s="69"/>
      <c r="J38" s="69"/>
      <c r="K38" s="69"/>
      <c r="L38" s="69"/>
      <c r="M38" s="92" t="s">
        <v>64</v>
      </c>
      <c r="N38" s="3"/>
      <c r="O38" s="3"/>
      <c r="P38" s="267"/>
      <c r="Q38" s="209">
        <f>Database!U15</f>
        <v>288.33999999999997</v>
      </c>
      <c r="R38" s="84" t="s">
        <v>43</v>
      </c>
      <c r="S38" s="125">
        <v>0.11</v>
      </c>
      <c r="T38" s="78" t="s">
        <v>43</v>
      </c>
      <c r="U38" s="3"/>
      <c r="V38" s="3"/>
      <c r="W38" s="3"/>
      <c r="X38" s="3"/>
      <c r="Y38" s="3"/>
      <c r="Z38" s="3"/>
    </row>
    <row r="39" spans="1:26" ht="12.75" customHeight="1" x14ac:dyDescent="0.3">
      <c r="A39" s="94" t="s">
        <v>81</v>
      </c>
      <c r="B39" s="95"/>
      <c r="C39" s="95"/>
      <c r="D39" s="96">
        <f>B2</f>
        <v>747.61</v>
      </c>
      <c r="E39" s="97" t="s">
        <v>43</v>
      </c>
      <c r="F39" s="98"/>
      <c r="G39" s="99"/>
      <c r="H39" s="100">
        <f>Data!$I$9</f>
        <v>1</v>
      </c>
      <c r="I39" s="101"/>
      <c r="J39" s="101"/>
      <c r="K39" s="101"/>
      <c r="L39" s="101"/>
      <c r="M39" s="85"/>
      <c r="N39" s="3"/>
      <c r="O39" s="3"/>
      <c r="P39" s="267"/>
      <c r="Q39" s="209">
        <f>Database!U16</f>
        <v>278.32</v>
      </c>
      <c r="R39" s="84" t="s">
        <v>43</v>
      </c>
      <c r="S39" s="125">
        <v>0.11</v>
      </c>
      <c r="T39" s="78" t="s">
        <v>43</v>
      </c>
      <c r="U39" s="3"/>
      <c r="V39" s="3"/>
      <c r="W39" s="3"/>
      <c r="X39" s="3"/>
      <c r="Y39" s="3"/>
      <c r="Z39" s="3"/>
    </row>
    <row r="40" spans="1:26" ht="12.75" customHeight="1" x14ac:dyDescent="0.3">
      <c r="A40" s="102" t="s">
        <v>82</v>
      </c>
      <c r="B40" s="102" t="s">
        <v>83</v>
      </c>
      <c r="C40" s="102" t="s">
        <v>15</v>
      </c>
      <c r="D40" s="102" t="s">
        <v>84</v>
      </c>
      <c r="E40" s="102" t="s">
        <v>85</v>
      </c>
      <c r="F40" s="103" t="s">
        <v>86</v>
      </c>
      <c r="G40" s="102" t="s">
        <v>87</v>
      </c>
      <c r="H40" s="102" t="s">
        <v>88</v>
      </c>
      <c r="I40" s="102" t="s">
        <v>89</v>
      </c>
      <c r="J40" s="102" t="s">
        <v>90</v>
      </c>
      <c r="K40" s="102" t="s">
        <v>91</v>
      </c>
      <c r="L40" s="102" t="s">
        <v>92</v>
      </c>
      <c r="M40" s="102" t="s">
        <v>93</v>
      </c>
      <c r="N40" s="3"/>
      <c r="O40" s="3"/>
      <c r="P40" s="267"/>
      <c r="Q40" s="209">
        <f>Database!U17</f>
        <v>260.60000000000002</v>
      </c>
      <c r="R40" s="84" t="s">
        <v>43</v>
      </c>
      <c r="S40" s="125">
        <v>0.11</v>
      </c>
      <c r="T40" s="78" t="s">
        <v>43</v>
      </c>
      <c r="U40" s="3"/>
      <c r="V40" s="3"/>
      <c r="W40" s="3"/>
      <c r="X40" s="3"/>
      <c r="Y40" s="3"/>
      <c r="Z40" s="3"/>
    </row>
    <row r="41" spans="1:26" ht="12.75" customHeight="1" x14ac:dyDescent="0.3">
      <c r="A41" s="104" t="s">
        <v>94</v>
      </c>
      <c r="B41" s="105" t="s">
        <v>95</v>
      </c>
      <c r="C41" s="105" t="s">
        <v>96</v>
      </c>
      <c r="D41" s="106" t="str">
        <f>E39</f>
        <v>nm</v>
      </c>
      <c r="E41" s="105" t="s">
        <v>97</v>
      </c>
      <c r="F41" s="105">
        <f>STDEV(Data!F30:J30)</f>
        <v>0</v>
      </c>
      <c r="G41" s="105">
        <f>SQRT(5)</f>
        <v>2.2360679774997898</v>
      </c>
      <c r="H41" s="105">
        <f>5-1</f>
        <v>4</v>
      </c>
      <c r="I41" s="105">
        <f t="shared" ref="I41:I44" si="0">(F41)/G41</f>
        <v>0</v>
      </c>
      <c r="J41" s="105">
        <v>1</v>
      </c>
      <c r="K41" s="105">
        <f t="shared" ref="K41:K44" si="1">I41*J41</f>
        <v>0</v>
      </c>
      <c r="L41" s="105">
        <f t="shared" ref="L41:L44" si="2">K41^2</f>
        <v>0</v>
      </c>
      <c r="M41" s="105">
        <f t="shared" ref="M41:M44" si="3">(K41^4)/H41</f>
        <v>0</v>
      </c>
      <c r="N41" s="3"/>
      <c r="O41" s="3"/>
      <c r="P41" s="267"/>
      <c r="Q41" s="209">
        <f>Database!U18</f>
        <v>241.18</v>
      </c>
      <c r="R41" s="84" t="s">
        <v>43</v>
      </c>
      <c r="S41" s="125">
        <v>0.11</v>
      </c>
      <c r="T41" s="78" t="s">
        <v>43</v>
      </c>
      <c r="U41" s="3"/>
      <c r="V41" s="3"/>
      <c r="W41" s="3"/>
      <c r="X41" s="3"/>
      <c r="Y41" s="3"/>
      <c r="Z41" s="3"/>
    </row>
    <row r="42" spans="1:26" ht="12.75" customHeight="1" x14ac:dyDescent="0.3">
      <c r="A42" s="104" t="s">
        <v>98</v>
      </c>
      <c r="B42" s="105" t="s">
        <v>99</v>
      </c>
      <c r="C42" s="105" t="s">
        <v>100</v>
      </c>
      <c r="D42" s="106" t="str">
        <f>D41</f>
        <v>nm</v>
      </c>
      <c r="E42" s="105" t="s">
        <v>101</v>
      </c>
      <c r="F42" s="105">
        <f>H39/2</f>
        <v>0.5</v>
      </c>
      <c r="G42" s="105">
        <f>SQRT(3)</f>
        <v>1.7320508075688772</v>
      </c>
      <c r="H42" s="105">
        <v>50</v>
      </c>
      <c r="I42" s="105">
        <f t="shared" si="0"/>
        <v>0.28867513459481292</v>
      </c>
      <c r="J42" s="105">
        <v>1</v>
      </c>
      <c r="K42" s="105">
        <f t="shared" si="1"/>
        <v>0.28867513459481292</v>
      </c>
      <c r="L42" s="105">
        <f t="shared" si="2"/>
        <v>8.3333333333333356E-2</v>
      </c>
      <c r="M42" s="105">
        <f t="shared" si="3"/>
        <v>1.3888888888888897E-4</v>
      </c>
      <c r="N42" s="3"/>
      <c r="O42" s="3"/>
      <c r="P42" s="268"/>
      <c r="Q42" s="209">
        <f>Database!U19</f>
        <v>0</v>
      </c>
      <c r="R42" s="84" t="s">
        <v>43</v>
      </c>
      <c r="S42" s="269">
        <v>0.11</v>
      </c>
      <c r="T42" s="270" t="s">
        <v>43</v>
      </c>
      <c r="U42" s="3"/>
      <c r="V42" s="3"/>
      <c r="W42" s="3"/>
      <c r="X42" s="3"/>
      <c r="Y42" s="3"/>
      <c r="Z42" s="3"/>
    </row>
    <row r="43" spans="1:26" ht="12.75" customHeight="1" x14ac:dyDescent="0.3">
      <c r="A43" s="104" t="s">
        <v>102</v>
      </c>
      <c r="B43" s="105" t="s">
        <v>103</v>
      </c>
      <c r="C43" s="105" t="s">
        <v>100</v>
      </c>
      <c r="D43" s="106" t="str">
        <f>D41</f>
        <v>nm</v>
      </c>
      <c r="E43" s="105" t="s">
        <v>97</v>
      </c>
      <c r="F43" s="107">
        <f>IF(D38="DG",VLOOKUP(D39,$Q$46:$T$56,3,FALSE),IF(D38="HG",VLOOKUP(D39,$Q$29:$T$42,3,FALSE),0))</f>
        <v>0.11</v>
      </c>
      <c r="G43" s="105">
        <v>2</v>
      </c>
      <c r="H43" s="105">
        <v>60</v>
      </c>
      <c r="I43" s="105">
        <f t="shared" si="0"/>
        <v>5.5E-2</v>
      </c>
      <c r="J43" s="105">
        <v>1</v>
      </c>
      <c r="K43" s="105">
        <f t="shared" si="1"/>
        <v>5.5E-2</v>
      </c>
      <c r="L43" s="105">
        <f t="shared" si="2"/>
        <v>3.0249999999999999E-3</v>
      </c>
      <c r="M43" s="105">
        <f t="shared" si="3"/>
        <v>1.5251041666666666E-7</v>
      </c>
      <c r="N43" s="3"/>
      <c r="O43" s="3"/>
      <c r="U43" s="3"/>
      <c r="V43" s="3"/>
      <c r="W43" s="3"/>
      <c r="X43" s="3"/>
      <c r="Y43" s="3"/>
      <c r="Z43" s="3"/>
    </row>
    <row r="44" spans="1:26" ht="12.75" customHeight="1" x14ac:dyDescent="0.3">
      <c r="A44" s="104" t="s">
        <v>104</v>
      </c>
      <c r="B44" s="105" t="s">
        <v>105</v>
      </c>
      <c r="C44" s="105" t="s">
        <v>100</v>
      </c>
      <c r="D44" s="106" t="str">
        <f>D41</f>
        <v>nm</v>
      </c>
      <c r="E44" s="105" t="s">
        <v>101</v>
      </c>
      <c r="F44" s="107">
        <v>0</v>
      </c>
      <c r="G44" s="105">
        <f>SQRT(3)</f>
        <v>1.7320508075688772</v>
      </c>
      <c r="H44" s="105">
        <v>50</v>
      </c>
      <c r="I44" s="105">
        <f t="shared" si="0"/>
        <v>0</v>
      </c>
      <c r="J44" s="105">
        <v>1</v>
      </c>
      <c r="K44" s="105">
        <f t="shared" si="1"/>
        <v>0</v>
      </c>
      <c r="L44" s="105">
        <f t="shared" si="2"/>
        <v>0</v>
      </c>
      <c r="M44" s="105">
        <f t="shared" si="3"/>
        <v>0</v>
      </c>
      <c r="N44" s="3"/>
      <c r="O44" s="3"/>
      <c r="P44" s="3"/>
      <c r="Q44" s="3"/>
      <c r="R44" s="3"/>
      <c r="S44" s="3"/>
      <c r="T44" s="3"/>
      <c r="U44" s="3"/>
    </row>
    <row r="45" spans="1:26" ht="12.75" customHeight="1" x14ac:dyDescent="0.3">
      <c r="A45" s="108"/>
      <c r="B45" s="108"/>
      <c r="C45" s="108"/>
      <c r="D45" s="104"/>
      <c r="E45" s="104"/>
      <c r="F45" s="104"/>
      <c r="G45" s="104"/>
      <c r="H45" s="104"/>
      <c r="I45" s="104"/>
      <c r="J45" s="104"/>
      <c r="K45" s="104"/>
      <c r="L45" s="105"/>
      <c r="M45" s="104"/>
      <c r="N45" s="3"/>
      <c r="O45" s="3"/>
      <c r="P45" s="73" t="s">
        <v>48</v>
      </c>
      <c r="Q45" s="290" t="s">
        <v>64</v>
      </c>
      <c r="R45" s="286"/>
      <c r="S45" s="291" t="s">
        <v>298</v>
      </c>
      <c r="T45" s="292"/>
      <c r="U45" s="3"/>
    </row>
    <row r="46" spans="1:26" ht="12.75" customHeight="1" x14ac:dyDescent="0.3">
      <c r="A46" s="354" t="s">
        <v>106</v>
      </c>
      <c r="B46" s="336"/>
      <c r="C46" s="336"/>
      <c r="D46" s="336"/>
      <c r="E46" s="336"/>
      <c r="F46" s="336"/>
      <c r="G46" s="336"/>
      <c r="H46" s="336"/>
      <c r="I46" s="336"/>
      <c r="J46" s="345"/>
      <c r="K46" s="355">
        <f>SUM(L41:L45)</f>
        <v>8.6358333333333356E-2</v>
      </c>
      <c r="L46" s="345"/>
      <c r="M46" s="104">
        <f>SUM(M41:M45)</f>
        <v>1.3904139930555565E-4</v>
      </c>
      <c r="N46" s="3"/>
      <c r="O46" s="3"/>
      <c r="P46" s="215" t="s">
        <v>346</v>
      </c>
      <c r="Q46" s="209" cm="1">
        <f t="array" ref="Q46:Q56">Database!U26:U36</f>
        <v>879.68</v>
      </c>
      <c r="R46" s="76" t="s">
        <v>43</v>
      </c>
      <c r="S46" s="78">
        <v>0.11</v>
      </c>
      <c r="T46" s="78" t="s">
        <v>43</v>
      </c>
      <c r="U46" s="3"/>
    </row>
    <row r="47" spans="1:26" ht="12.75" customHeight="1" x14ac:dyDescent="0.3">
      <c r="A47" s="354" t="s">
        <v>107</v>
      </c>
      <c r="B47" s="336"/>
      <c r="C47" s="336"/>
      <c r="D47" s="336"/>
      <c r="E47" s="336"/>
      <c r="F47" s="336"/>
      <c r="G47" s="336"/>
      <c r="H47" s="336"/>
      <c r="I47" s="336"/>
      <c r="J47" s="345"/>
      <c r="K47" s="355">
        <f>SQRT(K46)</f>
        <v>0.29386788414750831</v>
      </c>
      <c r="L47" s="345"/>
      <c r="M47" s="104"/>
      <c r="N47" s="3"/>
      <c r="O47" s="3"/>
      <c r="P47" s="218"/>
      <c r="Q47" s="209">
        <v>807.04</v>
      </c>
      <c r="R47" s="79" t="s">
        <v>43</v>
      </c>
      <c r="S47" s="125">
        <v>0.11</v>
      </c>
      <c r="T47" s="78" t="s">
        <v>43</v>
      </c>
      <c r="U47" s="3"/>
    </row>
    <row r="48" spans="1:26" ht="12.75" customHeight="1" x14ac:dyDescent="0.3">
      <c r="A48" s="354" t="s">
        <v>108</v>
      </c>
      <c r="B48" s="336"/>
      <c r="C48" s="336"/>
      <c r="D48" s="336"/>
      <c r="E48" s="336"/>
      <c r="F48" s="336"/>
      <c r="G48" s="336"/>
      <c r="H48" s="336"/>
      <c r="I48" s="336"/>
      <c r="J48" s="345"/>
      <c r="K48" s="109">
        <f>(K47^4)/M46</f>
        <v>53.636987065428144</v>
      </c>
      <c r="L48" s="110"/>
      <c r="M48" s="104"/>
      <c r="N48" s="3"/>
      <c r="O48" s="3"/>
      <c r="P48" s="218"/>
      <c r="Q48" s="209">
        <v>747.61</v>
      </c>
      <c r="R48" s="81" t="s">
        <v>43</v>
      </c>
      <c r="S48" s="125">
        <v>0.11</v>
      </c>
      <c r="T48" s="78" t="s">
        <v>43</v>
      </c>
      <c r="U48" s="3"/>
    </row>
    <row r="49" spans="1:26" ht="12.75" customHeight="1" x14ac:dyDescent="0.3">
      <c r="A49" s="354" t="s">
        <v>109</v>
      </c>
      <c r="B49" s="336"/>
      <c r="C49" s="336"/>
      <c r="D49" s="336"/>
      <c r="E49" s="336"/>
      <c r="F49" s="336"/>
      <c r="G49" s="336"/>
      <c r="H49" s="336"/>
      <c r="I49" s="336"/>
      <c r="J49" s="345"/>
      <c r="K49" s="109">
        <f>1.95996+2.37356/K48+2.818745/K48^2+2.546662/K48^3+1.761829/K48^4+0.245458/K48^5+1.000764/K48^6</f>
        <v>2.0052087927937725</v>
      </c>
      <c r="L49" s="110"/>
      <c r="M49" s="104"/>
      <c r="N49" s="3"/>
      <c r="O49" s="3"/>
      <c r="P49" s="218"/>
      <c r="Q49" s="209">
        <v>740.51</v>
      </c>
      <c r="R49" s="82" t="s">
        <v>43</v>
      </c>
      <c r="S49" s="125">
        <v>0.11</v>
      </c>
      <c r="T49" s="78" t="s">
        <v>43</v>
      </c>
      <c r="U49" s="3"/>
      <c r="V49" s="3"/>
      <c r="W49" s="3"/>
      <c r="X49" s="3"/>
      <c r="Y49" s="3"/>
      <c r="Z49" s="3"/>
    </row>
    <row r="50" spans="1:26" ht="12.75" customHeight="1" x14ac:dyDescent="0.3">
      <c r="A50" s="354" t="s">
        <v>110</v>
      </c>
      <c r="B50" s="336"/>
      <c r="C50" s="336"/>
      <c r="D50" s="336"/>
      <c r="E50" s="336"/>
      <c r="F50" s="336"/>
      <c r="G50" s="336"/>
      <c r="H50" s="336"/>
      <c r="I50" s="336"/>
      <c r="J50" s="345"/>
      <c r="K50" s="168">
        <f>K49*K47</f>
        <v>0.58926646521228532</v>
      </c>
      <c r="L50" s="111"/>
      <c r="M50" s="104"/>
      <c r="N50" s="3"/>
      <c r="O50" s="3"/>
      <c r="P50" s="218"/>
      <c r="Q50" s="209">
        <v>684.7</v>
      </c>
      <c r="R50" s="82" t="s">
        <v>43</v>
      </c>
      <c r="S50" s="125">
        <v>0.11</v>
      </c>
      <c r="T50" s="78" t="s">
        <v>43</v>
      </c>
      <c r="U50" s="3"/>
      <c r="V50" s="3"/>
      <c r="W50" s="3"/>
      <c r="X50" s="3"/>
      <c r="Y50" s="3"/>
      <c r="Z50" s="3"/>
    </row>
    <row r="51" spans="1:26" ht="12.75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267"/>
      <c r="Q51" s="209">
        <v>585.55999999999995</v>
      </c>
      <c r="R51" s="82" t="s">
        <v>43</v>
      </c>
      <c r="S51" s="125">
        <v>0.11</v>
      </c>
      <c r="T51" s="78" t="s">
        <v>43</v>
      </c>
      <c r="U51" s="3"/>
      <c r="V51" s="3"/>
      <c r="W51" s="3"/>
      <c r="X51" s="3"/>
      <c r="Y51" s="3"/>
      <c r="Z51" s="3"/>
    </row>
    <row r="52" spans="1:26" ht="12.75" customHeight="1" x14ac:dyDescent="0.3">
      <c r="A52" s="80" t="s">
        <v>48</v>
      </c>
      <c r="B52" s="3"/>
      <c r="C52" s="3"/>
      <c r="D52" s="88" t="str">
        <f>A$3</f>
        <v>DG</v>
      </c>
      <c r="E52" s="112"/>
      <c r="F52" s="90"/>
      <c r="G52" s="91"/>
      <c r="H52" s="69"/>
      <c r="I52" s="69"/>
      <c r="J52" s="69"/>
      <c r="K52" s="69"/>
      <c r="L52" s="69"/>
      <c r="M52" s="92" t="str">
        <f>M$38</f>
        <v>Wavelength</v>
      </c>
      <c r="N52" s="3"/>
      <c r="O52" s="3"/>
      <c r="P52" s="267"/>
      <c r="Q52" s="209">
        <v>575.1</v>
      </c>
      <c r="R52" s="82" t="s">
        <v>43</v>
      </c>
      <c r="S52" s="125">
        <v>0.11</v>
      </c>
      <c r="T52" s="78" t="s">
        <v>43</v>
      </c>
      <c r="U52" s="3"/>
      <c r="V52" s="3"/>
      <c r="W52" s="3"/>
      <c r="X52" s="3"/>
      <c r="Y52" s="3"/>
      <c r="Z52" s="3"/>
    </row>
    <row r="53" spans="1:26" ht="12.75" customHeight="1" x14ac:dyDescent="0.3">
      <c r="A53" s="94" t="s">
        <v>81</v>
      </c>
      <c r="B53" s="95"/>
      <c r="C53" s="95"/>
      <c r="D53" s="96">
        <f>B3</f>
        <v>740.51</v>
      </c>
      <c r="E53" s="89" t="s">
        <v>43</v>
      </c>
      <c r="F53" s="98"/>
      <c r="G53" s="113"/>
      <c r="H53" s="100">
        <f>Data!$I$9</f>
        <v>1</v>
      </c>
      <c r="I53" s="101"/>
      <c r="J53" s="101"/>
      <c r="K53" s="101"/>
      <c r="L53" s="101"/>
      <c r="M53" s="85"/>
      <c r="N53" s="3"/>
      <c r="O53" s="3"/>
      <c r="P53" s="267"/>
      <c r="Q53" s="209">
        <v>528.59</v>
      </c>
      <c r="R53" s="82" t="s">
        <v>43</v>
      </c>
      <c r="S53" s="125">
        <v>0.11</v>
      </c>
      <c r="T53" s="78" t="s">
        <v>43</v>
      </c>
      <c r="U53" s="3"/>
      <c r="V53" s="3"/>
      <c r="W53" s="3"/>
      <c r="X53" s="3"/>
      <c r="Y53" s="3"/>
      <c r="Z53" s="3"/>
    </row>
    <row r="54" spans="1:26" ht="12.75" customHeight="1" x14ac:dyDescent="0.3">
      <c r="A54" s="102" t="s">
        <v>82</v>
      </c>
      <c r="B54" s="102" t="s">
        <v>83</v>
      </c>
      <c r="C54" s="102" t="s">
        <v>15</v>
      </c>
      <c r="D54" s="102" t="s">
        <v>84</v>
      </c>
      <c r="E54" s="102" t="s">
        <v>85</v>
      </c>
      <c r="F54" s="103" t="s">
        <v>86</v>
      </c>
      <c r="G54" s="102" t="s">
        <v>87</v>
      </c>
      <c r="H54" s="102" t="s">
        <v>88</v>
      </c>
      <c r="I54" s="102" t="s">
        <v>89</v>
      </c>
      <c r="J54" s="102" t="s">
        <v>90</v>
      </c>
      <c r="K54" s="102" t="s">
        <v>91</v>
      </c>
      <c r="L54" s="102" t="s">
        <v>111</v>
      </c>
      <c r="M54" s="102" t="s">
        <v>112</v>
      </c>
      <c r="N54" s="3"/>
      <c r="O54" s="3"/>
      <c r="P54" s="267"/>
      <c r="Q54" s="209">
        <v>513.75</v>
      </c>
      <c r="R54" s="82" t="s">
        <v>43</v>
      </c>
      <c r="S54" s="125">
        <v>0.11</v>
      </c>
      <c r="T54" s="78" t="s">
        <v>43</v>
      </c>
      <c r="U54" s="3"/>
      <c r="V54" s="3"/>
      <c r="W54" s="3"/>
      <c r="X54" s="3"/>
      <c r="Y54" s="3"/>
      <c r="Z54" s="3"/>
    </row>
    <row r="55" spans="1:26" ht="12.75" customHeight="1" x14ac:dyDescent="0.3">
      <c r="A55" s="104" t="s">
        <v>94</v>
      </c>
      <c r="B55" s="105" t="s">
        <v>113</v>
      </c>
      <c r="C55" s="105" t="s">
        <v>96</v>
      </c>
      <c r="D55" s="106" t="str">
        <f>E53</f>
        <v>nm</v>
      </c>
      <c r="E55" s="105" t="s">
        <v>97</v>
      </c>
      <c r="F55" s="105">
        <f>STDEV(Data!F31:J31)</f>
        <v>0</v>
      </c>
      <c r="G55" s="105">
        <f>SQRT(5)</f>
        <v>2.2360679774997898</v>
      </c>
      <c r="H55" s="105">
        <f>5-1</f>
        <v>4</v>
      </c>
      <c r="I55" s="105">
        <f t="shared" ref="I55:I58" si="4">(F55)/G55</f>
        <v>0</v>
      </c>
      <c r="J55" s="105">
        <v>1</v>
      </c>
      <c r="K55" s="105">
        <f t="shared" ref="K55:K58" si="5">I55*J55</f>
        <v>0</v>
      </c>
      <c r="L55" s="105">
        <f t="shared" ref="L55:L58" si="6">K55^2</f>
        <v>0</v>
      </c>
      <c r="M55" s="105">
        <f t="shared" ref="M55:M58" si="7">(K55^4)/H55</f>
        <v>0</v>
      </c>
      <c r="N55" s="3"/>
      <c r="O55" s="3"/>
      <c r="P55" s="267"/>
      <c r="Q55" s="209">
        <v>479.88</v>
      </c>
      <c r="R55" s="84" t="s">
        <v>43</v>
      </c>
      <c r="S55" s="125">
        <v>0.11</v>
      </c>
      <c r="T55" s="78" t="s">
        <v>43</v>
      </c>
      <c r="U55" s="3"/>
      <c r="V55" s="3"/>
      <c r="W55" s="3"/>
      <c r="X55" s="3"/>
      <c r="Y55" s="3"/>
      <c r="Z55" s="3"/>
    </row>
    <row r="56" spans="1:26" ht="12.75" customHeight="1" x14ac:dyDescent="0.3">
      <c r="A56" s="104" t="s">
        <v>98</v>
      </c>
      <c r="B56" s="105" t="s">
        <v>114</v>
      </c>
      <c r="C56" s="105" t="s">
        <v>100</v>
      </c>
      <c r="D56" s="106" t="str">
        <f>D55</f>
        <v>nm</v>
      </c>
      <c r="E56" s="105" t="s">
        <v>101</v>
      </c>
      <c r="F56" s="105">
        <f>H53/2</f>
        <v>0.5</v>
      </c>
      <c r="G56" s="105">
        <f>SQRT(3)</f>
        <v>1.7320508075688772</v>
      </c>
      <c r="H56" s="105">
        <v>50</v>
      </c>
      <c r="I56" s="105">
        <f t="shared" si="4"/>
        <v>0.28867513459481292</v>
      </c>
      <c r="J56" s="105">
        <v>1</v>
      </c>
      <c r="K56" s="105">
        <f t="shared" si="5"/>
        <v>0.28867513459481292</v>
      </c>
      <c r="L56" s="105">
        <f t="shared" si="6"/>
        <v>8.3333333333333356E-2</v>
      </c>
      <c r="M56" s="105">
        <f t="shared" si="7"/>
        <v>1.3888888888888897E-4</v>
      </c>
      <c r="N56" s="3"/>
      <c r="O56" s="3"/>
      <c r="P56" s="268"/>
      <c r="Q56" s="209">
        <v>441.29</v>
      </c>
      <c r="R56" s="289" t="s">
        <v>43</v>
      </c>
      <c r="S56" s="269">
        <v>0.11</v>
      </c>
      <c r="T56" s="270" t="s">
        <v>43</v>
      </c>
      <c r="U56" s="3"/>
      <c r="V56" s="3"/>
      <c r="W56" s="3"/>
      <c r="X56" s="3"/>
      <c r="Y56" s="3"/>
      <c r="Z56" s="3"/>
    </row>
    <row r="57" spans="1:26" ht="12.75" customHeight="1" x14ac:dyDescent="0.3">
      <c r="A57" s="104" t="s">
        <v>102</v>
      </c>
      <c r="B57" s="105" t="s">
        <v>115</v>
      </c>
      <c r="C57" s="105" t="s">
        <v>100</v>
      </c>
      <c r="D57" s="106" t="str">
        <f>D55</f>
        <v>nm</v>
      </c>
      <c r="E57" s="105" t="s">
        <v>97</v>
      </c>
      <c r="F57" s="107">
        <f>IF(D52="DG",VLOOKUP(D53,$Q$46:$T$56,3,FALSE),IF(D52="HG",VLOOKUP(D53,$Q$29:$T$42,3,FALSE),0))</f>
        <v>0.11</v>
      </c>
      <c r="G57" s="105">
        <v>2</v>
      </c>
      <c r="H57" s="105">
        <v>60</v>
      </c>
      <c r="I57" s="105">
        <f t="shared" si="4"/>
        <v>5.5E-2</v>
      </c>
      <c r="J57" s="105">
        <v>1</v>
      </c>
      <c r="K57" s="105">
        <f t="shared" si="5"/>
        <v>5.5E-2</v>
      </c>
      <c r="L57" s="105">
        <f t="shared" si="6"/>
        <v>3.0249999999999999E-3</v>
      </c>
      <c r="M57" s="105">
        <f t="shared" si="7"/>
        <v>1.5251041666666666E-7</v>
      </c>
      <c r="N57" s="3"/>
      <c r="O57" s="3"/>
      <c r="P57" s="3"/>
      <c r="Q57" s="3"/>
      <c r="R57" s="3"/>
      <c r="S57" s="3"/>
      <c r="T57" s="3"/>
      <c r="U57" s="3"/>
    </row>
    <row r="58" spans="1:26" ht="12.75" customHeight="1" x14ac:dyDescent="0.3">
      <c r="A58" s="104" t="s">
        <v>104</v>
      </c>
      <c r="B58" s="105" t="s">
        <v>116</v>
      </c>
      <c r="C58" s="105" t="s">
        <v>100</v>
      </c>
      <c r="D58" s="106" t="str">
        <f>D55</f>
        <v>nm</v>
      </c>
      <c r="E58" s="105" t="s">
        <v>101</v>
      </c>
      <c r="F58" s="107">
        <v>0</v>
      </c>
      <c r="G58" s="105">
        <f>SQRT(3)</f>
        <v>1.7320508075688772</v>
      </c>
      <c r="H58" s="105">
        <v>50</v>
      </c>
      <c r="I58" s="105">
        <f t="shared" si="4"/>
        <v>0</v>
      </c>
      <c r="J58" s="105">
        <v>1</v>
      </c>
      <c r="K58" s="105">
        <f t="shared" si="5"/>
        <v>0</v>
      </c>
      <c r="L58" s="105">
        <f t="shared" si="6"/>
        <v>0</v>
      </c>
      <c r="M58" s="105">
        <f t="shared" si="7"/>
        <v>0</v>
      </c>
      <c r="N58" s="3"/>
      <c r="O58" s="3"/>
      <c r="P58" s="3"/>
      <c r="Q58" s="3"/>
      <c r="R58" s="3"/>
      <c r="S58" s="3"/>
      <c r="T58" s="3"/>
      <c r="U58" s="3"/>
    </row>
    <row r="59" spans="1:26" ht="12.75" customHeight="1" x14ac:dyDescent="0.3">
      <c r="A59" s="108"/>
      <c r="B59" s="108"/>
      <c r="C59" s="108"/>
      <c r="D59" s="104"/>
      <c r="E59" s="104"/>
      <c r="F59" s="104"/>
      <c r="G59" s="104"/>
      <c r="H59" s="104"/>
      <c r="I59" s="104"/>
      <c r="J59" s="104"/>
      <c r="K59" s="104"/>
      <c r="L59" s="105"/>
      <c r="M59" s="104"/>
      <c r="N59" s="3"/>
      <c r="O59" s="3"/>
      <c r="P59" s="3"/>
      <c r="Q59" s="3"/>
      <c r="R59" s="3"/>
      <c r="S59" s="3"/>
      <c r="T59" s="3"/>
      <c r="U59" s="3"/>
    </row>
    <row r="60" spans="1:26" ht="12.75" customHeight="1" x14ac:dyDescent="0.3">
      <c r="A60" s="354" t="s">
        <v>106</v>
      </c>
      <c r="B60" s="336"/>
      <c r="C60" s="336"/>
      <c r="D60" s="336"/>
      <c r="E60" s="336"/>
      <c r="F60" s="336"/>
      <c r="G60" s="336"/>
      <c r="H60" s="336"/>
      <c r="I60" s="336"/>
      <c r="J60" s="345"/>
      <c r="K60" s="355">
        <f>SUM(L55:L59)</f>
        <v>8.6358333333333356E-2</v>
      </c>
      <c r="L60" s="345"/>
      <c r="M60" s="104">
        <f>SUM(M55:M59)</f>
        <v>1.3904139930555565E-4</v>
      </c>
      <c r="N60" s="3"/>
      <c r="O60" s="3"/>
      <c r="P60" s="3"/>
      <c r="Q60" s="65"/>
      <c r="R60" s="65"/>
      <c r="S60" s="3"/>
      <c r="T60" s="3"/>
      <c r="U60" s="3"/>
      <c r="V60" s="3"/>
      <c r="W60" s="3"/>
      <c r="X60" s="3"/>
      <c r="Y60" s="3"/>
      <c r="Z60" s="3"/>
    </row>
    <row r="61" spans="1:26" ht="12.75" customHeight="1" x14ac:dyDescent="0.3">
      <c r="A61" s="354" t="s">
        <v>107</v>
      </c>
      <c r="B61" s="336"/>
      <c r="C61" s="336"/>
      <c r="D61" s="336"/>
      <c r="E61" s="336"/>
      <c r="F61" s="336"/>
      <c r="G61" s="336"/>
      <c r="H61" s="336"/>
      <c r="I61" s="336"/>
      <c r="J61" s="345"/>
      <c r="K61" s="355">
        <f>SQRT(K60)</f>
        <v>0.29386788414750831</v>
      </c>
      <c r="L61" s="345"/>
      <c r="M61" s="104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 x14ac:dyDescent="0.3">
      <c r="A62" s="354" t="s">
        <v>117</v>
      </c>
      <c r="B62" s="336"/>
      <c r="C62" s="336"/>
      <c r="D62" s="336"/>
      <c r="E62" s="336"/>
      <c r="F62" s="336"/>
      <c r="G62" s="336"/>
      <c r="H62" s="336"/>
      <c r="I62" s="336"/>
      <c r="J62" s="345"/>
      <c r="K62" s="109">
        <f>(K61^4)/M60</f>
        <v>53.636987065428144</v>
      </c>
      <c r="L62" s="110"/>
      <c r="M62" s="104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 x14ac:dyDescent="0.3">
      <c r="A63" s="354" t="s">
        <v>118</v>
      </c>
      <c r="B63" s="336"/>
      <c r="C63" s="336"/>
      <c r="D63" s="336"/>
      <c r="E63" s="336"/>
      <c r="F63" s="336"/>
      <c r="G63" s="336"/>
      <c r="H63" s="336"/>
      <c r="I63" s="336"/>
      <c r="J63" s="345"/>
      <c r="K63" s="109">
        <f>1.95996+2.37356/K62+2.818745/K62^2+2.546662/K62^3+1.761829/K62^4+0.245458/K62^5+1.000764/K62^6</f>
        <v>2.0052087927937725</v>
      </c>
      <c r="L63" s="110"/>
      <c r="M63" s="104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 x14ac:dyDescent="0.3">
      <c r="A64" s="354" t="s">
        <v>110</v>
      </c>
      <c r="B64" s="336"/>
      <c r="C64" s="336"/>
      <c r="D64" s="336"/>
      <c r="E64" s="336"/>
      <c r="F64" s="336"/>
      <c r="G64" s="336"/>
      <c r="H64" s="336"/>
      <c r="I64" s="336"/>
      <c r="J64" s="345"/>
      <c r="K64" s="109">
        <f>K63*K61</f>
        <v>0.58926646521228532</v>
      </c>
      <c r="L64" s="111"/>
      <c r="M64" s="104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 x14ac:dyDescent="0.3">
      <c r="A66" s="80" t="s">
        <v>48</v>
      </c>
      <c r="B66" s="3"/>
      <c r="C66" s="3"/>
      <c r="D66" s="88" t="str">
        <f>A$4</f>
        <v>DG</v>
      </c>
      <c r="E66" s="112"/>
      <c r="F66" s="90"/>
      <c r="G66" s="91"/>
      <c r="H66" s="69"/>
      <c r="I66" s="69"/>
      <c r="J66" s="69"/>
      <c r="K66" s="69"/>
      <c r="L66" s="69"/>
      <c r="M66" s="92" t="str">
        <f>M$38</f>
        <v>Wavelength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 x14ac:dyDescent="0.3">
      <c r="A67" s="94" t="s">
        <v>81</v>
      </c>
      <c r="B67" s="95"/>
      <c r="C67" s="95"/>
      <c r="D67" s="96">
        <f>B4</f>
        <v>684.7</v>
      </c>
      <c r="E67" s="89" t="s">
        <v>43</v>
      </c>
      <c r="F67" s="114"/>
      <c r="G67" s="114"/>
      <c r="H67" s="100">
        <f>Data!$I$9</f>
        <v>1</v>
      </c>
      <c r="I67" s="101"/>
      <c r="J67" s="101"/>
      <c r="K67" s="101"/>
      <c r="L67" s="101"/>
      <c r="M67" s="85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 x14ac:dyDescent="0.3">
      <c r="A68" s="102" t="s">
        <v>82</v>
      </c>
      <c r="B68" s="102" t="s">
        <v>83</v>
      </c>
      <c r="C68" s="102" t="s">
        <v>15</v>
      </c>
      <c r="D68" s="102" t="s">
        <v>84</v>
      </c>
      <c r="E68" s="102" t="s">
        <v>85</v>
      </c>
      <c r="F68" s="103" t="s">
        <v>86</v>
      </c>
      <c r="G68" s="102" t="s">
        <v>87</v>
      </c>
      <c r="H68" s="102" t="s">
        <v>88</v>
      </c>
      <c r="I68" s="102" t="s">
        <v>89</v>
      </c>
      <c r="J68" s="102" t="s">
        <v>90</v>
      </c>
      <c r="K68" s="102" t="s">
        <v>91</v>
      </c>
      <c r="L68" s="102" t="s">
        <v>119</v>
      </c>
      <c r="M68" s="102" t="s">
        <v>120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 x14ac:dyDescent="0.3">
      <c r="A69" s="104" t="s">
        <v>94</v>
      </c>
      <c r="B69" s="105" t="s">
        <v>121</v>
      </c>
      <c r="C69" s="105" t="s">
        <v>96</v>
      </c>
      <c r="D69" s="106" t="str">
        <f>E67</f>
        <v>nm</v>
      </c>
      <c r="E69" s="105" t="s">
        <v>97</v>
      </c>
      <c r="F69" s="105">
        <f>STDEV(Data!F32:J32)</f>
        <v>0</v>
      </c>
      <c r="G69" s="105">
        <f>SQRT(5)</f>
        <v>2.2360679774997898</v>
      </c>
      <c r="H69" s="105">
        <f>5-1</f>
        <v>4</v>
      </c>
      <c r="I69" s="105">
        <f t="shared" ref="I69:I72" si="8">(F69)/G69</f>
        <v>0</v>
      </c>
      <c r="J69" s="105">
        <v>1</v>
      </c>
      <c r="K69" s="105">
        <f t="shared" ref="K69:K72" si="9">I69*J69</f>
        <v>0</v>
      </c>
      <c r="L69" s="105">
        <f t="shared" ref="L69:L72" si="10">K69^2</f>
        <v>0</v>
      </c>
      <c r="M69" s="105">
        <f t="shared" ref="M69:M72" si="11">(K69^4)/H69</f>
        <v>0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 x14ac:dyDescent="0.3">
      <c r="A70" s="104" t="s">
        <v>98</v>
      </c>
      <c r="B70" s="105" t="s">
        <v>122</v>
      </c>
      <c r="C70" s="105" t="s">
        <v>100</v>
      </c>
      <c r="D70" s="106" t="str">
        <f>D69</f>
        <v>nm</v>
      </c>
      <c r="E70" s="105" t="s">
        <v>101</v>
      </c>
      <c r="F70" s="105">
        <f>H67/2</f>
        <v>0.5</v>
      </c>
      <c r="G70" s="105">
        <f>SQRT(3)</f>
        <v>1.7320508075688772</v>
      </c>
      <c r="H70" s="105">
        <v>50</v>
      </c>
      <c r="I70" s="105">
        <f t="shared" si="8"/>
        <v>0.28867513459481292</v>
      </c>
      <c r="J70" s="105">
        <v>1</v>
      </c>
      <c r="K70" s="105">
        <f t="shared" si="9"/>
        <v>0.28867513459481292</v>
      </c>
      <c r="L70" s="105">
        <f t="shared" si="10"/>
        <v>8.3333333333333356E-2</v>
      </c>
      <c r="M70" s="105">
        <f t="shared" si="11"/>
        <v>1.3888888888888897E-4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 x14ac:dyDescent="0.3">
      <c r="A71" s="104" t="s">
        <v>102</v>
      </c>
      <c r="B71" s="105" t="s">
        <v>123</v>
      </c>
      <c r="C71" s="105" t="s">
        <v>100</v>
      </c>
      <c r="D71" s="106" t="str">
        <f>D69</f>
        <v>nm</v>
      </c>
      <c r="E71" s="105" t="s">
        <v>97</v>
      </c>
      <c r="F71" s="107">
        <f>IF(D66="DG",VLOOKUP(D67,$Q$46:$T$56,3,FALSE),IF(D66="HG",VLOOKUP(D67,$Q$29:$T$42,3,FALSE),0))</f>
        <v>0.11</v>
      </c>
      <c r="G71" s="105">
        <v>2</v>
      </c>
      <c r="H71" s="105">
        <v>60</v>
      </c>
      <c r="I71" s="105">
        <f t="shared" si="8"/>
        <v>5.5E-2</v>
      </c>
      <c r="J71" s="105">
        <v>1</v>
      </c>
      <c r="K71" s="105">
        <f t="shared" si="9"/>
        <v>5.5E-2</v>
      </c>
      <c r="L71" s="105">
        <f t="shared" si="10"/>
        <v>3.0249999999999999E-3</v>
      </c>
      <c r="M71" s="105">
        <f t="shared" si="11"/>
        <v>1.5251041666666666E-7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 x14ac:dyDescent="0.3">
      <c r="A72" s="104" t="s">
        <v>104</v>
      </c>
      <c r="B72" s="105" t="s">
        <v>124</v>
      </c>
      <c r="C72" s="105" t="s">
        <v>100</v>
      </c>
      <c r="D72" s="106" t="str">
        <f>D69</f>
        <v>nm</v>
      </c>
      <c r="E72" s="105" t="s">
        <v>101</v>
      </c>
      <c r="F72" s="107">
        <v>0</v>
      </c>
      <c r="G72" s="105">
        <f>SQRT(3)</f>
        <v>1.7320508075688772</v>
      </c>
      <c r="H72" s="105">
        <v>50</v>
      </c>
      <c r="I72" s="105">
        <f t="shared" si="8"/>
        <v>0</v>
      </c>
      <c r="J72" s="105">
        <v>1</v>
      </c>
      <c r="K72" s="105">
        <f t="shared" si="9"/>
        <v>0</v>
      </c>
      <c r="L72" s="105">
        <f t="shared" si="10"/>
        <v>0</v>
      </c>
      <c r="M72" s="105">
        <f t="shared" si="11"/>
        <v>0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 x14ac:dyDescent="0.3">
      <c r="A73" s="108"/>
      <c r="B73" s="108"/>
      <c r="C73" s="108"/>
      <c r="D73" s="104"/>
      <c r="E73" s="104"/>
      <c r="F73" s="104"/>
      <c r="G73" s="104"/>
      <c r="H73" s="104"/>
      <c r="I73" s="104"/>
      <c r="J73" s="104"/>
      <c r="K73" s="104"/>
      <c r="L73" s="105"/>
      <c r="M73" s="104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 x14ac:dyDescent="0.3">
      <c r="A74" s="354" t="s">
        <v>106</v>
      </c>
      <c r="B74" s="336"/>
      <c r="C74" s="336"/>
      <c r="D74" s="336"/>
      <c r="E74" s="336"/>
      <c r="F74" s="336"/>
      <c r="G74" s="336"/>
      <c r="H74" s="336"/>
      <c r="I74" s="336"/>
      <c r="J74" s="345"/>
      <c r="K74" s="355">
        <f>SUM(L69:L73)</f>
        <v>8.6358333333333356E-2</v>
      </c>
      <c r="L74" s="345"/>
      <c r="M74" s="104">
        <f>SUM(M69:M73)</f>
        <v>1.3904139930555565E-4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 x14ac:dyDescent="0.3">
      <c r="A75" s="354" t="s">
        <v>107</v>
      </c>
      <c r="B75" s="336"/>
      <c r="C75" s="336"/>
      <c r="D75" s="336"/>
      <c r="E75" s="336"/>
      <c r="F75" s="336"/>
      <c r="G75" s="336"/>
      <c r="H75" s="336"/>
      <c r="I75" s="336"/>
      <c r="J75" s="345"/>
      <c r="K75" s="355">
        <f>SQRT(K74)</f>
        <v>0.29386788414750831</v>
      </c>
      <c r="L75" s="345"/>
      <c r="M75" s="104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 x14ac:dyDescent="0.3">
      <c r="A76" s="354" t="s">
        <v>125</v>
      </c>
      <c r="B76" s="336"/>
      <c r="C76" s="336"/>
      <c r="D76" s="336"/>
      <c r="E76" s="336"/>
      <c r="F76" s="336"/>
      <c r="G76" s="336"/>
      <c r="H76" s="336"/>
      <c r="I76" s="336"/>
      <c r="J76" s="345"/>
      <c r="K76" s="109">
        <f>(K75^4)/M74</f>
        <v>53.636987065428144</v>
      </c>
      <c r="L76" s="110"/>
      <c r="M76" s="104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 x14ac:dyDescent="0.3">
      <c r="A77" s="354" t="s">
        <v>126</v>
      </c>
      <c r="B77" s="336"/>
      <c r="C77" s="336"/>
      <c r="D77" s="336"/>
      <c r="E77" s="336"/>
      <c r="F77" s="336"/>
      <c r="G77" s="336"/>
      <c r="H77" s="336"/>
      <c r="I77" s="336"/>
      <c r="J77" s="345"/>
      <c r="K77" s="109">
        <f>1.95996+2.37356/K76+2.818745/K76^2+2.546662/K76^3+1.761829/K76^4+0.245458/K76^5+1.000764/K76^6</f>
        <v>2.0052087927937725</v>
      </c>
      <c r="L77" s="110"/>
      <c r="M77" s="104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 x14ac:dyDescent="0.3">
      <c r="A78" s="354" t="s">
        <v>110</v>
      </c>
      <c r="B78" s="336"/>
      <c r="C78" s="336"/>
      <c r="D78" s="336"/>
      <c r="E78" s="336"/>
      <c r="F78" s="336"/>
      <c r="G78" s="336"/>
      <c r="H78" s="336"/>
      <c r="I78" s="336"/>
      <c r="J78" s="345"/>
      <c r="K78" s="109">
        <f>K77*K75</f>
        <v>0.58926646521228532</v>
      </c>
      <c r="L78" s="111"/>
      <c r="M78" s="104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 x14ac:dyDescent="0.3">
      <c r="A80" s="80" t="s">
        <v>48</v>
      </c>
      <c r="B80" s="3"/>
      <c r="C80" s="3"/>
      <c r="D80" s="88" t="str">
        <f>A$5</f>
        <v>HG</v>
      </c>
      <c r="E80" s="3"/>
      <c r="F80" s="90"/>
      <c r="G80" s="91"/>
      <c r="H80" s="69"/>
      <c r="I80" s="69"/>
      <c r="J80" s="69"/>
      <c r="K80" s="69"/>
      <c r="L80" s="69"/>
      <c r="M80" s="92" t="str">
        <f>M$38</f>
        <v>Wavelength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 x14ac:dyDescent="0.3">
      <c r="A81" s="94" t="s">
        <v>81</v>
      </c>
      <c r="B81" s="95"/>
      <c r="C81" s="95"/>
      <c r="D81" s="96">
        <f>B5</f>
        <v>641.41</v>
      </c>
      <c r="E81" s="89" t="s">
        <v>43</v>
      </c>
      <c r="F81" s="114"/>
      <c r="G81" s="115"/>
      <c r="H81" s="100">
        <f>Data!$I$9</f>
        <v>1</v>
      </c>
      <c r="I81" s="101"/>
      <c r="J81" s="101"/>
      <c r="K81" s="101"/>
      <c r="L81" s="101"/>
      <c r="M81" s="85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 x14ac:dyDescent="0.3">
      <c r="A82" s="102" t="s">
        <v>82</v>
      </c>
      <c r="B82" s="102" t="s">
        <v>83</v>
      </c>
      <c r="C82" s="102" t="s">
        <v>15</v>
      </c>
      <c r="D82" s="102" t="s">
        <v>84</v>
      </c>
      <c r="E82" s="102" t="s">
        <v>85</v>
      </c>
      <c r="F82" s="103" t="s">
        <v>86</v>
      </c>
      <c r="G82" s="102" t="s">
        <v>87</v>
      </c>
      <c r="H82" s="102" t="s">
        <v>88</v>
      </c>
      <c r="I82" s="102" t="s">
        <v>89</v>
      </c>
      <c r="J82" s="102" t="s">
        <v>90</v>
      </c>
      <c r="K82" s="102" t="s">
        <v>91</v>
      </c>
      <c r="L82" s="102" t="s">
        <v>127</v>
      </c>
      <c r="M82" s="102" t="s">
        <v>128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 x14ac:dyDescent="0.3">
      <c r="A83" s="104" t="s">
        <v>94</v>
      </c>
      <c r="B83" s="105" t="s">
        <v>129</v>
      </c>
      <c r="C83" s="105" t="s">
        <v>96</v>
      </c>
      <c r="D83" s="106" t="str">
        <f>E81</f>
        <v>nm</v>
      </c>
      <c r="E83" s="105" t="s">
        <v>97</v>
      </c>
      <c r="F83" s="105">
        <f>STDEV(Data!F33:J33)</f>
        <v>0</v>
      </c>
      <c r="G83" s="105">
        <f>SQRT(5)</f>
        <v>2.2360679774997898</v>
      </c>
      <c r="H83" s="105">
        <f>5-1</f>
        <v>4</v>
      </c>
      <c r="I83" s="105">
        <f t="shared" ref="I83:I86" si="12">(F83)/G83</f>
        <v>0</v>
      </c>
      <c r="J83" s="105">
        <v>1</v>
      </c>
      <c r="K83" s="105">
        <f t="shared" ref="K83:K86" si="13">I83*J83</f>
        <v>0</v>
      </c>
      <c r="L83" s="105">
        <f t="shared" ref="L83:L86" si="14">K83^2</f>
        <v>0</v>
      </c>
      <c r="M83" s="105">
        <f t="shared" ref="M83:M86" si="15">(K83^4)/H83</f>
        <v>0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 x14ac:dyDescent="0.3">
      <c r="A84" s="104" t="s">
        <v>98</v>
      </c>
      <c r="B84" s="105" t="s">
        <v>130</v>
      </c>
      <c r="C84" s="105" t="s">
        <v>100</v>
      </c>
      <c r="D84" s="106" t="str">
        <f>D83</f>
        <v>nm</v>
      </c>
      <c r="E84" s="105" t="s">
        <v>101</v>
      </c>
      <c r="F84" s="105">
        <f>H81/2</f>
        <v>0.5</v>
      </c>
      <c r="G84" s="105">
        <f>SQRT(3)</f>
        <v>1.7320508075688772</v>
      </c>
      <c r="H84" s="105">
        <v>50</v>
      </c>
      <c r="I84" s="105">
        <f t="shared" si="12"/>
        <v>0.28867513459481292</v>
      </c>
      <c r="J84" s="105">
        <v>1</v>
      </c>
      <c r="K84" s="105">
        <f t="shared" si="13"/>
        <v>0.28867513459481292</v>
      </c>
      <c r="L84" s="105">
        <f t="shared" si="14"/>
        <v>8.3333333333333356E-2</v>
      </c>
      <c r="M84" s="105">
        <f t="shared" si="15"/>
        <v>1.3888888888888897E-4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 x14ac:dyDescent="0.3">
      <c r="A85" s="104" t="s">
        <v>102</v>
      </c>
      <c r="B85" s="105" t="s">
        <v>131</v>
      </c>
      <c r="C85" s="105" t="s">
        <v>100</v>
      </c>
      <c r="D85" s="106" t="str">
        <f>D83</f>
        <v>nm</v>
      </c>
      <c r="E85" s="105" t="s">
        <v>97</v>
      </c>
      <c r="F85" s="107">
        <f>IF(D80="DG",VLOOKUP(D81,$Q$46:$T$56,3,FALSE),IF(D80="HG",VLOOKUP(D81,$Q$29:$T$42,3,FALSE),0))</f>
        <v>0.11</v>
      </c>
      <c r="G85" s="105">
        <v>2</v>
      </c>
      <c r="H85" s="105">
        <v>60</v>
      </c>
      <c r="I85" s="105">
        <f t="shared" si="12"/>
        <v>5.5E-2</v>
      </c>
      <c r="J85" s="105">
        <v>1</v>
      </c>
      <c r="K85" s="105">
        <f t="shared" si="13"/>
        <v>5.5E-2</v>
      </c>
      <c r="L85" s="105">
        <f t="shared" si="14"/>
        <v>3.0249999999999999E-3</v>
      </c>
      <c r="M85" s="105">
        <f t="shared" si="15"/>
        <v>1.5251041666666666E-7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 x14ac:dyDescent="0.3">
      <c r="A86" s="104" t="s">
        <v>104</v>
      </c>
      <c r="B86" s="105" t="s">
        <v>132</v>
      </c>
      <c r="C86" s="105" t="s">
        <v>100</v>
      </c>
      <c r="D86" s="106" t="str">
        <f>D83</f>
        <v>nm</v>
      </c>
      <c r="E86" s="105" t="s">
        <v>101</v>
      </c>
      <c r="F86" s="107">
        <v>0</v>
      </c>
      <c r="G86" s="105">
        <f>SQRT(3)</f>
        <v>1.7320508075688772</v>
      </c>
      <c r="H86" s="105">
        <v>50</v>
      </c>
      <c r="I86" s="105">
        <f t="shared" si="12"/>
        <v>0</v>
      </c>
      <c r="J86" s="105">
        <v>1</v>
      </c>
      <c r="K86" s="105">
        <f t="shared" si="13"/>
        <v>0</v>
      </c>
      <c r="L86" s="105">
        <f t="shared" si="14"/>
        <v>0</v>
      </c>
      <c r="M86" s="105">
        <f t="shared" si="15"/>
        <v>0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 x14ac:dyDescent="0.3">
      <c r="A87" s="108"/>
      <c r="B87" s="108"/>
      <c r="C87" s="108"/>
      <c r="D87" s="104"/>
      <c r="E87" s="104"/>
      <c r="F87" s="104"/>
      <c r="G87" s="104"/>
      <c r="H87" s="104"/>
      <c r="I87" s="104"/>
      <c r="J87" s="104"/>
      <c r="K87" s="104"/>
      <c r="L87" s="105"/>
      <c r="M87" s="104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 x14ac:dyDescent="0.3">
      <c r="A88" s="354" t="s">
        <v>106</v>
      </c>
      <c r="B88" s="336"/>
      <c r="C88" s="336"/>
      <c r="D88" s="336"/>
      <c r="E88" s="336"/>
      <c r="F88" s="336"/>
      <c r="G88" s="336"/>
      <c r="H88" s="336"/>
      <c r="I88" s="336"/>
      <c r="J88" s="345"/>
      <c r="K88" s="355">
        <f>SUM(L83:L87)</f>
        <v>8.6358333333333356E-2</v>
      </c>
      <c r="L88" s="345"/>
      <c r="M88" s="104">
        <f>SUM(M83:M87)</f>
        <v>1.3904139930555565E-4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 x14ac:dyDescent="0.3">
      <c r="A89" s="354" t="s">
        <v>107</v>
      </c>
      <c r="B89" s="336"/>
      <c r="C89" s="336"/>
      <c r="D89" s="336"/>
      <c r="E89" s="336"/>
      <c r="F89" s="336"/>
      <c r="G89" s="336"/>
      <c r="H89" s="336"/>
      <c r="I89" s="336"/>
      <c r="J89" s="345"/>
      <c r="K89" s="355">
        <f>SQRT(K88)</f>
        <v>0.29386788414750831</v>
      </c>
      <c r="L89" s="345"/>
      <c r="M89" s="104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 x14ac:dyDescent="0.3">
      <c r="A90" s="354" t="s">
        <v>133</v>
      </c>
      <c r="B90" s="336"/>
      <c r="C90" s="336"/>
      <c r="D90" s="336"/>
      <c r="E90" s="336"/>
      <c r="F90" s="336"/>
      <c r="G90" s="336"/>
      <c r="H90" s="336"/>
      <c r="I90" s="336"/>
      <c r="J90" s="345"/>
      <c r="K90" s="109">
        <f>(K89^4)/M88</f>
        <v>53.636987065428144</v>
      </c>
      <c r="L90" s="110"/>
      <c r="M90" s="104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 x14ac:dyDescent="0.3">
      <c r="A91" s="354" t="s">
        <v>134</v>
      </c>
      <c r="B91" s="336"/>
      <c r="C91" s="336"/>
      <c r="D91" s="336"/>
      <c r="E91" s="336"/>
      <c r="F91" s="336"/>
      <c r="G91" s="336"/>
      <c r="H91" s="336"/>
      <c r="I91" s="336"/>
      <c r="J91" s="345"/>
      <c r="K91" s="109">
        <f>1.95996+2.37356/K90+2.818745/K90^2+2.546662/K90^3+1.761829/K90^4+0.245458/K90^5+1.000764/K90^6</f>
        <v>2.0052087927937725</v>
      </c>
      <c r="L91" s="110"/>
      <c r="M91" s="104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 x14ac:dyDescent="0.3">
      <c r="A92" s="354" t="s">
        <v>110</v>
      </c>
      <c r="B92" s="336"/>
      <c r="C92" s="336"/>
      <c r="D92" s="336"/>
      <c r="E92" s="336"/>
      <c r="F92" s="336"/>
      <c r="G92" s="336"/>
      <c r="H92" s="336"/>
      <c r="I92" s="336"/>
      <c r="J92" s="345"/>
      <c r="K92" s="109">
        <f>K91*K89</f>
        <v>0.58926646521228532</v>
      </c>
      <c r="L92" s="111"/>
      <c r="M92" s="104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 x14ac:dyDescent="0.3">
      <c r="A94" s="80" t="s">
        <v>48</v>
      </c>
      <c r="B94" s="3"/>
      <c r="C94" s="3"/>
      <c r="D94" s="88" t="str">
        <f>A$6</f>
        <v>HG</v>
      </c>
      <c r="E94" s="3"/>
      <c r="F94" s="90"/>
      <c r="G94" s="91"/>
      <c r="H94" s="69"/>
      <c r="I94" s="69"/>
      <c r="J94" s="69"/>
      <c r="K94" s="69"/>
      <c r="L94" s="69"/>
      <c r="M94" s="92" t="str">
        <f>M$38</f>
        <v>Wavelength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 x14ac:dyDescent="0.3">
      <c r="A95" s="94" t="s">
        <v>81</v>
      </c>
      <c r="B95" s="95"/>
      <c r="C95" s="95"/>
      <c r="D95" s="96">
        <f>B6</f>
        <v>537.54</v>
      </c>
      <c r="E95" s="89" t="s">
        <v>43</v>
      </c>
      <c r="F95" s="116"/>
      <c r="G95" s="93"/>
      <c r="H95" s="100">
        <f>Data!$I$9</f>
        <v>1</v>
      </c>
      <c r="I95" s="101"/>
      <c r="J95" s="101"/>
      <c r="K95" s="101"/>
      <c r="L95" s="101"/>
      <c r="M95" s="85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 x14ac:dyDescent="0.3">
      <c r="A96" s="102" t="s">
        <v>82</v>
      </c>
      <c r="B96" s="102" t="s">
        <v>83</v>
      </c>
      <c r="C96" s="102" t="s">
        <v>15</v>
      </c>
      <c r="D96" s="102" t="s">
        <v>84</v>
      </c>
      <c r="E96" s="102" t="s">
        <v>85</v>
      </c>
      <c r="F96" s="103" t="s">
        <v>86</v>
      </c>
      <c r="G96" s="102" t="s">
        <v>87</v>
      </c>
      <c r="H96" s="102" t="s">
        <v>88</v>
      </c>
      <c r="I96" s="102" t="s">
        <v>89</v>
      </c>
      <c r="J96" s="102" t="s">
        <v>90</v>
      </c>
      <c r="K96" s="102" t="s">
        <v>91</v>
      </c>
      <c r="L96" s="102" t="s">
        <v>135</v>
      </c>
      <c r="M96" s="102" t="s">
        <v>136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 x14ac:dyDescent="0.3">
      <c r="A97" s="104" t="s">
        <v>94</v>
      </c>
      <c r="B97" s="105" t="s">
        <v>137</v>
      </c>
      <c r="C97" s="105" t="s">
        <v>96</v>
      </c>
      <c r="D97" s="106" t="str">
        <f>E95</f>
        <v>nm</v>
      </c>
      <c r="E97" s="105" t="s">
        <v>97</v>
      </c>
      <c r="F97" s="105">
        <f>STDEV(Data!F34:J34)</f>
        <v>0</v>
      </c>
      <c r="G97" s="105">
        <f>SQRT(5)</f>
        <v>2.2360679774997898</v>
      </c>
      <c r="H97" s="105">
        <f>5-1</f>
        <v>4</v>
      </c>
      <c r="I97" s="105">
        <f t="shared" ref="I97:I100" si="16">(F97)/G97</f>
        <v>0</v>
      </c>
      <c r="J97" s="105">
        <v>1</v>
      </c>
      <c r="K97" s="105">
        <f t="shared" ref="K97:K100" si="17">I97*J97</f>
        <v>0</v>
      </c>
      <c r="L97" s="105">
        <f t="shared" ref="L97:L100" si="18">K97^2</f>
        <v>0</v>
      </c>
      <c r="M97" s="105">
        <f t="shared" ref="M97:M100" si="19">(K97^4)/H97</f>
        <v>0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 x14ac:dyDescent="0.3">
      <c r="A98" s="104" t="s">
        <v>98</v>
      </c>
      <c r="B98" s="105" t="s">
        <v>138</v>
      </c>
      <c r="C98" s="105" t="s">
        <v>100</v>
      </c>
      <c r="D98" s="106" t="str">
        <f>D97</f>
        <v>nm</v>
      </c>
      <c r="E98" s="105" t="s">
        <v>101</v>
      </c>
      <c r="F98" s="105">
        <f>H95/2</f>
        <v>0.5</v>
      </c>
      <c r="G98" s="105">
        <f>SQRT(3)</f>
        <v>1.7320508075688772</v>
      </c>
      <c r="H98" s="105">
        <v>50</v>
      </c>
      <c r="I98" s="105">
        <f t="shared" si="16"/>
        <v>0.28867513459481292</v>
      </c>
      <c r="J98" s="105">
        <v>1</v>
      </c>
      <c r="K98" s="105">
        <f t="shared" si="17"/>
        <v>0.28867513459481292</v>
      </c>
      <c r="L98" s="105">
        <f t="shared" si="18"/>
        <v>8.3333333333333356E-2</v>
      </c>
      <c r="M98" s="105">
        <f t="shared" si="19"/>
        <v>1.3888888888888897E-4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 x14ac:dyDescent="0.3">
      <c r="A99" s="104" t="s">
        <v>102</v>
      </c>
      <c r="B99" s="105" t="s">
        <v>139</v>
      </c>
      <c r="C99" s="105" t="s">
        <v>100</v>
      </c>
      <c r="D99" s="106" t="str">
        <f>D97</f>
        <v>nm</v>
      </c>
      <c r="E99" s="105" t="s">
        <v>97</v>
      </c>
      <c r="F99" s="107">
        <f>IF(D94="DG",VLOOKUP(D95,$Q$46:$T$56,3,FALSE),IF(D94="HG",VLOOKUP(D95,$Q$29:$T$42,3,FALSE),0))</f>
        <v>0.11</v>
      </c>
      <c r="G99" s="105">
        <v>2</v>
      </c>
      <c r="H99" s="105">
        <v>60</v>
      </c>
      <c r="I99" s="105">
        <f t="shared" si="16"/>
        <v>5.5E-2</v>
      </c>
      <c r="J99" s="105">
        <v>1</v>
      </c>
      <c r="K99" s="105">
        <f t="shared" si="17"/>
        <v>5.5E-2</v>
      </c>
      <c r="L99" s="105">
        <f t="shared" si="18"/>
        <v>3.0249999999999999E-3</v>
      </c>
      <c r="M99" s="105">
        <f t="shared" si="19"/>
        <v>1.5251041666666666E-7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 x14ac:dyDescent="0.3">
      <c r="A100" s="104" t="s">
        <v>104</v>
      </c>
      <c r="B100" s="105" t="s">
        <v>140</v>
      </c>
      <c r="C100" s="105" t="s">
        <v>100</v>
      </c>
      <c r="D100" s="106" t="str">
        <f>D97</f>
        <v>nm</v>
      </c>
      <c r="E100" s="105" t="s">
        <v>101</v>
      </c>
      <c r="F100" s="107">
        <v>0</v>
      </c>
      <c r="G100" s="105">
        <f>SQRT(3)</f>
        <v>1.7320508075688772</v>
      </c>
      <c r="H100" s="105">
        <v>50</v>
      </c>
      <c r="I100" s="105">
        <f t="shared" si="16"/>
        <v>0</v>
      </c>
      <c r="J100" s="105">
        <v>1</v>
      </c>
      <c r="K100" s="105">
        <f t="shared" si="17"/>
        <v>0</v>
      </c>
      <c r="L100" s="105">
        <f t="shared" si="18"/>
        <v>0</v>
      </c>
      <c r="M100" s="105">
        <f t="shared" si="19"/>
        <v>0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 x14ac:dyDescent="0.3">
      <c r="A101" s="108"/>
      <c r="B101" s="108"/>
      <c r="C101" s="108"/>
      <c r="D101" s="104"/>
      <c r="E101" s="104"/>
      <c r="F101" s="104"/>
      <c r="G101" s="104"/>
      <c r="H101" s="104"/>
      <c r="I101" s="104"/>
      <c r="J101" s="104"/>
      <c r="K101" s="104"/>
      <c r="L101" s="105"/>
      <c r="M101" s="104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 x14ac:dyDescent="0.3">
      <c r="A102" s="354" t="s">
        <v>106</v>
      </c>
      <c r="B102" s="336"/>
      <c r="C102" s="336"/>
      <c r="D102" s="336"/>
      <c r="E102" s="336"/>
      <c r="F102" s="336"/>
      <c r="G102" s="336"/>
      <c r="H102" s="336"/>
      <c r="I102" s="336"/>
      <c r="J102" s="345"/>
      <c r="K102" s="355">
        <f>SUM(L97:L101)</f>
        <v>8.6358333333333356E-2</v>
      </c>
      <c r="L102" s="345"/>
      <c r="M102" s="104">
        <f>SUM(M97:M101)</f>
        <v>1.3904139930555565E-4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 x14ac:dyDescent="0.3">
      <c r="A103" s="354" t="s">
        <v>107</v>
      </c>
      <c r="B103" s="336"/>
      <c r="C103" s="336"/>
      <c r="D103" s="336"/>
      <c r="E103" s="336"/>
      <c r="F103" s="336"/>
      <c r="G103" s="336"/>
      <c r="H103" s="336"/>
      <c r="I103" s="336"/>
      <c r="J103" s="345"/>
      <c r="K103" s="355">
        <f>SQRT(K102)</f>
        <v>0.29386788414750831</v>
      </c>
      <c r="L103" s="345"/>
      <c r="M103" s="104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 x14ac:dyDescent="0.3">
      <c r="A104" s="354" t="s">
        <v>141</v>
      </c>
      <c r="B104" s="336"/>
      <c r="C104" s="336"/>
      <c r="D104" s="336"/>
      <c r="E104" s="336"/>
      <c r="F104" s="336"/>
      <c r="G104" s="336"/>
      <c r="H104" s="336"/>
      <c r="I104" s="336"/>
      <c r="J104" s="345"/>
      <c r="K104" s="109">
        <f>(K103^4)/M102</f>
        <v>53.636987065428144</v>
      </c>
      <c r="L104" s="110"/>
      <c r="M104" s="104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 x14ac:dyDescent="0.3">
      <c r="A105" s="354" t="s">
        <v>142</v>
      </c>
      <c r="B105" s="336"/>
      <c r="C105" s="336"/>
      <c r="D105" s="336"/>
      <c r="E105" s="336"/>
      <c r="F105" s="336"/>
      <c r="G105" s="336"/>
      <c r="H105" s="336"/>
      <c r="I105" s="336"/>
      <c r="J105" s="345"/>
      <c r="K105" s="109">
        <f>1.95996+2.37356/K104+2.818745/K104^2+2.546662/K104^3+1.761829/K104^4+0.245458/K104^5+1.000764/K104^6</f>
        <v>2.0052087927937725</v>
      </c>
      <c r="L105" s="110"/>
      <c r="M105" s="104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 x14ac:dyDescent="0.3">
      <c r="A106" s="354" t="s">
        <v>110</v>
      </c>
      <c r="B106" s="336"/>
      <c r="C106" s="336"/>
      <c r="D106" s="336"/>
      <c r="E106" s="336"/>
      <c r="F106" s="336"/>
      <c r="G106" s="336"/>
      <c r="H106" s="336"/>
      <c r="I106" s="336"/>
      <c r="J106" s="345"/>
      <c r="K106" s="109">
        <f>K105*K103</f>
        <v>0.58926646521228532</v>
      </c>
      <c r="L106" s="111"/>
      <c r="M106" s="104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 x14ac:dyDescent="0.3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 x14ac:dyDescent="0.3">
      <c r="A108" s="80" t="s">
        <v>48</v>
      </c>
      <c r="B108" s="3"/>
      <c r="C108" s="3"/>
      <c r="D108" s="88" t="str">
        <f>A$7</f>
        <v>HG</v>
      </c>
      <c r="E108" s="3"/>
      <c r="F108" s="90"/>
      <c r="G108" s="91"/>
      <c r="H108" s="69"/>
      <c r="I108" s="69"/>
      <c r="J108" s="69"/>
      <c r="K108" s="69"/>
      <c r="L108" s="69"/>
      <c r="M108" s="92" t="str">
        <f>M$38</f>
        <v>Wavelength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 x14ac:dyDescent="0.3">
      <c r="A109" s="94" t="s">
        <v>81</v>
      </c>
      <c r="B109" s="95"/>
      <c r="C109" s="95"/>
      <c r="D109" s="96">
        <f>B7</f>
        <v>471.66</v>
      </c>
      <c r="E109" s="89" t="s">
        <v>43</v>
      </c>
      <c r="F109" s="116"/>
      <c r="G109" s="93"/>
      <c r="H109" s="100">
        <f>Data!$I$9</f>
        <v>1</v>
      </c>
      <c r="I109" s="101"/>
      <c r="J109" s="101"/>
      <c r="K109" s="101"/>
      <c r="L109" s="101"/>
      <c r="M109" s="85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 x14ac:dyDescent="0.3">
      <c r="A110" s="102" t="s">
        <v>82</v>
      </c>
      <c r="B110" s="102" t="s">
        <v>83</v>
      </c>
      <c r="C110" s="102" t="s">
        <v>15</v>
      </c>
      <c r="D110" s="102" t="s">
        <v>84</v>
      </c>
      <c r="E110" s="102" t="s">
        <v>85</v>
      </c>
      <c r="F110" s="103" t="s">
        <v>86</v>
      </c>
      <c r="G110" s="102" t="s">
        <v>87</v>
      </c>
      <c r="H110" s="102" t="s">
        <v>88</v>
      </c>
      <c r="I110" s="102" t="s">
        <v>89</v>
      </c>
      <c r="J110" s="102" t="s">
        <v>90</v>
      </c>
      <c r="K110" s="102" t="s">
        <v>91</v>
      </c>
      <c r="L110" s="102" t="s">
        <v>92</v>
      </c>
      <c r="M110" s="102" t="s">
        <v>93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 x14ac:dyDescent="0.3">
      <c r="A111" s="104" t="s">
        <v>94</v>
      </c>
      <c r="B111" s="105" t="s">
        <v>95</v>
      </c>
      <c r="C111" s="105" t="s">
        <v>96</v>
      </c>
      <c r="D111" s="106" t="str">
        <f>E109</f>
        <v>nm</v>
      </c>
      <c r="E111" s="105" t="s">
        <v>97</v>
      </c>
      <c r="F111" s="105">
        <f>STDEV(Data!F35:J35)</f>
        <v>0</v>
      </c>
      <c r="G111" s="105">
        <f>SQRT(5)</f>
        <v>2.2360679774997898</v>
      </c>
      <c r="H111" s="105">
        <f>5-1</f>
        <v>4</v>
      </c>
      <c r="I111" s="105">
        <f t="shared" ref="I111:I114" si="20">(F111)/G111</f>
        <v>0</v>
      </c>
      <c r="J111" s="105">
        <v>1</v>
      </c>
      <c r="K111" s="105">
        <f t="shared" ref="K111:K114" si="21">I111*J111</f>
        <v>0</v>
      </c>
      <c r="L111" s="105">
        <f t="shared" ref="L111:L114" si="22">K111^2</f>
        <v>0</v>
      </c>
      <c r="M111" s="105">
        <f t="shared" ref="M111:M114" si="23">(K111^4)/H111</f>
        <v>0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 x14ac:dyDescent="0.3">
      <c r="A112" s="104" t="s">
        <v>98</v>
      </c>
      <c r="B112" s="105" t="s">
        <v>99</v>
      </c>
      <c r="C112" s="105" t="s">
        <v>100</v>
      </c>
      <c r="D112" s="106" t="str">
        <f>D111</f>
        <v>nm</v>
      </c>
      <c r="E112" s="105" t="s">
        <v>101</v>
      </c>
      <c r="F112" s="105">
        <f>H109/2</f>
        <v>0.5</v>
      </c>
      <c r="G112" s="105">
        <f>SQRT(3)</f>
        <v>1.7320508075688772</v>
      </c>
      <c r="H112" s="105">
        <v>50</v>
      </c>
      <c r="I112" s="105">
        <f t="shared" si="20"/>
        <v>0.28867513459481292</v>
      </c>
      <c r="J112" s="105">
        <v>1</v>
      </c>
      <c r="K112" s="105">
        <f t="shared" si="21"/>
        <v>0.28867513459481292</v>
      </c>
      <c r="L112" s="105">
        <f t="shared" si="22"/>
        <v>8.3333333333333356E-2</v>
      </c>
      <c r="M112" s="105">
        <f t="shared" si="23"/>
        <v>1.3888888888888897E-4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 x14ac:dyDescent="0.3">
      <c r="A113" s="104" t="s">
        <v>102</v>
      </c>
      <c r="B113" s="105" t="s">
        <v>103</v>
      </c>
      <c r="C113" s="105" t="s">
        <v>100</v>
      </c>
      <c r="D113" s="106" t="str">
        <f>D111</f>
        <v>nm</v>
      </c>
      <c r="E113" s="105" t="s">
        <v>97</v>
      </c>
      <c r="F113" s="107">
        <f>IF(D108="DG",VLOOKUP(D109,$Q$46:$T$56,3,FALSE),IF(D108="HG",VLOOKUP(D109,$Q$29:$T$42,3,FALSE),0))</f>
        <v>0.11</v>
      </c>
      <c r="G113" s="105">
        <v>2</v>
      </c>
      <c r="H113" s="105">
        <v>60</v>
      </c>
      <c r="I113" s="105">
        <f t="shared" si="20"/>
        <v>5.5E-2</v>
      </c>
      <c r="J113" s="105">
        <v>1</v>
      </c>
      <c r="K113" s="105">
        <f t="shared" si="21"/>
        <v>5.5E-2</v>
      </c>
      <c r="L113" s="105">
        <f t="shared" si="22"/>
        <v>3.0249999999999999E-3</v>
      </c>
      <c r="M113" s="105">
        <f t="shared" si="23"/>
        <v>1.5251041666666666E-7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 x14ac:dyDescent="0.3">
      <c r="A114" s="104" t="s">
        <v>104</v>
      </c>
      <c r="B114" s="105" t="s">
        <v>105</v>
      </c>
      <c r="C114" s="105" t="s">
        <v>100</v>
      </c>
      <c r="D114" s="106" t="str">
        <f>D111</f>
        <v>nm</v>
      </c>
      <c r="E114" s="105" t="s">
        <v>101</v>
      </c>
      <c r="F114" s="107">
        <v>0</v>
      </c>
      <c r="G114" s="105">
        <f>SQRT(3)</f>
        <v>1.7320508075688772</v>
      </c>
      <c r="H114" s="105">
        <v>50</v>
      </c>
      <c r="I114" s="105">
        <f t="shared" si="20"/>
        <v>0</v>
      </c>
      <c r="J114" s="105">
        <v>1</v>
      </c>
      <c r="K114" s="105">
        <f t="shared" si="21"/>
        <v>0</v>
      </c>
      <c r="L114" s="105">
        <f t="shared" si="22"/>
        <v>0</v>
      </c>
      <c r="M114" s="105">
        <f t="shared" si="23"/>
        <v>0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 x14ac:dyDescent="0.3">
      <c r="A115" s="108"/>
      <c r="B115" s="108"/>
      <c r="C115" s="108"/>
      <c r="D115" s="104"/>
      <c r="E115" s="104"/>
      <c r="F115" s="104"/>
      <c r="G115" s="104"/>
      <c r="H115" s="104"/>
      <c r="I115" s="104"/>
      <c r="J115" s="104"/>
      <c r="K115" s="104"/>
      <c r="L115" s="105"/>
      <c r="M115" s="104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 x14ac:dyDescent="0.3">
      <c r="A116" s="354" t="s">
        <v>106</v>
      </c>
      <c r="B116" s="336"/>
      <c r="C116" s="336"/>
      <c r="D116" s="336"/>
      <c r="E116" s="336"/>
      <c r="F116" s="336"/>
      <c r="G116" s="336"/>
      <c r="H116" s="336"/>
      <c r="I116" s="336"/>
      <c r="J116" s="345"/>
      <c r="K116" s="355">
        <f>SUM(L111:L115)</f>
        <v>8.6358333333333356E-2</v>
      </c>
      <c r="L116" s="345"/>
      <c r="M116" s="104">
        <f>SUM(M111:M115)</f>
        <v>1.3904139930555565E-4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 x14ac:dyDescent="0.3">
      <c r="A117" s="354" t="s">
        <v>107</v>
      </c>
      <c r="B117" s="336"/>
      <c r="C117" s="336"/>
      <c r="D117" s="336"/>
      <c r="E117" s="336"/>
      <c r="F117" s="336"/>
      <c r="G117" s="336"/>
      <c r="H117" s="336"/>
      <c r="I117" s="336"/>
      <c r="J117" s="345"/>
      <c r="K117" s="355">
        <f>SQRT(K116)</f>
        <v>0.29386788414750831</v>
      </c>
      <c r="L117" s="345"/>
      <c r="M117" s="104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 x14ac:dyDescent="0.3">
      <c r="A118" s="354" t="s">
        <v>108</v>
      </c>
      <c r="B118" s="336"/>
      <c r="C118" s="336"/>
      <c r="D118" s="336"/>
      <c r="E118" s="336"/>
      <c r="F118" s="336"/>
      <c r="G118" s="336"/>
      <c r="H118" s="336"/>
      <c r="I118" s="336"/>
      <c r="J118" s="345"/>
      <c r="K118" s="109">
        <f>(K117^4)/M116</f>
        <v>53.636987065428144</v>
      </c>
      <c r="L118" s="110"/>
      <c r="M118" s="104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 x14ac:dyDescent="0.3">
      <c r="A119" s="354" t="s">
        <v>109</v>
      </c>
      <c r="B119" s="336"/>
      <c r="C119" s="336"/>
      <c r="D119" s="336"/>
      <c r="E119" s="336"/>
      <c r="F119" s="336"/>
      <c r="G119" s="336"/>
      <c r="H119" s="336"/>
      <c r="I119" s="336"/>
      <c r="J119" s="345"/>
      <c r="K119" s="109">
        <f>1.95996+2.37356/K118+2.818745/K118^2+2.546662/K118^3+1.761829/K118^4+0.245458/K118^5+1.000764/K118^6</f>
        <v>2.0052087927937725</v>
      </c>
      <c r="L119" s="110"/>
      <c r="M119" s="104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 x14ac:dyDescent="0.3">
      <c r="A120" s="354" t="s">
        <v>110</v>
      </c>
      <c r="B120" s="336"/>
      <c r="C120" s="336"/>
      <c r="D120" s="336"/>
      <c r="E120" s="336"/>
      <c r="F120" s="336"/>
      <c r="G120" s="336"/>
      <c r="H120" s="336"/>
      <c r="I120" s="336"/>
      <c r="J120" s="345"/>
      <c r="K120" s="109">
        <f>K119*K117</f>
        <v>0.58926646521228532</v>
      </c>
      <c r="L120" s="111"/>
      <c r="M120" s="104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 x14ac:dyDescent="0.3">
      <c r="A121" s="165"/>
      <c r="B121" s="166"/>
      <c r="C121" s="166"/>
      <c r="D121" s="166"/>
      <c r="E121" s="166"/>
      <c r="F121" s="166"/>
      <c r="G121" s="166"/>
      <c r="H121" s="166"/>
      <c r="I121" s="166"/>
      <c r="J121" s="166"/>
      <c r="K121" s="70"/>
      <c r="L121" s="87"/>
      <c r="M121" s="167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 x14ac:dyDescent="0.3">
      <c r="A122" s="80" t="s">
        <v>48</v>
      </c>
      <c r="B122" s="3"/>
      <c r="C122" s="3"/>
      <c r="D122" s="88" t="str">
        <f>A$8</f>
        <v>HG</v>
      </c>
      <c r="E122" s="3"/>
      <c r="F122" s="90"/>
      <c r="G122" s="91"/>
      <c r="H122" s="69"/>
      <c r="I122" s="69"/>
      <c r="J122" s="69"/>
      <c r="K122" s="69"/>
      <c r="L122" s="69"/>
      <c r="M122" s="92" t="str">
        <f>M$38</f>
        <v>Wavelength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 x14ac:dyDescent="0.3">
      <c r="A123" s="94" t="s">
        <v>81</v>
      </c>
      <c r="B123" s="95"/>
      <c r="C123" s="95"/>
      <c r="D123" s="96">
        <f>B8</f>
        <v>448.76</v>
      </c>
      <c r="E123" s="89" t="s">
        <v>43</v>
      </c>
      <c r="F123" s="116"/>
      <c r="G123" s="93"/>
      <c r="H123" s="100">
        <f>Data!$I$9</f>
        <v>1</v>
      </c>
      <c r="I123" s="101"/>
      <c r="J123" s="101"/>
      <c r="K123" s="101"/>
      <c r="L123" s="101"/>
      <c r="M123" s="85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 x14ac:dyDescent="0.3">
      <c r="A124" s="102" t="s">
        <v>82</v>
      </c>
      <c r="B124" s="102" t="s">
        <v>83</v>
      </c>
      <c r="C124" s="102" t="s">
        <v>15</v>
      </c>
      <c r="D124" s="102" t="s">
        <v>84</v>
      </c>
      <c r="E124" s="102" t="s">
        <v>85</v>
      </c>
      <c r="F124" s="103" t="s">
        <v>86</v>
      </c>
      <c r="G124" s="102" t="s">
        <v>87</v>
      </c>
      <c r="H124" s="102" t="s">
        <v>88</v>
      </c>
      <c r="I124" s="102" t="s">
        <v>89</v>
      </c>
      <c r="J124" s="102" t="s">
        <v>90</v>
      </c>
      <c r="K124" s="102" t="s">
        <v>91</v>
      </c>
      <c r="L124" s="102" t="s">
        <v>92</v>
      </c>
      <c r="M124" s="102" t="s">
        <v>93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 x14ac:dyDescent="0.3">
      <c r="A125" s="104" t="s">
        <v>94</v>
      </c>
      <c r="B125" s="105" t="s">
        <v>95</v>
      </c>
      <c r="C125" s="105" t="s">
        <v>96</v>
      </c>
      <c r="D125" s="106" t="str">
        <f>E123</f>
        <v>nm</v>
      </c>
      <c r="E125" s="105" t="s">
        <v>97</v>
      </c>
      <c r="F125" s="105">
        <f>STDEV(Data!F36:J36)</f>
        <v>0</v>
      </c>
      <c r="G125" s="105">
        <f>SQRT(5)</f>
        <v>2.2360679774997898</v>
      </c>
      <c r="H125" s="105">
        <f>5-1</f>
        <v>4</v>
      </c>
      <c r="I125" s="105">
        <f t="shared" ref="I125:I128" si="24">(F125)/G125</f>
        <v>0</v>
      </c>
      <c r="J125" s="105">
        <v>1</v>
      </c>
      <c r="K125" s="105">
        <f t="shared" ref="K125:K128" si="25">I125*J125</f>
        <v>0</v>
      </c>
      <c r="L125" s="105">
        <f t="shared" ref="L125:L128" si="26">K125^2</f>
        <v>0</v>
      </c>
      <c r="M125" s="105">
        <f t="shared" ref="M125:M128" si="27">(K125^4)/H125</f>
        <v>0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 x14ac:dyDescent="0.3">
      <c r="A126" s="104" t="s">
        <v>98</v>
      </c>
      <c r="B126" s="105" t="s">
        <v>99</v>
      </c>
      <c r="C126" s="105" t="s">
        <v>100</v>
      </c>
      <c r="D126" s="106" t="str">
        <f>D125</f>
        <v>nm</v>
      </c>
      <c r="E126" s="105" t="s">
        <v>101</v>
      </c>
      <c r="F126" s="105">
        <f>H123/2</f>
        <v>0.5</v>
      </c>
      <c r="G126" s="105">
        <f>SQRT(3)</f>
        <v>1.7320508075688772</v>
      </c>
      <c r="H126" s="105">
        <v>50</v>
      </c>
      <c r="I126" s="105">
        <f t="shared" si="24"/>
        <v>0.28867513459481292</v>
      </c>
      <c r="J126" s="105">
        <v>1</v>
      </c>
      <c r="K126" s="105">
        <f t="shared" si="25"/>
        <v>0.28867513459481292</v>
      </c>
      <c r="L126" s="105">
        <f t="shared" si="26"/>
        <v>8.3333333333333356E-2</v>
      </c>
      <c r="M126" s="105">
        <f t="shared" si="27"/>
        <v>1.3888888888888897E-4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 x14ac:dyDescent="0.3">
      <c r="A127" s="104" t="s">
        <v>102</v>
      </c>
      <c r="B127" s="105" t="s">
        <v>103</v>
      </c>
      <c r="C127" s="105" t="s">
        <v>100</v>
      </c>
      <c r="D127" s="106" t="str">
        <f>D125</f>
        <v>nm</v>
      </c>
      <c r="E127" s="105" t="s">
        <v>97</v>
      </c>
      <c r="F127" s="107">
        <f>IF(D122="DG",VLOOKUP(D123,$Q$46:$T$56,3,FALSE),IF(D122="HG",VLOOKUP(D123,$Q$29:$T$42,3,FALSE),0))</f>
        <v>0.11</v>
      </c>
      <c r="G127" s="105">
        <v>2</v>
      </c>
      <c r="H127" s="105">
        <v>60</v>
      </c>
      <c r="I127" s="105">
        <f t="shared" si="24"/>
        <v>5.5E-2</v>
      </c>
      <c r="J127" s="105">
        <v>1</v>
      </c>
      <c r="K127" s="105">
        <f t="shared" si="25"/>
        <v>5.5E-2</v>
      </c>
      <c r="L127" s="105">
        <f t="shared" si="26"/>
        <v>3.0249999999999999E-3</v>
      </c>
      <c r="M127" s="105">
        <f t="shared" si="27"/>
        <v>1.5251041666666666E-7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 x14ac:dyDescent="0.3">
      <c r="A128" s="104" t="s">
        <v>104</v>
      </c>
      <c r="B128" s="105" t="s">
        <v>105</v>
      </c>
      <c r="C128" s="105" t="s">
        <v>100</v>
      </c>
      <c r="D128" s="106" t="str">
        <f>D125</f>
        <v>nm</v>
      </c>
      <c r="E128" s="105" t="s">
        <v>101</v>
      </c>
      <c r="F128" s="107">
        <v>0</v>
      </c>
      <c r="G128" s="105">
        <f>SQRT(3)</f>
        <v>1.7320508075688772</v>
      </c>
      <c r="H128" s="105">
        <v>50</v>
      </c>
      <c r="I128" s="105">
        <f t="shared" si="24"/>
        <v>0</v>
      </c>
      <c r="J128" s="105">
        <v>1</v>
      </c>
      <c r="K128" s="105">
        <f t="shared" si="25"/>
        <v>0</v>
      </c>
      <c r="L128" s="105">
        <f t="shared" si="26"/>
        <v>0</v>
      </c>
      <c r="M128" s="105">
        <f t="shared" si="27"/>
        <v>0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 x14ac:dyDescent="0.3">
      <c r="A129" s="108"/>
      <c r="B129" s="108"/>
      <c r="C129" s="108"/>
      <c r="D129" s="104"/>
      <c r="E129" s="104"/>
      <c r="F129" s="104"/>
      <c r="G129" s="104"/>
      <c r="H129" s="104"/>
      <c r="I129" s="104"/>
      <c r="J129" s="104"/>
      <c r="K129" s="104"/>
      <c r="L129" s="105"/>
      <c r="M129" s="104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 x14ac:dyDescent="0.3">
      <c r="A130" s="354" t="s">
        <v>106</v>
      </c>
      <c r="B130" s="336"/>
      <c r="C130" s="336"/>
      <c r="D130" s="336"/>
      <c r="E130" s="336"/>
      <c r="F130" s="336"/>
      <c r="G130" s="336"/>
      <c r="H130" s="336"/>
      <c r="I130" s="336"/>
      <c r="J130" s="345"/>
      <c r="K130" s="355">
        <f>SUM(L125:L129)</f>
        <v>8.6358333333333356E-2</v>
      </c>
      <c r="L130" s="345"/>
      <c r="M130" s="104">
        <f>SUM(M125:M129)</f>
        <v>1.3904139930555565E-4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 x14ac:dyDescent="0.3">
      <c r="A131" s="354" t="s">
        <v>107</v>
      </c>
      <c r="B131" s="336"/>
      <c r="C131" s="336"/>
      <c r="D131" s="336"/>
      <c r="E131" s="336"/>
      <c r="F131" s="336"/>
      <c r="G131" s="336"/>
      <c r="H131" s="336"/>
      <c r="I131" s="336"/>
      <c r="J131" s="345"/>
      <c r="K131" s="355">
        <f>SQRT(K130)</f>
        <v>0.29386788414750831</v>
      </c>
      <c r="L131" s="345"/>
      <c r="M131" s="104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 x14ac:dyDescent="0.3">
      <c r="A132" s="354" t="s">
        <v>108</v>
      </c>
      <c r="B132" s="336"/>
      <c r="C132" s="336"/>
      <c r="D132" s="336"/>
      <c r="E132" s="336"/>
      <c r="F132" s="336"/>
      <c r="G132" s="336"/>
      <c r="H132" s="336"/>
      <c r="I132" s="336"/>
      <c r="J132" s="345"/>
      <c r="K132" s="109">
        <f>(K131^4)/M130</f>
        <v>53.636987065428144</v>
      </c>
      <c r="L132" s="110"/>
      <c r="M132" s="104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 x14ac:dyDescent="0.3">
      <c r="A133" s="354" t="s">
        <v>109</v>
      </c>
      <c r="B133" s="336"/>
      <c r="C133" s="336"/>
      <c r="D133" s="336"/>
      <c r="E133" s="336"/>
      <c r="F133" s="336"/>
      <c r="G133" s="336"/>
      <c r="H133" s="336"/>
      <c r="I133" s="336"/>
      <c r="J133" s="345"/>
      <c r="K133" s="109">
        <f>1.95996+2.37356/K132+2.818745/K132^2+2.546662/K132^3+1.761829/K132^4+0.245458/K132^5+1.000764/K132^6</f>
        <v>2.0052087927937725</v>
      </c>
      <c r="L133" s="110"/>
      <c r="M133" s="104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 x14ac:dyDescent="0.3">
      <c r="A134" s="354" t="s">
        <v>110</v>
      </c>
      <c r="B134" s="336"/>
      <c r="C134" s="336"/>
      <c r="D134" s="336"/>
      <c r="E134" s="336"/>
      <c r="F134" s="336"/>
      <c r="G134" s="336"/>
      <c r="H134" s="336"/>
      <c r="I134" s="336"/>
      <c r="J134" s="345"/>
      <c r="K134" s="109">
        <f>K133*K131</f>
        <v>0.58926646521228532</v>
      </c>
      <c r="L134" s="111"/>
      <c r="M134" s="104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 x14ac:dyDescent="0.3">
      <c r="A135" s="165"/>
      <c r="B135" s="166"/>
      <c r="C135" s="166"/>
      <c r="D135" s="166"/>
      <c r="E135" s="166"/>
      <c r="F135" s="166"/>
      <c r="G135" s="166"/>
      <c r="H135" s="166"/>
      <c r="I135" s="166"/>
      <c r="J135" s="166"/>
      <c r="K135" s="70"/>
      <c r="L135" s="87"/>
      <c r="M135" s="167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 x14ac:dyDescent="0.3">
      <c r="A136" s="80" t="s">
        <v>48</v>
      </c>
      <c r="B136" s="3"/>
      <c r="C136" s="3"/>
      <c r="D136" s="88" t="str">
        <f>A$9</f>
        <v>HG</v>
      </c>
      <c r="E136" s="3"/>
      <c r="F136" s="90"/>
      <c r="G136" s="91"/>
      <c r="H136" s="69"/>
      <c r="I136" s="69"/>
      <c r="J136" s="69"/>
      <c r="K136" s="69"/>
      <c r="L136" s="69"/>
      <c r="M136" s="92" t="str">
        <f>M$38</f>
        <v>Wavelength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 x14ac:dyDescent="0.3">
      <c r="A137" s="94" t="s">
        <v>81</v>
      </c>
      <c r="B137" s="95"/>
      <c r="C137" s="95"/>
      <c r="D137" s="96">
        <f>B9</f>
        <v>417.78</v>
      </c>
      <c r="E137" s="89" t="s">
        <v>43</v>
      </c>
      <c r="F137" s="116"/>
      <c r="G137" s="93"/>
      <c r="H137" s="100">
        <f>Data!$I$9</f>
        <v>1</v>
      </c>
      <c r="I137" s="101"/>
      <c r="J137" s="101"/>
      <c r="K137" s="101"/>
      <c r="L137" s="101"/>
      <c r="M137" s="85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 x14ac:dyDescent="0.3">
      <c r="A138" s="102" t="s">
        <v>82</v>
      </c>
      <c r="B138" s="102" t="s">
        <v>83</v>
      </c>
      <c r="C138" s="102" t="s">
        <v>15</v>
      </c>
      <c r="D138" s="102" t="s">
        <v>84</v>
      </c>
      <c r="E138" s="102" t="s">
        <v>85</v>
      </c>
      <c r="F138" s="103" t="s">
        <v>86</v>
      </c>
      <c r="G138" s="102" t="s">
        <v>87</v>
      </c>
      <c r="H138" s="102" t="s">
        <v>88</v>
      </c>
      <c r="I138" s="102" t="s">
        <v>89</v>
      </c>
      <c r="J138" s="102" t="s">
        <v>90</v>
      </c>
      <c r="K138" s="102" t="s">
        <v>91</v>
      </c>
      <c r="L138" s="102" t="s">
        <v>92</v>
      </c>
      <c r="M138" s="102" t="s">
        <v>93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 x14ac:dyDescent="0.3">
      <c r="A139" s="104" t="s">
        <v>94</v>
      </c>
      <c r="B139" s="105" t="s">
        <v>95</v>
      </c>
      <c r="C139" s="105" t="s">
        <v>96</v>
      </c>
      <c r="D139" s="106" t="str">
        <f>E137</f>
        <v>nm</v>
      </c>
      <c r="E139" s="105" t="s">
        <v>97</v>
      </c>
      <c r="F139" s="105">
        <f>STDEV(Data!F37:J37)</f>
        <v>0</v>
      </c>
      <c r="G139" s="105">
        <f>SQRT(5)</f>
        <v>2.2360679774997898</v>
      </c>
      <c r="H139" s="105">
        <f>5-1</f>
        <v>4</v>
      </c>
      <c r="I139" s="105">
        <f t="shared" ref="I139:I142" si="28">(F139)/G139</f>
        <v>0</v>
      </c>
      <c r="J139" s="105">
        <v>1</v>
      </c>
      <c r="K139" s="105">
        <f t="shared" ref="K139:K142" si="29">I139*J139</f>
        <v>0</v>
      </c>
      <c r="L139" s="105">
        <f t="shared" ref="L139:L142" si="30">K139^2</f>
        <v>0</v>
      </c>
      <c r="M139" s="105">
        <f t="shared" ref="M139:M142" si="31">(K139^4)/H139</f>
        <v>0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 x14ac:dyDescent="0.3">
      <c r="A140" s="104" t="s">
        <v>98</v>
      </c>
      <c r="B140" s="105" t="s">
        <v>99</v>
      </c>
      <c r="C140" s="105" t="s">
        <v>100</v>
      </c>
      <c r="D140" s="106" t="str">
        <f>D139</f>
        <v>nm</v>
      </c>
      <c r="E140" s="105" t="s">
        <v>101</v>
      </c>
      <c r="F140" s="105">
        <f>H137/2</f>
        <v>0.5</v>
      </c>
      <c r="G140" s="105">
        <f>SQRT(3)</f>
        <v>1.7320508075688772</v>
      </c>
      <c r="H140" s="105">
        <v>50</v>
      </c>
      <c r="I140" s="105">
        <f t="shared" si="28"/>
        <v>0.28867513459481292</v>
      </c>
      <c r="J140" s="105">
        <v>1</v>
      </c>
      <c r="K140" s="105">
        <f t="shared" si="29"/>
        <v>0.28867513459481292</v>
      </c>
      <c r="L140" s="105">
        <f t="shared" si="30"/>
        <v>8.3333333333333356E-2</v>
      </c>
      <c r="M140" s="105">
        <f t="shared" si="31"/>
        <v>1.3888888888888897E-4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 x14ac:dyDescent="0.3">
      <c r="A141" s="104" t="s">
        <v>102</v>
      </c>
      <c r="B141" s="105" t="s">
        <v>103</v>
      </c>
      <c r="C141" s="105" t="s">
        <v>100</v>
      </c>
      <c r="D141" s="106" t="str">
        <f>D139</f>
        <v>nm</v>
      </c>
      <c r="E141" s="105" t="s">
        <v>97</v>
      </c>
      <c r="F141" s="107">
        <f>IF(D136="DG",VLOOKUP(D137,$Q$46:$T$56,3,FALSE),IF(D136="HG",VLOOKUP(D137,$Q$29:$T$42,3,FALSE),0))</f>
        <v>0.11</v>
      </c>
      <c r="G141" s="105">
        <v>2</v>
      </c>
      <c r="H141" s="105">
        <v>60</v>
      </c>
      <c r="I141" s="105">
        <f t="shared" si="28"/>
        <v>5.5E-2</v>
      </c>
      <c r="J141" s="105">
        <v>1</v>
      </c>
      <c r="K141" s="105">
        <f t="shared" si="29"/>
        <v>5.5E-2</v>
      </c>
      <c r="L141" s="105">
        <f t="shared" si="30"/>
        <v>3.0249999999999999E-3</v>
      </c>
      <c r="M141" s="105">
        <f t="shared" si="31"/>
        <v>1.5251041666666666E-7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 x14ac:dyDescent="0.3">
      <c r="A142" s="104" t="s">
        <v>104</v>
      </c>
      <c r="B142" s="105" t="s">
        <v>105</v>
      </c>
      <c r="C142" s="105" t="s">
        <v>100</v>
      </c>
      <c r="D142" s="106" t="str">
        <f>D139</f>
        <v>nm</v>
      </c>
      <c r="E142" s="105" t="s">
        <v>101</v>
      </c>
      <c r="F142" s="107">
        <v>0</v>
      </c>
      <c r="G142" s="105">
        <f>SQRT(3)</f>
        <v>1.7320508075688772</v>
      </c>
      <c r="H142" s="105">
        <v>50</v>
      </c>
      <c r="I142" s="105">
        <f t="shared" si="28"/>
        <v>0</v>
      </c>
      <c r="J142" s="105">
        <v>1</v>
      </c>
      <c r="K142" s="105">
        <f t="shared" si="29"/>
        <v>0</v>
      </c>
      <c r="L142" s="105">
        <f t="shared" si="30"/>
        <v>0</v>
      </c>
      <c r="M142" s="105">
        <f t="shared" si="31"/>
        <v>0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 x14ac:dyDescent="0.3">
      <c r="A143" s="108"/>
      <c r="B143" s="108"/>
      <c r="C143" s="108"/>
      <c r="D143" s="104"/>
      <c r="E143" s="104"/>
      <c r="F143" s="104"/>
      <c r="G143" s="104"/>
      <c r="H143" s="104"/>
      <c r="I143" s="104"/>
      <c r="J143" s="104"/>
      <c r="K143" s="104"/>
      <c r="L143" s="105"/>
      <c r="M143" s="104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 x14ac:dyDescent="0.3">
      <c r="A144" s="354" t="s">
        <v>106</v>
      </c>
      <c r="B144" s="336"/>
      <c r="C144" s="336"/>
      <c r="D144" s="336"/>
      <c r="E144" s="336"/>
      <c r="F144" s="336"/>
      <c r="G144" s="336"/>
      <c r="H144" s="336"/>
      <c r="I144" s="336"/>
      <c r="J144" s="345"/>
      <c r="K144" s="355">
        <f>SUM(L139:L143)</f>
        <v>8.6358333333333356E-2</v>
      </c>
      <c r="L144" s="345"/>
      <c r="M144" s="104">
        <f>SUM(M139:M143)</f>
        <v>1.3904139930555565E-4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 x14ac:dyDescent="0.3">
      <c r="A145" s="354" t="s">
        <v>107</v>
      </c>
      <c r="B145" s="336"/>
      <c r="C145" s="336"/>
      <c r="D145" s="336"/>
      <c r="E145" s="336"/>
      <c r="F145" s="336"/>
      <c r="G145" s="336"/>
      <c r="H145" s="336"/>
      <c r="I145" s="336"/>
      <c r="J145" s="345"/>
      <c r="K145" s="355">
        <f>SQRT(K144)</f>
        <v>0.29386788414750831</v>
      </c>
      <c r="L145" s="345"/>
      <c r="M145" s="104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 x14ac:dyDescent="0.3">
      <c r="A146" s="354" t="s">
        <v>108</v>
      </c>
      <c r="B146" s="336"/>
      <c r="C146" s="336"/>
      <c r="D146" s="336"/>
      <c r="E146" s="336"/>
      <c r="F146" s="336"/>
      <c r="G146" s="336"/>
      <c r="H146" s="336"/>
      <c r="I146" s="336"/>
      <c r="J146" s="345"/>
      <c r="K146" s="109">
        <f>(K145^4)/M144</f>
        <v>53.636987065428144</v>
      </c>
      <c r="L146" s="110"/>
      <c r="M146" s="104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 x14ac:dyDescent="0.3">
      <c r="A147" s="354" t="s">
        <v>109</v>
      </c>
      <c r="B147" s="336"/>
      <c r="C147" s="336"/>
      <c r="D147" s="336"/>
      <c r="E147" s="336"/>
      <c r="F147" s="336"/>
      <c r="G147" s="336"/>
      <c r="H147" s="336"/>
      <c r="I147" s="336"/>
      <c r="J147" s="345"/>
      <c r="K147" s="109">
        <f>1.95996+2.37356/K146+2.818745/K146^2+2.546662/K146^3+1.761829/K146^4+0.245458/K146^5+1.000764/K146^6</f>
        <v>2.0052087927937725</v>
      </c>
      <c r="L147" s="110"/>
      <c r="M147" s="104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 x14ac:dyDescent="0.3">
      <c r="A148" s="354" t="s">
        <v>110</v>
      </c>
      <c r="B148" s="336"/>
      <c r="C148" s="336"/>
      <c r="D148" s="336"/>
      <c r="E148" s="336"/>
      <c r="F148" s="336"/>
      <c r="G148" s="336"/>
      <c r="H148" s="336"/>
      <c r="I148" s="336"/>
      <c r="J148" s="345"/>
      <c r="K148" s="109">
        <f>K147*K145</f>
        <v>0.58926646521228532</v>
      </c>
      <c r="L148" s="111"/>
      <c r="M148" s="104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 x14ac:dyDescent="0.3">
      <c r="A149" s="165"/>
      <c r="B149" s="166"/>
      <c r="C149" s="166"/>
      <c r="D149" s="166"/>
      <c r="E149" s="166"/>
      <c r="F149" s="166"/>
      <c r="G149" s="166"/>
      <c r="H149" s="166"/>
      <c r="I149" s="166"/>
      <c r="J149" s="166"/>
      <c r="K149" s="70"/>
      <c r="L149" s="87"/>
      <c r="M149" s="167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 x14ac:dyDescent="0.3">
      <c r="A150" s="80" t="s">
        <v>48</v>
      </c>
      <c r="B150" s="3"/>
      <c r="C150" s="3"/>
      <c r="D150" s="88" t="str">
        <f>A$10</f>
        <v>HG</v>
      </c>
      <c r="E150" s="3"/>
      <c r="F150" s="90"/>
      <c r="G150" s="91"/>
      <c r="H150" s="69"/>
      <c r="I150" s="69"/>
      <c r="J150" s="69"/>
      <c r="K150" s="69"/>
      <c r="L150" s="69"/>
      <c r="M150" s="92" t="str">
        <f>M$38</f>
        <v>Wavelength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 x14ac:dyDescent="0.3">
      <c r="A151" s="94" t="s">
        <v>81</v>
      </c>
      <c r="B151" s="95"/>
      <c r="C151" s="95"/>
      <c r="D151" s="96">
        <f>B10</f>
        <v>360.89</v>
      </c>
      <c r="E151" s="89" t="s">
        <v>43</v>
      </c>
      <c r="F151" s="116"/>
      <c r="G151" s="93"/>
      <c r="H151" s="100">
        <f>Data!$I$9</f>
        <v>1</v>
      </c>
      <c r="I151" s="101"/>
      <c r="J151" s="101"/>
      <c r="K151" s="101"/>
      <c r="L151" s="101"/>
      <c r="M151" s="85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 x14ac:dyDescent="0.3">
      <c r="A152" s="102" t="s">
        <v>82</v>
      </c>
      <c r="B152" s="102" t="s">
        <v>83</v>
      </c>
      <c r="C152" s="102" t="s">
        <v>15</v>
      </c>
      <c r="D152" s="102" t="s">
        <v>84</v>
      </c>
      <c r="E152" s="102" t="s">
        <v>85</v>
      </c>
      <c r="F152" s="103" t="s">
        <v>86</v>
      </c>
      <c r="G152" s="102" t="s">
        <v>87</v>
      </c>
      <c r="H152" s="102" t="s">
        <v>88</v>
      </c>
      <c r="I152" s="102" t="s">
        <v>89</v>
      </c>
      <c r="J152" s="102" t="s">
        <v>90</v>
      </c>
      <c r="K152" s="102" t="s">
        <v>91</v>
      </c>
      <c r="L152" s="102" t="s">
        <v>92</v>
      </c>
      <c r="M152" s="102" t="s">
        <v>93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 x14ac:dyDescent="0.3">
      <c r="A153" s="104" t="s">
        <v>94</v>
      </c>
      <c r="B153" s="105" t="s">
        <v>95</v>
      </c>
      <c r="C153" s="105" t="s">
        <v>96</v>
      </c>
      <c r="D153" s="106" t="str">
        <f>E151</f>
        <v>nm</v>
      </c>
      <c r="E153" s="105" t="s">
        <v>97</v>
      </c>
      <c r="F153" s="105">
        <f>STDEV(Data!F38:J38)</f>
        <v>0</v>
      </c>
      <c r="G153" s="105">
        <f>SQRT(5)</f>
        <v>2.2360679774997898</v>
      </c>
      <c r="H153" s="105">
        <f>5-1</f>
        <v>4</v>
      </c>
      <c r="I153" s="105">
        <f t="shared" ref="I153:I156" si="32">(F153)/G153</f>
        <v>0</v>
      </c>
      <c r="J153" s="105">
        <v>1</v>
      </c>
      <c r="K153" s="105">
        <f t="shared" ref="K153:K156" si="33">I153*J153</f>
        <v>0</v>
      </c>
      <c r="L153" s="105">
        <f t="shared" ref="L153:L156" si="34">K153^2</f>
        <v>0</v>
      </c>
      <c r="M153" s="105">
        <f t="shared" ref="M153:M156" si="35">(K153^4)/H153</f>
        <v>0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 x14ac:dyDescent="0.3">
      <c r="A154" s="104" t="s">
        <v>98</v>
      </c>
      <c r="B154" s="105" t="s">
        <v>99</v>
      </c>
      <c r="C154" s="105" t="s">
        <v>100</v>
      </c>
      <c r="D154" s="106" t="str">
        <f>D153</f>
        <v>nm</v>
      </c>
      <c r="E154" s="105" t="s">
        <v>101</v>
      </c>
      <c r="F154" s="105">
        <f>H151/2</f>
        <v>0.5</v>
      </c>
      <c r="G154" s="105">
        <f>SQRT(3)</f>
        <v>1.7320508075688772</v>
      </c>
      <c r="H154" s="105">
        <v>50</v>
      </c>
      <c r="I154" s="105">
        <f t="shared" si="32"/>
        <v>0.28867513459481292</v>
      </c>
      <c r="J154" s="105">
        <v>1</v>
      </c>
      <c r="K154" s="105">
        <f t="shared" si="33"/>
        <v>0.28867513459481292</v>
      </c>
      <c r="L154" s="105">
        <f t="shared" si="34"/>
        <v>8.3333333333333356E-2</v>
      </c>
      <c r="M154" s="105">
        <f t="shared" si="35"/>
        <v>1.3888888888888897E-4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 x14ac:dyDescent="0.3">
      <c r="A155" s="104" t="s">
        <v>102</v>
      </c>
      <c r="B155" s="105" t="s">
        <v>103</v>
      </c>
      <c r="C155" s="105" t="s">
        <v>100</v>
      </c>
      <c r="D155" s="106" t="str">
        <f>D153</f>
        <v>nm</v>
      </c>
      <c r="E155" s="105" t="s">
        <v>97</v>
      </c>
      <c r="F155" s="107">
        <f>IF(D150="DG",VLOOKUP(D151,$Q$46:$T$56,3,FALSE),IF(D150="HG",VLOOKUP(D151,$Q$29:$T$42,3,FALSE),0))</f>
        <v>0.11</v>
      </c>
      <c r="G155" s="105">
        <v>2</v>
      </c>
      <c r="H155" s="105">
        <v>60</v>
      </c>
      <c r="I155" s="105">
        <f t="shared" si="32"/>
        <v>5.5E-2</v>
      </c>
      <c r="J155" s="105">
        <v>1</v>
      </c>
      <c r="K155" s="105">
        <f t="shared" si="33"/>
        <v>5.5E-2</v>
      </c>
      <c r="L155" s="105">
        <f t="shared" si="34"/>
        <v>3.0249999999999999E-3</v>
      </c>
      <c r="M155" s="105">
        <f t="shared" si="35"/>
        <v>1.5251041666666666E-7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 x14ac:dyDescent="0.3">
      <c r="A156" s="104" t="s">
        <v>104</v>
      </c>
      <c r="B156" s="105" t="s">
        <v>105</v>
      </c>
      <c r="C156" s="105" t="s">
        <v>100</v>
      </c>
      <c r="D156" s="106" t="str">
        <f>D153</f>
        <v>nm</v>
      </c>
      <c r="E156" s="105" t="s">
        <v>101</v>
      </c>
      <c r="F156" s="107">
        <v>0</v>
      </c>
      <c r="G156" s="105">
        <f>SQRT(3)</f>
        <v>1.7320508075688772</v>
      </c>
      <c r="H156" s="105">
        <v>50</v>
      </c>
      <c r="I156" s="105">
        <f t="shared" si="32"/>
        <v>0</v>
      </c>
      <c r="J156" s="105">
        <v>1</v>
      </c>
      <c r="K156" s="105">
        <f t="shared" si="33"/>
        <v>0</v>
      </c>
      <c r="L156" s="105">
        <f t="shared" si="34"/>
        <v>0</v>
      </c>
      <c r="M156" s="105">
        <f t="shared" si="35"/>
        <v>0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 x14ac:dyDescent="0.3">
      <c r="A157" s="108"/>
      <c r="B157" s="108"/>
      <c r="C157" s="108"/>
      <c r="D157" s="104"/>
      <c r="E157" s="104"/>
      <c r="F157" s="104"/>
      <c r="G157" s="104"/>
      <c r="H157" s="104"/>
      <c r="I157" s="104"/>
      <c r="J157" s="104"/>
      <c r="K157" s="104"/>
      <c r="L157" s="105"/>
      <c r="M157" s="104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 x14ac:dyDescent="0.3">
      <c r="A158" s="354" t="s">
        <v>106</v>
      </c>
      <c r="B158" s="336"/>
      <c r="C158" s="336"/>
      <c r="D158" s="336"/>
      <c r="E158" s="336"/>
      <c r="F158" s="336"/>
      <c r="G158" s="336"/>
      <c r="H158" s="336"/>
      <c r="I158" s="336"/>
      <c r="J158" s="345"/>
      <c r="K158" s="355">
        <f>SUM(L153:L157)</f>
        <v>8.6358333333333356E-2</v>
      </c>
      <c r="L158" s="345"/>
      <c r="M158" s="104">
        <f>SUM(M153:M157)</f>
        <v>1.3904139930555565E-4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 x14ac:dyDescent="0.3">
      <c r="A159" s="354" t="s">
        <v>107</v>
      </c>
      <c r="B159" s="336"/>
      <c r="C159" s="336"/>
      <c r="D159" s="336"/>
      <c r="E159" s="336"/>
      <c r="F159" s="336"/>
      <c r="G159" s="336"/>
      <c r="H159" s="336"/>
      <c r="I159" s="336"/>
      <c r="J159" s="345"/>
      <c r="K159" s="355">
        <f>SQRT(K158)</f>
        <v>0.29386788414750831</v>
      </c>
      <c r="L159" s="345"/>
      <c r="M159" s="104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 x14ac:dyDescent="0.3">
      <c r="A160" s="354" t="s">
        <v>108</v>
      </c>
      <c r="B160" s="336"/>
      <c r="C160" s="336"/>
      <c r="D160" s="336"/>
      <c r="E160" s="336"/>
      <c r="F160" s="336"/>
      <c r="G160" s="336"/>
      <c r="H160" s="336"/>
      <c r="I160" s="336"/>
      <c r="J160" s="345"/>
      <c r="K160" s="109">
        <f>(K159^4)/M158</f>
        <v>53.636987065428144</v>
      </c>
      <c r="L160" s="110"/>
      <c r="M160" s="104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 x14ac:dyDescent="0.3">
      <c r="A161" s="354" t="s">
        <v>109</v>
      </c>
      <c r="B161" s="336"/>
      <c r="C161" s="336"/>
      <c r="D161" s="336"/>
      <c r="E161" s="336"/>
      <c r="F161" s="336"/>
      <c r="G161" s="336"/>
      <c r="H161" s="336"/>
      <c r="I161" s="336"/>
      <c r="J161" s="345"/>
      <c r="K161" s="109">
        <f>1.95996+2.37356/K160+2.818745/K160^2+2.546662/K160^3+1.761829/K160^4+0.245458/K160^5+1.000764/K160^6</f>
        <v>2.0052087927937725</v>
      </c>
      <c r="L161" s="110"/>
      <c r="M161" s="104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 x14ac:dyDescent="0.3">
      <c r="A162" s="354" t="s">
        <v>110</v>
      </c>
      <c r="B162" s="336"/>
      <c r="C162" s="336"/>
      <c r="D162" s="336"/>
      <c r="E162" s="336"/>
      <c r="F162" s="336"/>
      <c r="G162" s="336"/>
      <c r="H162" s="336"/>
      <c r="I162" s="336"/>
      <c r="J162" s="345"/>
      <c r="K162" s="109">
        <f>K161*K159</f>
        <v>0.58926646521228532</v>
      </c>
      <c r="L162" s="111"/>
      <c r="M162" s="104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 x14ac:dyDescent="0.3">
      <c r="A163" s="165"/>
      <c r="B163" s="166"/>
      <c r="C163" s="166"/>
      <c r="D163" s="166"/>
      <c r="E163" s="166"/>
      <c r="F163" s="166"/>
      <c r="G163" s="166"/>
      <c r="H163" s="166"/>
      <c r="I163" s="166"/>
      <c r="J163" s="166"/>
      <c r="K163" s="70"/>
      <c r="L163" s="87"/>
      <c r="M163" s="167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 x14ac:dyDescent="0.3">
      <c r="A164" s="80" t="s">
        <v>48</v>
      </c>
      <c r="B164" s="3"/>
      <c r="C164" s="3"/>
      <c r="D164" s="170">
        <f>A$11</f>
        <v>0</v>
      </c>
      <c r="E164" s="3"/>
      <c r="F164" s="90"/>
      <c r="G164" s="91"/>
      <c r="H164" s="69"/>
      <c r="I164" s="69"/>
      <c r="J164" s="69"/>
      <c r="K164" s="69"/>
      <c r="L164" s="69"/>
      <c r="M164" s="92" t="str">
        <f>M$38</f>
        <v>Wavelength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 x14ac:dyDescent="0.3">
      <c r="A165" s="94" t="s">
        <v>81</v>
      </c>
      <c r="B165" s="95"/>
      <c r="C165" s="95"/>
      <c r="D165" s="96">
        <f>B11</f>
        <v>0</v>
      </c>
      <c r="E165" s="89" t="s">
        <v>43</v>
      </c>
      <c r="F165" s="116"/>
      <c r="G165" s="93"/>
      <c r="H165" s="100">
        <f>Data!$I$9</f>
        <v>1</v>
      </c>
      <c r="I165" s="101"/>
      <c r="J165" s="101"/>
      <c r="K165" s="101"/>
      <c r="L165" s="101"/>
      <c r="M165" s="85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 x14ac:dyDescent="0.3">
      <c r="A166" s="102" t="s">
        <v>82</v>
      </c>
      <c r="B166" s="102" t="s">
        <v>83</v>
      </c>
      <c r="C166" s="102" t="s">
        <v>15</v>
      </c>
      <c r="D166" s="102" t="s">
        <v>84</v>
      </c>
      <c r="E166" s="102" t="s">
        <v>85</v>
      </c>
      <c r="F166" s="103" t="s">
        <v>86</v>
      </c>
      <c r="G166" s="102" t="s">
        <v>87</v>
      </c>
      <c r="H166" s="102" t="s">
        <v>88</v>
      </c>
      <c r="I166" s="102" t="s">
        <v>89</v>
      </c>
      <c r="J166" s="102" t="s">
        <v>90</v>
      </c>
      <c r="K166" s="102" t="s">
        <v>91</v>
      </c>
      <c r="L166" s="102" t="s">
        <v>92</v>
      </c>
      <c r="M166" s="102" t="s">
        <v>93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 x14ac:dyDescent="0.3">
      <c r="A167" s="104" t="s">
        <v>94</v>
      </c>
      <c r="B167" s="105" t="s">
        <v>95</v>
      </c>
      <c r="C167" s="105" t="s">
        <v>96</v>
      </c>
      <c r="D167" s="106" t="str">
        <f>E165</f>
        <v>nm</v>
      </c>
      <c r="E167" s="105" t="s">
        <v>97</v>
      </c>
      <c r="F167" s="105" t="e">
        <f>STDEV(Data!F39:J39)</f>
        <v>#DIV/0!</v>
      </c>
      <c r="G167" s="105">
        <f>SQRT(5)</f>
        <v>2.2360679774997898</v>
      </c>
      <c r="H167" s="105">
        <f>5-1</f>
        <v>4</v>
      </c>
      <c r="I167" s="105" t="e">
        <f t="shared" ref="I167:I170" si="36">(F167)/G167</f>
        <v>#DIV/0!</v>
      </c>
      <c r="J167" s="105">
        <v>1</v>
      </c>
      <c r="K167" s="105" t="e">
        <f t="shared" ref="K167:K170" si="37">I167*J167</f>
        <v>#DIV/0!</v>
      </c>
      <c r="L167" s="105" t="e">
        <f t="shared" ref="L167:L170" si="38">K167^2</f>
        <v>#DIV/0!</v>
      </c>
      <c r="M167" s="105" t="e">
        <f t="shared" ref="M167:M170" si="39">(K167^4)/H167</f>
        <v>#DIV/0!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 x14ac:dyDescent="0.3">
      <c r="A168" s="104" t="s">
        <v>98</v>
      </c>
      <c r="B168" s="105" t="s">
        <v>99</v>
      </c>
      <c r="C168" s="105" t="s">
        <v>100</v>
      </c>
      <c r="D168" s="106" t="str">
        <f>D167</f>
        <v>nm</v>
      </c>
      <c r="E168" s="105" t="s">
        <v>101</v>
      </c>
      <c r="F168" s="105">
        <f>H165/2</f>
        <v>0.5</v>
      </c>
      <c r="G168" s="105">
        <f>SQRT(3)</f>
        <v>1.7320508075688772</v>
      </c>
      <c r="H168" s="105">
        <v>50</v>
      </c>
      <c r="I168" s="105">
        <f t="shared" si="36"/>
        <v>0.28867513459481292</v>
      </c>
      <c r="J168" s="105">
        <v>1</v>
      </c>
      <c r="K168" s="105">
        <f t="shared" si="37"/>
        <v>0.28867513459481292</v>
      </c>
      <c r="L168" s="105">
        <f t="shared" si="38"/>
        <v>8.3333333333333356E-2</v>
      </c>
      <c r="M168" s="105">
        <f t="shared" si="39"/>
        <v>1.3888888888888897E-4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 x14ac:dyDescent="0.3">
      <c r="A169" s="104" t="s">
        <v>102</v>
      </c>
      <c r="B169" s="105" t="s">
        <v>103</v>
      </c>
      <c r="C169" s="105" t="s">
        <v>100</v>
      </c>
      <c r="D169" s="106" t="str">
        <f>D167</f>
        <v>nm</v>
      </c>
      <c r="E169" s="105" t="s">
        <v>97</v>
      </c>
      <c r="F169" s="107">
        <f>IF(D164="DG",VLOOKUP(D165,$Q$46:$T$56,3,FALSE),IF(D164="HG",VLOOKUP(D165,$Q$29:$T$42,3,FALSE),0))</f>
        <v>0</v>
      </c>
      <c r="G169" s="105">
        <v>2</v>
      </c>
      <c r="H169" s="105">
        <v>60</v>
      </c>
      <c r="I169" s="105">
        <f t="shared" si="36"/>
        <v>0</v>
      </c>
      <c r="J169" s="105">
        <v>1</v>
      </c>
      <c r="K169" s="105">
        <f t="shared" si="37"/>
        <v>0</v>
      </c>
      <c r="L169" s="105">
        <f t="shared" si="38"/>
        <v>0</v>
      </c>
      <c r="M169" s="105">
        <f t="shared" si="39"/>
        <v>0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 x14ac:dyDescent="0.3">
      <c r="A170" s="104" t="s">
        <v>104</v>
      </c>
      <c r="B170" s="105" t="s">
        <v>105</v>
      </c>
      <c r="C170" s="105" t="s">
        <v>100</v>
      </c>
      <c r="D170" s="106" t="str">
        <f>D167</f>
        <v>nm</v>
      </c>
      <c r="E170" s="105" t="s">
        <v>101</v>
      </c>
      <c r="F170" s="107">
        <v>0</v>
      </c>
      <c r="G170" s="105">
        <f>SQRT(3)</f>
        <v>1.7320508075688772</v>
      </c>
      <c r="H170" s="105">
        <v>50</v>
      </c>
      <c r="I170" s="105">
        <f t="shared" si="36"/>
        <v>0</v>
      </c>
      <c r="J170" s="105">
        <v>1</v>
      </c>
      <c r="K170" s="105">
        <f t="shared" si="37"/>
        <v>0</v>
      </c>
      <c r="L170" s="105">
        <f t="shared" si="38"/>
        <v>0</v>
      </c>
      <c r="M170" s="105">
        <f t="shared" si="39"/>
        <v>0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 x14ac:dyDescent="0.3">
      <c r="A171" s="108"/>
      <c r="B171" s="108"/>
      <c r="C171" s="108"/>
      <c r="D171" s="104"/>
      <c r="E171" s="104"/>
      <c r="F171" s="104"/>
      <c r="G171" s="104"/>
      <c r="H171" s="104"/>
      <c r="I171" s="104"/>
      <c r="J171" s="104"/>
      <c r="K171" s="104"/>
      <c r="L171" s="105"/>
      <c r="M171" s="104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 x14ac:dyDescent="0.3">
      <c r="A172" s="354" t="s">
        <v>106</v>
      </c>
      <c r="B172" s="336"/>
      <c r="C172" s="336"/>
      <c r="D172" s="336"/>
      <c r="E172" s="336"/>
      <c r="F172" s="336"/>
      <c r="G172" s="336"/>
      <c r="H172" s="336"/>
      <c r="I172" s="336"/>
      <c r="J172" s="345"/>
      <c r="K172" s="355" t="e">
        <f>SUM(L167:L171)</f>
        <v>#DIV/0!</v>
      </c>
      <c r="L172" s="345"/>
      <c r="M172" s="104" t="e">
        <f>SUM(M167:M171)</f>
        <v>#DIV/0!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 x14ac:dyDescent="0.3">
      <c r="A173" s="354" t="s">
        <v>107</v>
      </c>
      <c r="B173" s="336"/>
      <c r="C173" s="336"/>
      <c r="D173" s="336"/>
      <c r="E173" s="336"/>
      <c r="F173" s="336"/>
      <c r="G173" s="336"/>
      <c r="H173" s="336"/>
      <c r="I173" s="336"/>
      <c r="J173" s="345"/>
      <c r="K173" s="355" t="e">
        <f>SQRT(K172)</f>
        <v>#DIV/0!</v>
      </c>
      <c r="L173" s="345"/>
      <c r="M173" s="104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 x14ac:dyDescent="0.3">
      <c r="A174" s="354" t="s">
        <v>108</v>
      </c>
      <c r="B174" s="336"/>
      <c r="C174" s="336"/>
      <c r="D174" s="336"/>
      <c r="E174" s="336"/>
      <c r="F174" s="336"/>
      <c r="G174" s="336"/>
      <c r="H174" s="336"/>
      <c r="I174" s="336"/>
      <c r="J174" s="345"/>
      <c r="K174" s="109" t="e">
        <f>(K173^4)/M172</f>
        <v>#DIV/0!</v>
      </c>
      <c r="L174" s="110"/>
      <c r="M174" s="104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 x14ac:dyDescent="0.3">
      <c r="A175" s="354" t="s">
        <v>109</v>
      </c>
      <c r="B175" s="336"/>
      <c r="C175" s="336"/>
      <c r="D175" s="336"/>
      <c r="E175" s="336"/>
      <c r="F175" s="336"/>
      <c r="G175" s="336"/>
      <c r="H175" s="336"/>
      <c r="I175" s="336"/>
      <c r="J175" s="345"/>
      <c r="K175" s="109" t="e">
        <f>1.95996+2.37356/K174+2.818745/K174^2+2.546662/K174^3+1.761829/K174^4+0.245458/K174^5+1.000764/K174^6</f>
        <v>#DIV/0!</v>
      </c>
      <c r="L175" s="110"/>
      <c r="M175" s="104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 x14ac:dyDescent="0.3">
      <c r="A176" s="354" t="s">
        <v>110</v>
      </c>
      <c r="B176" s="336"/>
      <c r="C176" s="336"/>
      <c r="D176" s="336"/>
      <c r="E176" s="336"/>
      <c r="F176" s="336"/>
      <c r="G176" s="336"/>
      <c r="H176" s="336"/>
      <c r="I176" s="336"/>
      <c r="J176" s="345"/>
      <c r="K176" s="109" t="e">
        <f>K175*K173</f>
        <v>#DIV/0!</v>
      </c>
      <c r="L176" s="111"/>
      <c r="M176" s="104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 x14ac:dyDescent="0.3">
      <c r="A177" s="165"/>
      <c r="B177" s="166"/>
      <c r="C177" s="166"/>
      <c r="D177" s="166"/>
      <c r="E177" s="166"/>
      <c r="F177" s="166"/>
      <c r="G177" s="166"/>
      <c r="H177" s="166"/>
      <c r="I177" s="166"/>
      <c r="J177" s="166"/>
      <c r="K177" s="70"/>
      <c r="L177" s="87"/>
      <c r="M177" s="167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 x14ac:dyDescent="0.3">
      <c r="A178" s="80" t="s">
        <v>48</v>
      </c>
      <c r="B178" s="3"/>
      <c r="C178" s="3"/>
      <c r="D178" s="96">
        <f>A12</f>
        <v>0</v>
      </c>
      <c r="E178" s="96"/>
      <c r="F178" s="90"/>
      <c r="G178" s="91"/>
      <c r="H178" s="69"/>
      <c r="I178" s="69"/>
      <c r="J178" s="69"/>
      <c r="K178" s="69"/>
      <c r="L178" s="69"/>
      <c r="M178" s="92" t="str">
        <f>M$38</f>
        <v>Wavelength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 x14ac:dyDescent="0.3">
      <c r="A179" s="94" t="s">
        <v>81</v>
      </c>
      <c r="B179" s="95"/>
      <c r="C179" s="95"/>
      <c r="D179" s="96">
        <f>B12</f>
        <v>0</v>
      </c>
      <c r="E179" s="89" t="s">
        <v>43</v>
      </c>
      <c r="F179" s="116"/>
      <c r="G179" s="99"/>
      <c r="H179" s="100">
        <f>Data!$I$9</f>
        <v>1</v>
      </c>
      <c r="I179" s="101"/>
      <c r="J179" s="101"/>
      <c r="K179" s="101"/>
      <c r="L179" s="101"/>
      <c r="M179" s="85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 x14ac:dyDescent="0.3">
      <c r="A180" s="102" t="s">
        <v>82</v>
      </c>
      <c r="B180" s="102" t="s">
        <v>83</v>
      </c>
      <c r="C180" s="102" t="s">
        <v>15</v>
      </c>
      <c r="D180" s="102" t="s">
        <v>84</v>
      </c>
      <c r="E180" s="102" t="s">
        <v>85</v>
      </c>
      <c r="F180" s="103" t="s">
        <v>86</v>
      </c>
      <c r="G180" s="102" t="s">
        <v>87</v>
      </c>
      <c r="H180" s="102" t="s">
        <v>88</v>
      </c>
      <c r="I180" s="102" t="s">
        <v>89</v>
      </c>
      <c r="J180" s="102" t="s">
        <v>90</v>
      </c>
      <c r="K180" s="102" t="s">
        <v>91</v>
      </c>
      <c r="L180" s="102" t="s">
        <v>143</v>
      </c>
      <c r="M180" s="102" t="s">
        <v>144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 x14ac:dyDescent="0.3">
      <c r="A181" s="104" t="s">
        <v>94</v>
      </c>
      <c r="B181" s="105" t="s">
        <v>145</v>
      </c>
      <c r="C181" s="105" t="s">
        <v>96</v>
      </c>
      <c r="D181" s="106" t="str">
        <f>E179</f>
        <v>nm</v>
      </c>
      <c r="E181" s="105" t="s">
        <v>97</v>
      </c>
      <c r="F181" s="105" t="e">
        <f>STDEV(Data!F40:J40)</f>
        <v>#DIV/0!</v>
      </c>
      <c r="G181" s="105">
        <f>SQRT(5)</f>
        <v>2.2360679774997898</v>
      </c>
      <c r="H181" s="105">
        <f>5-1</f>
        <v>4</v>
      </c>
      <c r="I181" s="105" t="e">
        <f t="shared" ref="I181:I184" si="40">(F181)/G181</f>
        <v>#DIV/0!</v>
      </c>
      <c r="J181" s="105">
        <v>1</v>
      </c>
      <c r="K181" s="105" t="e">
        <f t="shared" ref="K181:K184" si="41">I181*J181</f>
        <v>#DIV/0!</v>
      </c>
      <c r="L181" s="105" t="e">
        <f t="shared" ref="L181:L184" si="42">K181^2</f>
        <v>#DIV/0!</v>
      </c>
      <c r="M181" s="105" t="e">
        <f t="shared" ref="M181:M184" si="43">(K181^4)/H181</f>
        <v>#DIV/0!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 x14ac:dyDescent="0.3">
      <c r="A182" s="104" t="s">
        <v>98</v>
      </c>
      <c r="B182" s="105" t="s">
        <v>146</v>
      </c>
      <c r="C182" s="105" t="s">
        <v>100</v>
      </c>
      <c r="D182" s="106" t="str">
        <f>D181</f>
        <v>nm</v>
      </c>
      <c r="E182" s="105" t="s">
        <v>101</v>
      </c>
      <c r="F182" s="105">
        <f>H179/2</f>
        <v>0.5</v>
      </c>
      <c r="G182" s="105">
        <f>SQRT(3)</f>
        <v>1.7320508075688772</v>
      </c>
      <c r="H182" s="105">
        <v>50</v>
      </c>
      <c r="I182" s="105">
        <f t="shared" si="40"/>
        <v>0.28867513459481292</v>
      </c>
      <c r="J182" s="105">
        <v>1</v>
      </c>
      <c r="K182" s="105">
        <f t="shared" si="41"/>
        <v>0.28867513459481292</v>
      </c>
      <c r="L182" s="105">
        <f t="shared" si="42"/>
        <v>8.3333333333333356E-2</v>
      </c>
      <c r="M182" s="105">
        <f t="shared" si="43"/>
        <v>1.3888888888888897E-4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 x14ac:dyDescent="0.3">
      <c r="A183" s="104" t="s">
        <v>102</v>
      </c>
      <c r="B183" s="105" t="s">
        <v>147</v>
      </c>
      <c r="C183" s="105" t="s">
        <v>100</v>
      </c>
      <c r="D183" s="106" t="str">
        <f>D181</f>
        <v>nm</v>
      </c>
      <c r="E183" s="105" t="s">
        <v>97</v>
      </c>
      <c r="F183" s="107">
        <f>IF(D178="DG",VLOOKUP(D179,$Q$46:$T$56,3,FALSE),IF(D178="HG",VLOOKUP(D179,$Q$29:$T$42,3,FALSE),0))</f>
        <v>0</v>
      </c>
      <c r="G183" s="105">
        <v>2</v>
      </c>
      <c r="H183" s="105">
        <v>60</v>
      </c>
      <c r="I183" s="105">
        <f t="shared" si="40"/>
        <v>0</v>
      </c>
      <c r="J183" s="105">
        <v>1</v>
      </c>
      <c r="K183" s="105">
        <f t="shared" si="41"/>
        <v>0</v>
      </c>
      <c r="L183" s="105">
        <f t="shared" si="42"/>
        <v>0</v>
      </c>
      <c r="M183" s="105">
        <f t="shared" si="43"/>
        <v>0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 x14ac:dyDescent="0.3">
      <c r="A184" s="104" t="s">
        <v>104</v>
      </c>
      <c r="B184" s="105" t="s">
        <v>148</v>
      </c>
      <c r="C184" s="105" t="s">
        <v>100</v>
      </c>
      <c r="D184" s="106" t="str">
        <f>D181</f>
        <v>nm</v>
      </c>
      <c r="E184" s="105" t="s">
        <v>101</v>
      </c>
      <c r="F184" s="107">
        <v>0</v>
      </c>
      <c r="G184" s="105">
        <f>SQRT(3)</f>
        <v>1.7320508075688772</v>
      </c>
      <c r="H184" s="105">
        <v>50</v>
      </c>
      <c r="I184" s="105">
        <f t="shared" si="40"/>
        <v>0</v>
      </c>
      <c r="J184" s="105">
        <v>1</v>
      </c>
      <c r="K184" s="105">
        <f t="shared" si="41"/>
        <v>0</v>
      </c>
      <c r="L184" s="105">
        <f t="shared" si="42"/>
        <v>0</v>
      </c>
      <c r="M184" s="105">
        <f t="shared" si="43"/>
        <v>0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 x14ac:dyDescent="0.3">
      <c r="A185" s="108"/>
      <c r="B185" s="108"/>
      <c r="C185" s="108"/>
      <c r="D185" s="104"/>
      <c r="E185" s="104"/>
      <c r="F185" s="104"/>
      <c r="G185" s="104"/>
      <c r="H185" s="104"/>
      <c r="I185" s="104"/>
      <c r="J185" s="104"/>
      <c r="K185" s="104"/>
      <c r="L185" s="105"/>
      <c r="M185" s="104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 x14ac:dyDescent="0.3">
      <c r="A186" s="354" t="s">
        <v>106</v>
      </c>
      <c r="B186" s="336"/>
      <c r="C186" s="336"/>
      <c r="D186" s="336"/>
      <c r="E186" s="336"/>
      <c r="F186" s="336"/>
      <c r="G186" s="336"/>
      <c r="H186" s="336"/>
      <c r="I186" s="336"/>
      <c r="J186" s="345"/>
      <c r="K186" s="355" t="e">
        <f>SUM(L181:L185)</f>
        <v>#DIV/0!</v>
      </c>
      <c r="L186" s="345"/>
      <c r="M186" s="104" t="e">
        <f>SUM(M181:M185)</f>
        <v>#DIV/0!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 x14ac:dyDescent="0.3">
      <c r="A187" s="354" t="s">
        <v>107</v>
      </c>
      <c r="B187" s="336"/>
      <c r="C187" s="336"/>
      <c r="D187" s="336"/>
      <c r="E187" s="336"/>
      <c r="F187" s="336"/>
      <c r="G187" s="336"/>
      <c r="H187" s="336"/>
      <c r="I187" s="336"/>
      <c r="J187" s="345"/>
      <c r="K187" s="355" t="e">
        <f>SQRT(K186)</f>
        <v>#DIV/0!</v>
      </c>
      <c r="L187" s="345"/>
      <c r="M187" s="104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 x14ac:dyDescent="0.3">
      <c r="A188" s="354" t="s">
        <v>149</v>
      </c>
      <c r="B188" s="336"/>
      <c r="C188" s="336"/>
      <c r="D188" s="336"/>
      <c r="E188" s="336"/>
      <c r="F188" s="336"/>
      <c r="G188" s="336"/>
      <c r="H188" s="336"/>
      <c r="I188" s="336"/>
      <c r="J188" s="345"/>
      <c r="K188" s="109" t="e">
        <f>(K187^4)/M186</f>
        <v>#DIV/0!</v>
      </c>
      <c r="L188" s="110"/>
      <c r="M188" s="104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 x14ac:dyDescent="0.3">
      <c r="A189" s="354" t="s">
        <v>150</v>
      </c>
      <c r="B189" s="336"/>
      <c r="C189" s="336"/>
      <c r="D189" s="336"/>
      <c r="E189" s="336"/>
      <c r="F189" s="336"/>
      <c r="G189" s="336"/>
      <c r="H189" s="336"/>
      <c r="I189" s="336"/>
      <c r="J189" s="345"/>
      <c r="K189" s="109" t="e">
        <f>1.95996+2.37356/K188+2.818745/K188^2+2.546662/K188^3+1.761829/K188^4+0.245458/K188^5+1.000764/K188^6</f>
        <v>#DIV/0!</v>
      </c>
      <c r="L189" s="110"/>
      <c r="M189" s="104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 x14ac:dyDescent="0.3">
      <c r="A190" s="354" t="s">
        <v>110</v>
      </c>
      <c r="B190" s="336"/>
      <c r="C190" s="336"/>
      <c r="D190" s="336"/>
      <c r="E190" s="336"/>
      <c r="F190" s="336"/>
      <c r="G190" s="336"/>
      <c r="H190" s="336"/>
      <c r="I190" s="336"/>
      <c r="J190" s="345"/>
      <c r="K190" s="109" t="e">
        <f>K189*K187</f>
        <v>#DIV/0!</v>
      </c>
      <c r="L190" s="111"/>
      <c r="M190" s="104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 x14ac:dyDescent="0.3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 x14ac:dyDescent="0.3">
      <c r="A192" s="80" t="s">
        <v>48</v>
      </c>
      <c r="B192" s="3"/>
      <c r="C192" s="3"/>
      <c r="D192" s="169">
        <f>A13</f>
        <v>0</v>
      </c>
      <c r="E192" s="96"/>
      <c r="F192" s="90"/>
      <c r="G192" s="91"/>
      <c r="H192" s="69"/>
      <c r="I192" s="69"/>
      <c r="J192" s="69"/>
      <c r="K192" s="69"/>
      <c r="L192" s="69"/>
      <c r="M192" s="92" t="str">
        <f>M$38</f>
        <v>Wavelength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 x14ac:dyDescent="0.3">
      <c r="A193" s="94" t="s">
        <v>81</v>
      </c>
      <c r="B193" s="95"/>
      <c r="C193" s="95"/>
      <c r="D193" s="96">
        <f>B13</f>
        <v>0</v>
      </c>
      <c r="E193" s="89" t="s">
        <v>43</v>
      </c>
      <c r="F193" s="117"/>
      <c r="G193" s="101"/>
      <c r="H193" s="100">
        <f>Data!$I$9</f>
        <v>1</v>
      </c>
      <c r="I193" s="101"/>
      <c r="J193" s="101"/>
      <c r="K193" s="101"/>
      <c r="L193" s="101"/>
      <c r="M193" s="85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 x14ac:dyDescent="0.3">
      <c r="A194" s="102" t="s">
        <v>82</v>
      </c>
      <c r="B194" s="102" t="s">
        <v>83</v>
      </c>
      <c r="C194" s="102" t="s">
        <v>15</v>
      </c>
      <c r="D194" s="102" t="s">
        <v>84</v>
      </c>
      <c r="E194" s="102" t="s">
        <v>85</v>
      </c>
      <c r="F194" s="103" t="s">
        <v>86</v>
      </c>
      <c r="G194" s="102" t="s">
        <v>87</v>
      </c>
      <c r="H194" s="102" t="s">
        <v>88</v>
      </c>
      <c r="I194" s="102" t="s">
        <v>89</v>
      </c>
      <c r="J194" s="102" t="s">
        <v>90</v>
      </c>
      <c r="K194" s="102" t="s">
        <v>91</v>
      </c>
      <c r="L194" s="102" t="s">
        <v>151</v>
      </c>
      <c r="M194" s="102" t="s">
        <v>152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 x14ac:dyDescent="0.3">
      <c r="A195" s="104" t="s">
        <v>94</v>
      </c>
      <c r="B195" s="105" t="s">
        <v>153</v>
      </c>
      <c r="C195" s="105" t="s">
        <v>96</v>
      </c>
      <c r="D195" s="106" t="str">
        <f>E193</f>
        <v>nm</v>
      </c>
      <c r="E195" s="105" t="s">
        <v>97</v>
      </c>
      <c r="F195" s="105" t="e">
        <f>STDEV(Data!F41:J41)</f>
        <v>#DIV/0!</v>
      </c>
      <c r="G195" s="105">
        <f>SQRT(5)</f>
        <v>2.2360679774997898</v>
      </c>
      <c r="H195" s="105">
        <f>5-1</f>
        <v>4</v>
      </c>
      <c r="I195" s="105" t="e">
        <f t="shared" ref="I195:I198" si="44">(F195)/G195</f>
        <v>#DIV/0!</v>
      </c>
      <c r="J195" s="105">
        <v>1</v>
      </c>
      <c r="K195" s="105" t="e">
        <f t="shared" ref="K195:K198" si="45">I195*J195</f>
        <v>#DIV/0!</v>
      </c>
      <c r="L195" s="105" t="e">
        <f t="shared" ref="L195:L198" si="46">K195^2</f>
        <v>#DIV/0!</v>
      </c>
      <c r="M195" s="105" t="e">
        <f t="shared" ref="M195:M198" si="47">(K195^4)/H195</f>
        <v>#DIV/0!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 x14ac:dyDescent="0.3">
      <c r="A196" s="104" t="s">
        <v>98</v>
      </c>
      <c r="B196" s="105" t="s">
        <v>154</v>
      </c>
      <c r="C196" s="105" t="s">
        <v>100</v>
      </c>
      <c r="D196" s="106" t="str">
        <f>D195</f>
        <v>nm</v>
      </c>
      <c r="E196" s="105" t="s">
        <v>101</v>
      </c>
      <c r="F196" s="105">
        <f>H193/2</f>
        <v>0.5</v>
      </c>
      <c r="G196" s="105">
        <f>SQRT(3)</f>
        <v>1.7320508075688772</v>
      </c>
      <c r="H196" s="105">
        <v>50</v>
      </c>
      <c r="I196" s="105">
        <f t="shared" si="44"/>
        <v>0.28867513459481292</v>
      </c>
      <c r="J196" s="105">
        <v>1</v>
      </c>
      <c r="K196" s="105">
        <f t="shared" si="45"/>
        <v>0.28867513459481292</v>
      </c>
      <c r="L196" s="105">
        <f t="shared" si="46"/>
        <v>8.3333333333333356E-2</v>
      </c>
      <c r="M196" s="105">
        <f t="shared" si="47"/>
        <v>1.3888888888888897E-4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 x14ac:dyDescent="0.3">
      <c r="A197" s="104" t="s">
        <v>102</v>
      </c>
      <c r="B197" s="105" t="s">
        <v>155</v>
      </c>
      <c r="C197" s="105" t="s">
        <v>100</v>
      </c>
      <c r="D197" s="106" t="str">
        <f>D195</f>
        <v>nm</v>
      </c>
      <c r="E197" s="105" t="s">
        <v>97</v>
      </c>
      <c r="F197" s="107">
        <f>IF(D192="DG",VLOOKUP(D193,$Q$46:$T$56,3,FALSE),IF(D192="HG",VLOOKUP(D193,$Q$29:$T$42,3,FALSE),0))</f>
        <v>0</v>
      </c>
      <c r="G197" s="105">
        <v>2</v>
      </c>
      <c r="H197" s="105">
        <v>60</v>
      </c>
      <c r="I197" s="105">
        <f t="shared" si="44"/>
        <v>0</v>
      </c>
      <c r="J197" s="105">
        <v>1</v>
      </c>
      <c r="K197" s="105">
        <f t="shared" si="45"/>
        <v>0</v>
      </c>
      <c r="L197" s="105">
        <f t="shared" si="46"/>
        <v>0</v>
      </c>
      <c r="M197" s="105">
        <f t="shared" si="47"/>
        <v>0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 x14ac:dyDescent="0.3">
      <c r="A198" s="104" t="s">
        <v>104</v>
      </c>
      <c r="B198" s="105" t="s">
        <v>156</v>
      </c>
      <c r="C198" s="105" t="s">
        <v>100</v>
      </c>
      <c r="D198" s="106" t="str">
        <f>D195</f>
        <v>nm</v>
      </c>
      <c r="E198" s="105" t="s">
        <v>101</v>
      </c>
      <c r="F198" s="107">
        <v>0</v>
      </c>
      <c r="G198" s="105">
        <f>SQRT(3)</f>
        <v>1.7320508075688772</v>
      </c>
      <c r="H198" s="105">
        <v>50</v>
      </c>
      <c r="I198" s="105">
        <f t="shared" si="44"/>
        <v>0</v>
      </c>
      <c r="J198" s="105">
        <v>1</v>
      </c>
      <c r="K198" s="105">
        <f t="shared" si="45"/>
        <v>0</v>
      </c>
      <c r="L198" s="105">
        <f t="shared" si="46"/>
        <v>0</v>
      </c>
      <c r="M198" s="105">
        <f t="shared" si="47"/>
        <v>0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 x14ac:dyDescent="0.3">
      <c r="A199" s="108"/>
      <c r="B199" s="108"/>
      <c r="C199" s="108"/>
      <c r="D199" s="104"/>
      <c r="E199" s="104"/>
      <c r="F199" s="104"/>
      <c r="G199" s="104"/>
      <c r="H199" s="104"/>
      <c r="I199" s="104"/>
      <c r="J199" s="104"/>
      <c r="K199" s="104"/>
      <c r="L199" s="105"/>
      <c r="M199" s="104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 x14ac:dyDescent="0.3">
      <c r="A200" s="354" t="s">
        <v>106</v>
      </c>
      <c r="B200" s="336"/>
      <c r="C200" s="336"/>
      <c r="D200" s="336"/>
      <c r="E200" s="336"/>
      <c r="F200" s="336"/>
      <c r="G200" s="336"/>
      <c r="H200" s="336"/>
      <c r="I200" s="336"/>
      <c r="J200" s="345"/>
      <c r="K200" s="355" t="e">
        <f>SUM(L195:L199)</f>
        <v>#DIV/0!</v>
      </c>
      <c r="L200" s="345"/>
      <c r="M200" s="104" t="e">
        <f>SUM(M195:M199)</f>
        <v>#DIV/0!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 x14ac:dyDescent="0.3">
      <c r="A201" s="354" t="s">
        <v>107</v>
      </c>
      <c r="B201" s="336"/>
      <c r="C201" s="336"/>
      <c r="D201" s="336"/>
      <c r="E201" s="336"/>
      <c r="F201" s="336"/>
      <c r="G201" s="336"/>
      <c r="H201" s="336"/>
      <c r="I201" s="336"/>
      <c r="J201" s="345"/>
      <c r="K201" s="355" t="e">
        <f>SQRT(K200)</f>
        <v>#DIV/0!</v>
      </c>
      <c r="L201" s="345"/>
      <c r="M201" s="104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 x14ac:dyDescent="0.3">
      <c r="A202" s="354" t="s">
        <v>157</v>
      </c>
      <c r="B202" s="336"/>
      <c r="C202" s="336"/>
      <c r="D202" s="336"/>
      <c r="E202" s="336"/>
      <c r="F202" s="336"/>
      <c r="G202" s="336"/>
      <c r="H202" s="336"/>
      <c r="I202" s="336"/>
      <c r="J202" s="345"/>
      <c r="K202" s="109" t="e">
        <f>(K201^4)/M200</f>
        <v>#DIV/0!</v>
      </c>
      <c r="L202" s="110"/>
      <c r="M202" s="104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 x14ac:dyDescent="0.3">
      <c r="A203" s="354" t="s">
        <v>158</v>
      </c>
      <c r="B203" s="336"/>
      <c r="C203" s="336"/>
      <c r="D203" s="336"/>
      <c r="E203" s="336"/>
      <c r="F203" s="336"/>
      <c r="G203" s="336"/>
      <c r="H203" s="336"/>
      <c r="I203" s="336"/>
      <c r="J203" s="345"/>
      <c r="K203" s="109" t="e">
        <f>1.95996+2.37356/K202+2.818745/K202^2+2.546662/K202^3+1.761829/K202^4+0.245458/K202^5+1.000764/K202^6</f>
        <v>#DIV/0!</v>
      </c>
      <c r="L203" s="110"/>
      <c r="M203" s="104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 x14ac:dyDescent="0.3">
      <c r="A204" s="354" t="s">
        <v>110</v>
      </c>
      <c r="B204" s="336"/>
      <c r="C204" s="336"/>
      <c r="D204" s="336"/>
      <c r="E204" s="336"/>
      <c r="F204" s="336"/>
      <c r="G204" s="336"/>
      <c r="H204" s="336"/>
      <c r="I204" s="336"/>
      <c r="J204" s="345"/>
      <c r="K204" s="109" t="e">
        <f>K203*K201</f>
        <v>#DIV/0!</v>
      </c>
      <c r="L204" s="111"/>
      <c r="M204" s="104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 x14ac:dyDescent="0.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 x14ac:dyDescent="0.3">
      <c r="A206" s="80" t="s">
        <v>48</v>
      </c>
      <c r="B206" s="3"/>
      <c r="C206" s="3"/>
      <c r="D206" s="96">
        <f>A14</f>
        <v>0</v>
      </c>
      <c r="E206" s="88"/>
      <c r="F206" s="90"/>
      <c r="G206" s="91"/>
      <c r="H206" s="69"/>
      <c r="I206" s="69"/>
      <c r="J206" s="69"/>
      <c r="K206" s="69"/>
      <c r="L206" s="69"/>
      <c r="M206" s="92" t="str">
        <f>M$38</f>
        <v>Wavelength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 x14ac:dyDescent="0.3">
      <c r="A207" s="94" t="s">
        <v>81</v>
      </c>
      <c r="B207" s="95"/>
      <c r="C207" s="95"/>
      <c r="D207" s="96">
        <f>B14</f>
        <v>0</v>
      </c>
      <c r="E207" s="89" t="s">
        <v>43</v>
      </c>
      <c r="F207" s="117"/>
      <c r="G207" s="101"/>
      <c r="H207" s="100">
        <f>Data!$I$9</f>
        <v>1</v>
      </c>
      <c r="I207" s="101"/>
      <c r="J207" s="101"/>
      <c r="K207" s="101"/>
      <c r="L207" s="101"/>
      <c r="M207" s="85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 x14ac:dyDescent="0.3">
      <c r="A208" s="102" t="s">
        <v>82</v>
      </c>
      <c r="B208" s="102" t="s">
        <v>83</v>
      </c>
      <c r="C208" s="102" t="s">
        <v>15</v>
      </c>
      <c r="D208" s="102" t="s">
        <v>84</v>
      </c>
      <c r="E208" s="102" t="s">
        <v>85</v>
      </c>
      <c r="F208" s="103" t="s">
        <v>86</v>
      </c>
      <c r="G208" s="102" t="s">
        <v>87</v>
      </c>
      <c r="H208" s="102" t="s">
        <v>88</v>
      </c>
      <c r="I208" s="102" t="s">
        <v>89</v>
      </c>
      <c r="J208" s="102" t="s">
        <v>90</v>
      </c>
      <c r="K208" s="102" t="s">
        <v>91</v>
      </c>
      <c r="L208" s="102" t="s">
        <v>159</v>
      </c>
      <c r="M208" s="102" t="s">
        <v>160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 x14ac:dyDescent="0.3">
      <c r="A209" s="104" t="s">
        <v>94</v>
      </c>
      <c r="B209" s="105" t="s">
        <v>161</v>
      </c>
      <c r="C209" s="105" t="s">
        <v>96</v>
      </c>
      <c r="D209" s="106" t="str">
        <f>E207</f>
        <v>nm</v>
      </c>
      <c r="E209" s="105" t="s">
        <v>97</v>
      </c>
      <c r="F209" s="105" t="e">
        <f>STDEV(Data!F42:J42)</f>
        <v>#DIV/0!</v>
      </c>
      <c r="G209" s="105">
        <f>SQRT(5)</f>
        <v>2.2360679774997898</v>
      </c>
      <c r="H209" s="105">
        <f>5-1</f>
        <v>4</v>
      </c>
      <c r="I209" s="105" t="e">
        <f t="shared" ref="I209:I212" si="48">(+F209)/G209</f>
        <v>#DIV/0!</v>
      </c>
      <c r="J209" s="105">
        <v>1</v>
      </c>
      <c r="K209" s="105" t="e">
        <f t="shared" ref="K209:K212" si="49">I209*J209</f>
        <v>#DIV/0!</v>
      </c>
      <c r="L209" s="105" t="e">
        <f t="shared" ref="L209:L212" si="50">K209^2</f>
        <v>#DIV/0!</v>
      </c>
      <c r="M209" s="105" t="e">
        <f t="shared" ref="M209:M212" si="51">(K209^4)/H209</f>
        <v>#DIV/0!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 x14ac:dyDescent="0.3">
      <c r="A210" s="104" t="s">
        <v>98</v>
      </c>
      <c r="B210" s="105" t="s">
        <v>162</v>
      </c>
      <c r="C210" s="105" t="s">
        <v>100</v>
      </c>
      <c r="D210" s="106" t="str">
        <f>D209</f>
        <v>nm</v>
      </c>
      <c r="E210" s="105" t="s">
        <v>101</v>
      </c>
      <c r="F210" s="105">
        <f>H207/2</f>
        <v>0.5</v>
      </c>
      <c r="G210" s="105">
        <f>SQRT(3)</f>
        <v>1.7320508075688772</v>
      </c>
      <c r="H210" s="105">
        <v>50</v>
      </c>
      <c r="I210" s="105">
        <f t="shared" si="48"/>
        <v>0.28867513459481292</v>
      </c>
      <c r="J210" s="105">
        <v>1</v>
      </c>
      <c r="K210" s="105">
        <f t="shared" si="49"/>
        <v>0.28867513459481292</v>
      </c>
      <c r="L210" s="105">
        <f t="shared" si="50"/>
        <v>8.3333333333333356E-2</v>
      </c>
      <c r="M210" s="105">
        <f t="shared" si="51"/>
        <v>1.3888888888888897E-4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 x14ac:dyDescent="0.3">
      <c r="A211" s="104" t="s">
        <v>102</v>
      </c>
      <c r="B211" s="105" t="s">
        <v>163</v>
      </c>
      <c r="C211" s="105" t="s">
        <v>100</v>
      </c>
      <c r="D211" s="106" t="str">
        <f>D209</f>
        <v>nm</v>
      </c>
      <c r="E211" s="105" t="s">
        <v>97</v>
      </c>
      <c r="F211" s="107">
        <f>IF(D206="DG",VLOOKUP(D207,$Q$46:$T$56,3,FALSE),IF(D206="HG",VLOOKUP(D207,$Q$29:$T$42,3,FALSE),0))</f>
        <v>0</v>
      </c>
      <c r="G211" s="105">
        <v>2</v>
      </c>
      <c r="H211" s="105">
        <v>60</v>
      </c>
      <c r="I211" s="105">
        <f t="shared" si="48"/>
        <v>0</v>
      </c>
      <c r="J211" s="105">
        <v>1</v>
      </c>
      <c r="K211" s="105">
        <f t="shared" si="49"/>
        <v>0</v>
      </c>
      <c r="L211" s="105">
        <f t="shared" si="50"/>
        <v>0</v>
      </c>
      <c r="M211" s="105">
        <f t="shared" si="51"/>
        <v>0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 x14ac:dyDescent="0.3">
      <c r="A212" s="104" t="s">
        <v>104</v>
      </c>
      <c r="B212" s="105" t="s">
        <v>164</v>
      </c>
      <c r="C212" s="105" t="s">
        <v>100</v>
      </c>
      <c r="D212" s="106" t="str">
        <f>D209</f>
        <v>nm</v>
      </c>
      <c r="E212" s="105" t="s">
        <v>101</v>
      </c>
      <c r="F212" s="107">
        <v>0</v>
      </c>
      <c r="G212" s="105">
        <f>SQRT(3)</f>
        <v>1.7320508075688772</v>
      </c>
      <c r="H212" s="105">
        <v>50</v>
      </c>
      <c r="I212" s="105">
        <f t="shared" si="48"/>
        <v>0</v>
      </c>
      <c r="J212" s="105">
        <v>1</v>
      </c>
      <c r="K212" s="105">
        <f t="shared" si="49"/>
        <v>0</v>
      </c>
      <c r="L212" s="105">
        <f t="shared" si="50"/>
        <v>0</v>
      </c>
      <c r="M212" s="105">
        <f t="shared" si="51"/>
        <v>0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 x14ac:dyDescent="0.3">
      <c r="A213" s="108"/>
      <c r="B213" s="108"/>
      <c r="C213" s="108"/>
      <c r="D213" s="104"/>
      <c r="E213" s="104"/>
      <c r="F213" s="104"/>
      <c r="G213" s="104"/>
      <c r="H213" s="104"/>
      <c r="I213" s="104"/>
      <c r="J213" s="104"/>
      <c r="K213" s="104"/>
      <c r="L213" s="105"/>
      <c r="M213" s="104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 x14ac:dyDescent="0.3">
      <c r="A214" s="354" t="s">
        <v>106</v>
      </c>
      <c r="B214" s="336"/>
      <c r="C214" s="336"/>
      <c r="D214" s="336"/>
      <c r="E214" s="336"/>
      <c r="F214" s="336"/>
      <c r="G214" s="336"/>
      <c r="H214" s="336"/>
      <c r="I214" s="336"/>
      <c r="J214" s="345"/>
      <c r="K214" s="355" t="e">
        <f>SUM(L209:L213)</f>
        <v>#DIV/0!</v>
      </c>
      <c r="L214" s="345"/>
      <c r="M214" s="104" t="e">
        <f>SUM(M209:M213)</f>
        <v>#DIV/0!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 x14ac:dyDescent="0.3">
      <c r="A215" s="354" t="s">
        <v>107</v>
      </c>
      <c r="B215" s="336"/>
      <c r="C215" s="336"/>
      <c r="D215" s="336"/>
      <c r="E215" s="336"/>
      <c r="F215" s="336"/>
      <c r="G215" s="336"/>
      <c r="H215" s="336"/>
      <c r="I215" s="336"/>
      <c r="J215" s="345"/>
      <c r="K215" s="355" t="e">
        <f>SQRT(K214)</f>
        <v>#DIV/0!</v>
      </c>
      <c r="L215" s="345"/>
      <c r="M215" s="104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 x14ac:dyDescent="0.3">
      <c r="A216" s="354" t="s">
        <v>165</v>
      </c>
      <c r="B216" s="336"/>
      <c r="C216" s="336"/>
      <c r="D216" s="336"/>
      <c r="E216" s="336"/>
      <c r="F216" s="336"/>
      <c r="G216" s="336"/>
      <c r="H216" s="336"/>
      <c r="I216" s="336"/>
      <c r="J216" s="345"/>
      <c r="K216" s="109" t="e">
        <f>(K215^4)/M214</f>
        <v>#DIV/0!</v>
      </c>
      <c r="L216" s="110"/>
      <c r="M216" s="104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 x14ac:dyDescent="0.3">
      <c r="A217" s="354" t="s">
        <v>166</v>
      </c>
      <c r="B217" s="336"/>
      <c r="C217" s="336"/>
      <c r="D217" s="336"/>
      <c r="E217" s="336"/>
      <c r="F217" s="336"/>
      <c r="G217" s="336"/>
      <c r="H217" s="336"/>
      <c r="I217" s="336"/>
      <c r="J217" s="345"/>
      <c r="K217" s="109" t="e">
        <f>1.95996+2.37356/K216+2.818745/K216^2+2.546662/K216^3+1.761829/K216^4+0.245458/K216^5+1.000764/K216^6</f>
        <v>#DIV/0!</v>
      </c>
      <c r="L217" s="110"/>
      <c r="M217" s="104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 x14ac:dyDescent="0.3">
      <c r="A218" s="354" t="s">
        <v>110</v>
      </c>
      <c r="B218" s="336"/>
      <c r="C218" s="336"/>
      <c r="D218" s="336"/>
      <c r="E218" s="336"/>
      <c r="F218" s="336"/>
      <c r="G218" s="336"/>
      <c r="H218" s="336"/>
      <c r="I218" s="336"/>
      <c r="J218" s="345"/>
      <c r="K218" s="109" t="e">
        <f>K217*K215</f>
        <v>#DIV/0!</v>
      </c>
      <c r="L218" s="111"/>
      <c r="M218" s="104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 x14ac:dyDescent="0.3">
      <c r="A220" s="80" t="s">
        <v>48</v>
      </c>
      <c r="B220" s="3"/>
      <c r="C220" s="3"/>
      <c r="D220" s="96">
        <f>A15</f>
        <v>0</v>
      </c>
      <c r="E220" s="112"/>
      <c r="F220" s="90"/>
      <c r="G220" s="91"/>
      <c r="H220" s="69"/>
      <c r="I220" s="69"/>
      <c r="J220" s="69"/>
      <c r="K220" s="69"/>
      <c r="L220" s="69"/>
      <c r="M220" s="92" t="str">
        <f>M$38</f>
        <v>Wavelength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 x14ac:dyDescent="0.3">
      <c r="A221" s="94" t="s">
        <v>81</v>
      </c>
      <c r="B221" s="95"/>
      <c r="C221" s="95"/>
      <c r="D221" s="96">
        <f>B15</f>
        <v>0</v>
      </c>
      <c r="E221" s="65" t="s">
        <v>43</v>
      </c>
      <c r="F221" s="117"/>
      <c r="G221" s="101"/>
      <c r="H221" s="100">
        <f>Data!$I$9</f>
        <v>1</v>
      </c>
      <c r="I221" s="101"/>
      <c r="J221" s="101"/>
      <c r="K221" s="101"/>
      <c r="L221" s="101"/>
      <c r="M221" s="85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 x14ac:dyDescent="0.3">
      <c r="A222" s="102" t="s">
        <v>82</v>
      </c>
      <c r="B222" s="102" t="s">
        <v>83</v>
      </c>
      <c r="C222" s="102" t="s">
        <v>15</v>
      </c>
      <c r="D222" s="102" t="s">
        <v>84</v>
      </c>
      <c r="E222" s="102" t="s">
        <v>85</v>
      </c>
      <c r="F222" s="103" t="s">
        <v>86</v>
      </c>
      <c r="G222" s="102" t="s">
        <v>87</v>
      </c>
      <c r="H222" s="102" t="s">
        <v>88</v>
      </c>
      <c r="I222" s="102" t="s">
        <v>89</v>
      </c>
      <c r="J222" s="102" t="s">
        <v>90</v>
      </c>
      <c r="K222" s="102" t="s">
        <v>91</v>
      </c>
      <c r="L222" s="102" t="s">
        <v>167</v>
      </c>
      <c r="M222" s="102" t="s">
        <v>168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 x14ac:dyDescent="0.3">
      <c r="A223" s="104" t="s">
        <v>94</v>
      </c>
      <c r="B223" s="105" t="s">
        <v>169</v>
      </c>
      <c r="C223" s="105" t="s">
        <v>96</v>
      </c>
      <c r="D223" s="106" t="str">
        <f>E221</f>
        <v>nm</v>
      </c>
      <c r="E223" s="105" t="s">
        <v>97</v>
      </c>
      <c r="F223" s="105" t="e">
        <f>STDEV(Data!F43:J43)</f>
        <v>#DIV/0!</v>
      </c>
      <c r="G223" s="105">
        <f>SQRT(5)</f>
        <v>2.2360679774997898</v>
      </c>
      <c r="H223" s="105">
        <f>5-1</f>
        <v>4</v>
      </c>
      <c r="I223" s="105" t="e">
        <f t="shared" ref="I223:I226" si="52">(F223)/G223</f>
        <v>#DIV/0!</v>
      </c>
      <c r="J223" s="105">
        <v>1</v>
      </c>
      <c r="K223" s="105" t="e">
        <f t="shared" ref="K223:K226" si="53">I223*J223</f>
        <v>#DIV/0!</v>
      </c>
      <c r="L223" s="105" t="e">
        <f t="shared" ref="L223:L226" si="54">K223^2</f>
        <v>#DIV/0!</v>
      </c>
      <c r="M223" s="105" t="e">
        <f t="shared" ref="M223:M226" si="55">(K223^4)/H223</f>
        <v>#DIV/0!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 x14ac:dyDescent="0.3">
      <c r="A224" s="104" t="s">
        <v>98</v>
      </c>
      <c r="B224" s="105" t="s">
        <v>170</v>
      </c>
      <c r="C224" s="105" t="s">
        <v>100</v>
      </c>
      <c r="D224" s="106" t="str">
        <f>D223</f>
        <v>nm</v>
      </c>
      <c r="E224" s="105" t="s">
        <v>101</v>
      </c>
      <c r="F224" s="105">
        <f>H221/2</f>
        <v>0.5</v>
      </c>
      <c r="G224" s="105">
        <f>SQRT(3)</f>
        <v>1.7320508075688772</v>
      </c>
      <c r="H224" s="105">
        <v>50</v>
      </c>
      <c r="I224" s="105">
        <f t="shared" si="52"/>
        <v>0.28867513459481292</v>
      </c>
      <c r="J224" s="105">
        <v>1</v>
      </c>
      <c r="K224" s="105">
        <f t="shared" si="53"/>
        <v>0.28867513459481292</v>
      </c>
      <c r="L224" s="105">
        <f t="shared" si="54"/>
        <v>8.3333333333333356E-2</v>
      </c>
      <c r="M224" s="105">
        <f t="shared" si="55"/>
        <v>1.3888888888888897E-4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 x14ac:dyDescent="0.3">
      <c r="A225" s="104" t="s">
        <v>102</v>
      </c>
      <c r="B225" s="105" t="s">
        <v>171</v>
      </c>
      <c r="C225" s="105" t="s">
        <v>100</v>
      </c>
      <c r="D225" s="106" t="str">
        <f>D223</f>
        <v>nm</v>
      </c>
      <c r="E225" s="105" t="s">
        <v>97</v>
      </c>
      <c r="F225" s="107">
        <f>IF(D220="DG",VLOOKUP(D221,$Q$46:$T$56,3,FALSE),IF(D220="HG",VLOOKUP(D221,$Q$29:$T$42,3,FALSE),0))</f>
        <v>0</v>
      </c>
      <c r="G225" s="105">
        <v>2</v>
      </c>
      <c r="H225" s="105">
        <v>60</v>
      </c>
      <c r="I225" s="105">
        <f t="shared" si="52"/>
        <v>0</v>
      </c>
      <c r="J225" s="105">
        <v>1</v>
      </c>
      <c r="K225" s="105">
        <f t="shared" si="53"/>
        <v>0</v>
      </c>
      <c r="L225" s="105">
        <f t="shared" si="54"/>
        <v>0</v>
      </c>
      <c r="M225" s="105">
        <f t="shared" si="55"/>
        <v>0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 x14ac:dyDescent="0.3">
      <c r="A226" s="104" t="s">
        <v>104</v>
      </c>
      <c r="B226" s="105" t="s">
        <v>172</v>
      </c>
      <c r="C226" s="105" t="s">
        <v>100</v>
      </c>
      <c r="D226" s="106" t="str">
        <f>D223</f>
        <v>nm</v>
      </c>
      <c r="E226" s="105" t="s">
        <v>101</v>
      </c>
      <c r="F226" s="107">
        <v>0</v>
      </c>
      <c r="G226" s="105">
        <f>SQRT(3)</f>
        <v>1.7320508075688772</v>
      </c>
      <c r="H226" s="105">
        <v>50</v>
      </c>
      <c r="I226" s="105">
        <f t="shared" si="52"/>
        <v>0</v>
      </c>
      <c r="J226" s="105">
        <v>1</v>
      </c>
      <c r="K226" s="105">
        <f t="shared" si="53"/>
        <v>0</v>
      </c>
      <c r="L226" s="105">
        <f t="shared" si="54"/>
        <v>0</v>
      </c>
      <c r="M226" s="105">
        <f t="shared" si="55"/>
        <v>0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 x14ac:dyDescent="0.3">
      <c r="A227" s="108"/>
      <c r="B227" s="108"/>
      <c r="C227" s="108"/>
      <c r="D227" s="104"/>
      <c r="E227" s="104"/>
      <c r="F227" s="104"/>
      <c r="G227" s="104"/>
      <c r="H227" s="104"/>
      <c r="I227" s="104"/>
      <c r="J227" s="104"/>
      <c r="K227" s="104"/>
      <c r="L227" s="105"/>
      <c r="M227" s="104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 x14ac:dyDescent="0.3">
      <c r="A228" s="354" t="s">
        <v>106</v>
      </c>
      <c r="B228" s="336"/>
      <c r="C228" s="336"/>
      <c r="D228" s="336"/>
      <c r="E228" s="336"/>
      <c r="F228" s="336"/>
      <c r="G228" s="336"/>
      <c r="H228" s="336"/>
      <c r="I228" s="336"/>
      <c r="J228" s="345"/>
      <c r="K228" s="355" t="e">
        <f>SUM(L223:L227)</f>
        <v>#DIV/0!</v>
      </c>
      <c r="L228" s="345"/>
      <c r="M228" s="104" t="e">
        <f>SUM(M223:M227)</f>
        <v>#DIV/0!</v>
      </c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 x14ac:dyDescent="0.3">
      <c r="A229" s="354" t="s">
        <v>107</v>
      </c>
      <c r="B229" s="336"/>
      <c r="C229" s="336"/>
      <c r="D229" s="336"/>
      <c r="E229" s="336"/>
      <c r="F229" s="336"/>
      <c r="G229" s="336"/>
      <c r="H229" s="336"/>
      <c r="I229" s="336"/>
      <c r="J229" s="345"/>
      <c r="K229" s="355" t="e">
        <f>SQRT(K228)</f>
        <v>#DIV/0!</v>
      </c>
      <c r="L229" s="345"/>
      <c r="M229" s="104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 x14ac:dyDescent="0.3">
      <c r="A230" s="354" t="s">
        <v>173</v>
      </c>
      <c r="B230" s="336"/>
      <c r="C230" s="336"/>
      <c r="D230" s="336"/>
      <c r="E230" s="336"/>
      <c r="F230" s="336"/>
      <c r="G230" s="336"/>
      <c r="H230" s="336"/>
      <c r="I230" s="336"/>
      <c r="J230" s="345"/>
      <c r="K230" s="109" t="e">
        <f>(K229^4)/M228</f>
        <v>#DIV/0!</v>
      </c>
      <c r="L230" s="110"/>
      <c r="M230" s="104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 x14ac:dyDescent="0.3">
      <c r="A231" s="354" t="s">
        <v>174</v>
      </c>
      <c r="B231" s="336"/>
      <c r="C231" s="336"/>
      <c r="D231" s="336"/>
      <c r="E231" s="336"/>
      <c r="F231" s="336"/>
      <c r="G231" s="336"/>
      <c r="H231" s="336"/>
      <c r="I231" s="336"/>
      <c r="J231" s="345"/>
      <c r="K231" s="109" t="e">
        <f>1.95996+2.37356/K230+2.818745/K230^2+2.546662/K230^3+1.761829/K230^4+0.245458/K230^5+1.000764/K230^6</f>
        <v>#DIV/0!</v>
      </c>
      <c r="L231" s="110"/>
      <c r="M231" s="104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 x14ac:dyDescent="0.3">
      <c r="A232" s="354" t="s">
        <v>110</v>
      </c>
      <c r="B232" s="336"/>
      <c r="C232" s="336"/>
      <c r="D232" s="336"/>
      <c r="E232" s="336"/>
      <c r="F232" s="336"/>
      <c r="G232" s="336"/>
      <c r="H232" s="336"/>
      <c r="I232" s="336"/>
      <c r="J232" s="345"/>
      <c r="K232" s="109" t="e">
        <f>K231*K229</f>
        <v>#DIV/0!</v>
      </c>
      <c r="L232" s="111"/>
      <c r="M232" s="104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 x14ac:dyDescent="0.3">
      <c r="A234" s="80" t="s">
        <v>48</v>
      </c>
      <c r="B234" s="3"/>
      <c r="C234" s="3"/>
      <c r="D234" s="96">
        <f>A16</f>
        <v>0</v>
      </c>
      <c r="E234" s="112"/>
      <c r="F234" s="90"/>
      <c r="G234" s="91"/>
      <c r="H234" s="69"/>
      <c r="I234" s="69"/>
      <c r="J234" s="69"/>
      <c r="K234" s="69"/>
      <c r="L234" s="69"/>
      <c r="M234" s="92" t="str">
        <f>M$38</f>
        <v>Wavelength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 x14ac:dyDescent="0.3">
      <c r="A235" s="94" t="s">
        <v>81</v>
      </c>
      <c r="B235" s="95"/>
      <c r="C235" s="95"/>
      <c r="D235" s="96" t="e">
        <f>#REF!</f>
        <v>#REF!</v>
      </c>
      <c r="E235" s="89" t="s">
        <v>43</v>
      </c>
      <c r="F235" s="117"/>
      <c r="G235" s="101"/>
      <c r="H235" s="100">
        <f>Data!$I$9</f>
        <v>1</v>
      </c>
      <c r="I235" s="101"/>
      <c r="J235" s="101"/>
      <c r="K235" s="101"/>
      <c r="L235" s="101"/>
      <c r="M235" s="85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 x14ac:dyDescent="0.3">
      <c r="A236" s="102" t="s">
        <v>82</v>
      </c>
      <c r="B236" s="102" t="s">
        <v>83</v>
      </c>
      <c r="C236" s="102" t="s">
        <v>15</v>
      </c>
      <c r="D236" s="102" t="s">
        <v>84</v>
      </c>
      <c r="E236" s="102" t="s">
        <v>85</v>
      </c>
      <c r="F236" s="103" t="s">
        <v>86</v>
      </c>
      <c r="G236" s="102" t="s">
        <v>87</v>
      </c>
      <c r="H236" s="102" t="s">
        <v>88</v>
      </c>
      <c r="I236" s="102" t="s">
        <v>89</v>
      </c>
      <c r="J236" s="102" t="s">
        <v>90</v>
      </c>
      <c r="K236" s="102" t="s">
        <v>91</v>
      </c>
      <c r="L236" s="102" t="s">
        <v>175</v>
      </c>
      <c r="M236" s="102" t="s">
        <v>176</v>
      </c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 x14ac:dyDescent="0.3">
      <c r="A237" s="104" t="s">
        <v>94</v>
      </c>
      <c r="B237" s="105" t="s">
        <v>177</v>
      </c>
      <c r="C237" s="105" t="s">
        <v>96</v>
      </c>
      <c r="D237" s="106" t="str">
        <f>E235</f>
        <v>nm</v>
      </c>
      <c r="E237" s="105" t="s">
        <v>97</v>
      </c>
      <c r="F237" s="105" t="e">
        <f>STDEV(Data!F44:J44)</f>
        <v>#DIV/0!</v>
      </c>
      <c r="G237" s="105">
        <f>SQRT(5)</f>
        <v>2.2360679774997898</v>
      </c>
      <c r="H237" s="105">
        <f>5-1</f>
        <v>4</v>
      </c>
      <c r="I237" s="105" t="e">
        <f t="shared" ref="I237:I240" si="56">(F237)/G237</f>
        <v>#DIV/0!</v>
      </c>
      <c r="J237" s="105">
        <v>1</v>
      </c>
      <c r="K237" s="105" t="e">
        <f t="shared" ref="K237:K240" si="57">I237*J237</f>
        <v>#DIV/0!</v>
      </c>
      <c r="L237" s="105" t="e">
        <f t="shared" ref="L237:L240" si="58">K237^2</f>
        <v>#DIV/0!</v>
      </c>
      <c r="M237" s="105" t="e">
        <f t="shared" ref="M237:M240" si="59">(K237^4)/H237</f>
        <v>#DIV/0!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 x14ac:dyDescent="0.3">
      <c r="A238" s="104" t="s">
        <v>98</v>
      </c>
      <c r="B238" s="105" t="s">
        <v>178</v>
      </c>
      <c r="C238" s="105" t="s">
        <v>100</v>
      </c>
      <c r="D238" s="106" t="str">
        <f>D237</f>
        <v>nm</v>
      </c>
      <c r="E238" s="105" t="s">
        <v>101</v>
      </c>
      <c r="F238" s="105">
        <f>H235/2</f>
        <v>0.5</v>
      </c>
      <c r="G238" s="105">
        <f>SQRT(3)</f>
        <v>1.7320508075688772</v>
      </c>
      <c r="H238" s="105">
        <v>50</v>
      </c>
      <c r="I238" s="105">
        <f t="shared" si="56"/>
        <v>0.28867513459481292</v>
      </c>
      <c r="J238" s="105">
        <v>1</v>
      </c>
      <c r="K238" s="105">
        <f t="shared" si="57"/>
        <v>0.28867513459481292</v>
      </c>
      <c r="L238" s="105">
        <f t="shared" si="58"/>
        <v>8.3333333333333356E-2</v>
      </c>
      <c r="M238" s="105">
        <f t="shared" si="59"/>
        <v>1.3888888888888897E-4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 x14ac:dyDescent="0.3">
      <c r="A239" s="104" t="s">
        <v>102</v>
      </c>
      <c r="B239" s="105" t="s">
        <v>179</v>
      </c>
      <c r="C239" s="105" t="s">
        <v>100</v>
      </c>
      <c r="D239" s="106" t="str">
        <f>D237</f>
        <v>nm</v>
      </c>
      <c r="E239" s="105" t="s">
        <v>97</v>
      </c>
      <c r="F239" s="107">
        <f>IF(D234="DG",VLOOKUP(D235,$Q$46:$T$56,3,FALSE),IF(D234="HG",VLOOKUP(D235,$Q$29:$T$42,3,FALSE),0))</f>
        <v>0</v>
      </c>
      <c r="G239" s="105">
        <v>2</v>
      </c>
      <c r="H239" s="105">
        <v>60</v>
      </c>
      <c r="I239" s="105">
        <f t="shared" si="56"/>
        <v>0</v>
      </c>
      <c r="J239" s="105">
        <v>1</v>
      </c>
      <c r="K239" s="105">
        <f t="shared" si="57"/>
        <v>0</v>
      </c>
      <c r="L239" s="105">
        <f t="shared" si="58"/>
        <v>0</v>
      </c>
      <c r="M239" s="105">
        <f t="shared" si="59"/>
        <v>0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 x14ac:dyDescent="0.3">
      <c r="A240" s="104" t="s">
        <v>104</v>
      </c>
      <c r="B240" s="105" t="s">
        <v>180</v>
      </c>
      <c r="C240" s="105" t="s">
        <v>100</v>
      </c>
      <c r="D240" s="106" t="str">
        <f>D237</f>
        <v>nm</v>
      </c>
      <c r="E240" s="105" t="s">
        <v>101</v>
      </c>
      <c r="F240" s="107">
        <v>0</v>
      </c>
      <c r="G240" s="105">
        <f>SQRT(3)</f>
        <v>1.7320508075688772</v>
      </c>
      <c r="H240" s="105">
        <v>50</v>
      </c>
      <c r="I240" s="105">
        <f t="shared" si="56"/>
        <v>0</v>
      </c>
      <c r="J240" s="105">
        <v>1</v>
      </c>
      <c r="K240" s="105">
        <f t="shared" si="57"/>
        <v>0</v>
      </c>
      <c r="L240" s="105">
        <f t="shared" si="58"/>
        <v>0</v>
      </c>
      <c r="M240" s="105">
        <f t="shared" si="59"/>
        <v>0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 x14ac:dyDescent="0.3">
      <c r="A241" s="108"/>
      <c r="B241" s="108"/>
      <c r="C241" s="108"/>
      <c r="D241" s="104"/>
      <c r="E241" s="104"/>
      <c r="F241" s="104"/>
      <c r="G241" s="104"/>
      <c r="H241" s="104"/>
      <c r="I241" s="104"/>
      <c r="J241" s="104"/>
      <c r="K241" s="104"/>
      <c r="L241" s="105"/>
      <c r="M241" s="104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 x14ac:dyDescent="0.3">
      <c r="A242" s="354" t="s">
        <v>106</v>
      </c>
      <c r="B242" s="336"/>
      <c r="C242" s="336"/>
      <c r="D242" s="336"/>
      <c r="E242" s="336"/>
      <c r="F242" s="336"/>
      <c r="G242" s="336"/>
      <c r="H242" s="336"/>
      <c r="I242" s="336"/>
      <c r="J242" s="345"/>
      <c r="K242" s="355" t="e">
        <f>SUM(L237:L241)</f>
        <v>#DIV/0!</v>
      </c>
      <c r="L242" s="345"/>
      <c r="M242" s="104" t="e">
        <f>SUM(M237:M241)</f>
        <v>#DIV/0!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 x14ac:dyDescent="0.3">
      <c r="A243" s="354" t="s">
        <v>107</v>
      </c>
      <c r="B243" s="336"/>
      <c r="C243" s="336"/>
      <c r="D243" s="336"/>
      <c r="E243" s="336"/>
      <c r="F243" s="336"/>
      <c r="G243" s="336"/>
      <c r="H243" s="336"/>
      <c r="I243" s="336"/>
      <c r="J243" s="345"/>
      <c r="K243" s="355" t="e">
        <f>SQRT(K242)</f>
        <v>#DIV/0!</v>
      </c>
      <c r="L243" s="345"/>
      <c r="M243" s="104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 x14ac:dyDescent="0.3">
      <c r="A244" s="354" t="s">
        <v>181</v>
      </c>
      <c r="B244" s="336"/>
      <c r="C244" s="336"/>
      <c r="D244" s="336"/>
      <c r="E244" s="336"/>
      <c r="F244" s="336"/>
      <c r="G244" s="336"/>
      <c r="H244" s="336"/>
      <c r="I244" s="336"/>
      <c r="J244" s="345"/>
      <c r="K244" s="109" t="e">
        <f>(K243^4)/M242</f>
        <v>#DIV/0!</v>
      </c>
      <c r="L244" s="110"/>
      <c r="M244" s="104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 x14ac:dyDescent="0.3">
      <c r="A245" s="354" t="s">
        <v>182</v>
      </c>
      <c r="B245" s="336"/>
      <c r="C245" s="336"/>
      <c r="D245" s="336"/>
      <c r="E245" s="336"/>
      <c r="F245" s="336"/>
      <c r="G245" s="336"/>
      <c r="H245" s="336"/>
      <c r="I245" s="336"/>
      <c r="J245" s="345"/>
      <c r="K245" s="109" t="e">
        <f>1.95996+2.37356/K244+2.818745/K244^2+2.546662/K244^3+1.761829/K244^4+0.245458/K244^5+1.000764/K244^6</f>
        <v>#DIV/0!</v>
      </c>
      <c r="L245" s="110"/>
      <c r="M245" s="104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 x14ac:dyDescent="0.3">
      <c r="A246" s="354" t="s">
        <v>110</v>
      </c>
      <c r="B246" s="336"/>
      <c r="C246" s="336"/>
      <c r="D246" s="336"/>
      <c r="E246" s="336"/>
      <c r="F246" s="336"/>
      <c r="G246" s="336"/>
      <c r="H246" s="336"/>
      <c r="I246" s="336"/>
      <c r="J246" s="345"/>
      <c r="K246" s="109" t="e">
        <f>K245*K243</f>
        <v>#DIV/0!</v>
      </c>
      <c r="L246" s="111"/>
      <c r="M246" s="104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/>
    <row r="448" spans="1:26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  <row r="1013" ht="15.75" customHeight="1" x14ac:dyDescent="0.3"/>
    <row r="1014" ht="15.75" customHeight="1" x14ac:dyDescent="0.3"/>
    <row r="1015" ht="15.75" customHeight="1" x14ac:dyDescent="0.3"/>
    <row r="1016" ht="15.75" customHeight="1" x14ac:dyDescent="0.3"/>
    <row r="1017" ht="15.75" customHeight="1" x14ac:dyDescent="0.3"/>
    <row r="1018" ht="15.75" customHeight="1" x14ac:dyDescent="0.3"/>
    <row r="1019" ht="15.75" customHeight="1" x14ac:dyDescent="0.3"/>
    <row r="1020" ht="15.75" customHeight="1" x14ac:dyDescent="0.3"/>
    <row r="1021" ht="15.75" customHeight="1" x14ac:dyDescent="0.3"/>
    <row r="1022" ht="15.75" customHeight="1" x14ac:dyDescent="0.3"/>
    <row r="1023" ht="15.75" customHeight="1" x14ac:dyDescent="0.3"/>
    <row r="1024" ht="15.75" customHeight="1" x14ac:dyDescent="0.3"/>
    <row r="1025" ht="15.75" customHeight="1" x14ac:dyDescent="0.3"/>
    <row r="1026" ht="15.75" customHeight="1" x14ac:dyDescent="0.3"/>
    <row r="1027" ht="15.75" customHeight="1" x14ac:dyDescent="0.3"/>
    <row r="1028" ht="15.75" customHeight="1" x14ac:dyDescent="0.3"/>
    <row r="1029" ht="15.75" customHeight="1" x14ac:dyDescent="0.3"/>
    <row r="1030" ht="15.75" customHeight="1" x14ac:dyDescent="0.3"/>
    <row r="1031" ht="15.75" customHeight="1" x14ac:dyDescent="0.3"/>
    <row r="1032" ht="15.75" customHeight="1" x14ac:dyDescent="0.3"/>
    <row r="1033" ht="15.75" customHeight="1" x14ac:dyDescent="0.3"/>
    <row r="1034" ht="15.75" customHeight="1" x14ac:dyDescent="0.3"/>
    <row r="1035" ht="15.75" customHeight="1" x14ac:dyDescent="0.3"/>
    <row r="1036" ht="15.75" customHeight="1" x14ac:dyDescent="0.3"/>
    <row r="1037" ht="15.75" customHeight="1" x14ac:dyDescent="0.3"/>
    <row r="1038" ht="15.75" customHeight="1" x14ac:dyDescent="0.3"/>
    <row r="1039" ht="15.75" customHeight="1" x14ac:dyDescent="0.3"/>
    <row r="1040" ht="15.75" customHeight="1" x14ac:dyDescent="0.3"/>
    <row r="1041" ht="15.75" customHeight="1" x14ac:dyDescent="0.3"/>
    <row r="1042" ht="15.75" customHeight="1" x14ac:dyDescent="0.3"/>
    <row r="1043" ht="15.75" customHeight="1" x14ac:dyDescent="0.3"/>
    <row r="1044" ht="15.75" customHeight="1" x14ac:dyDescent="0.3"/>
    <row r="1045" ht="15.75" customHeight="1" x14ac:dyDescent="0.3"/>
    <row r="1046" ht="15.75" customHeight="1" x14ac:dyDescent="0.3"/>
    <row r="1047" ht="15.75" customHeight="1" x14ac:dyDescent="0.3"/>
    <row r="1048" ht="15.75" customHeight="1" x14ac:dyDescent="0.3"/>
    <row r="1049" ht="15.75" customHeight="1" x14ac:dyDescent="0.3"/>
    <row r="1050" ht="15.75" customHeight="1" x14ac:dyDescent="0.3"/>
    <row r="1051" ht="15.75" customHeight="1" x14ac:dyDescent="0.3"/>
    <row r="1052" ht="15.75" customHeight="1" x14ac:dyDescent="0.3"/>
    <row r="1053" ht="15.75" customHeight="1" x14ac:dyDescent="0.3"/>
    <row r="1054" ht="15.75" customHeight="1" x14ac:dyDescent="0.3"/>
    <row r="1055" ht="15.75" customHeight="1" x14ac:dyDescent="0.3"/>
    <row r="1056" ht="15.75" customHeight="1" x14ac:dyDescent="0.3"/>
    <row r="1057" ht="15.75" customHeight="1" x14ac:dyDescent="0.3"/>
    <row r="1058" ht="15.75" customHeight="1" x14ac:dyDescent="0.3"/>
    <row r="1059" ht="15.75" customHeight="1" x14ac:dyDescent="0.3"/>
    <row r="1060" ht="15.75" customHeight="1" x14ac:dyDescent="0.3"/>
    <row r="1061" ht="15.75" customHeight="1" x14ac:dyDescent="0.3"/>
    <row r="1062" ht="15.75" customHeight="1" x14ac:dyDescent="0.3"/>
    <row r="1063" ht="15.75" customHeight="1" x14ac:dyDescent="0.3"/>
    <row r="1064" ht="15.75" customHeight="1" x14ac:dyDescent="0.3"/>
    <row r="1065" ht="15.75" customHeight="1" x14ac:dyDescent="0.3"/>
    <row r="1066" ht="15.75" customHeight="1" x14ac:dyDescent="0.3"/>
    <row r="1067" ht="15.75" customHeight="1" x14ac:dyDescent="0.3"/>
    <row r="1068" ht="15.75" customHeight="1" x14ac:dyDescent="0.3"/>
    <row r="1069" ht="15.75" customHeight="1" x14ac:dyDescent="0.3"/>
    <row r="1070" ht="15.75" customHeight="1" x14ac:dyDescent="0.3"/>
    <row r="1071" ht="15.75" customHeight="1" x14ac:dyDescent="0.3"/>
    <row r="1072" ht="15.75" customHeight="1" x14ac:dyDescent="0.3"/>
    <row r="1073" ht="15.75" customHeight="1" x14ac:dyDescent="0.3"/>
    <row r="1074" ht="15.75" customHeight="1" x14ac:dyDescent="0.3"/>
    <row r="1075" ht="15.75" customHeight="1" x14ac:dyDescent="0.3"/>
    <row r="1076" ht="15.75" customHeight="1" x14ac:dyDescent="0.3"/>
    <row r="1077" ht="15.75" customHeight="1" x14ac:dyDescent="0.3"/>
    <row r="1078" ht="15.75" customHeight="1" x14ac:dyDescent="0.3"/>
    <row r="1079" ht="15.75" customHeight="1" x14ac:dyDescent="0.3"/>
  </sheetData>
  <mergeCells count="108">
    <mergeCell ref="A144:J144"/>
    <mergeCell ref="K144:L144"/>
    <mergeCell ref="A145:J145"/>
    <mergeCell ref="K145:L145"/>
    <mergeCell ref="A146:J146"/>
    <mergeCell ref="A173:J173"/>
    <mergeCell ref="A116:J116"/>
    <mergeCell ref="K116:L116"/>
    <mergeCell ref="A117:J117"/>
    <mergeCell ref="K117:L117"/>
    <mergeCell ref="A118:J118"/>
    <mergeCell ref="A119:J119"/>
    <mergeCell ref="A120:J120"/>
    <mergeCell ref="A130:J130"/>
    <mergeCell ref="K130:L130"/>
    <mergeCell ref="K173:L173"/>
    <mergeCell ref="A160:J160"/>
    <mergeCell ref="A161:J161"/>
    <mergeCell ref="A162:J162"/>
    <mergeCell ref="A172:J172"/>
    <mergeCell ref="K172:L172"/>
    <mergeCell ref="A147:J147"/>
    <mergeCell ref="A148:J148"/>
    <mergeCell ref="A158:J158"/>
    <mergeCell ref="A174:J174"/>
    <mergeCell ref="A175:J175"/>
    <mergeCell ref="A176:J176"/>
    <mergeCell ref="K242:L242"/>
    <mergeCell ref="A228:J228"/>
    <mergeCell ref="K228:L228"/>
    <mergeCell ref="A229:J229"/>
    <mergeCell ref="K229:L229"/>
    <mergeCell ref="A230:J230"/>
    <mergeCell ref="A231:J231"/>
    <mergeCell ref="A232:J232"/>
    <mergeCell ref="A188:J188"/>
    <mergeCell ref="A189:J189"/>
    <mergeCell ref="A190:J190"/>
    <mergeCell ref="A200:J200"/>
    <mergeCell ref="A218:J218"/>
    <mergeCell ref="A216:J216"/>
    <mergeCell ref="A217:J217"/>
    <mergeCell ref="A243:J243"/>
    <mergeCell ref="K243:L243"/>
    <mergeCell ref="A244:J244"/>
    <mergeCell ref="A245:J245"/>
    <mergeCell ref="A246:J246"/>
    <mergeCell ref="A28:D28"/>
    <mergeCell ref="A29:D29"/>
    <mergeCell ref="A30:D30"/>
    <mergeCell ref="A46:J46"/>
    <mergeCell ref="K46:L46"/>
    <mergeCell ref="K47:L47"/>
    <mergeCell ref="A47:J47"/>
    <mergeCell ref="A48:J48"/>
    <mergeCell ref="A49:J49"/>
    <mergeCell ref="A50:J50"/>
    <mergeCell ref="A60:J60"/>
    <mergeCell ref="K60:L60"/>
    <mergeCell ref="K61:L61"/>
    <mergeCell ref="A61:J61"/>
    <mergeCell ref="A62:J62"/>
    <mergeCell ref="A63:J63"/>
    <mergeCell ref="A64:J64"/>
    <mergeCell ref="A74:J74"/>
    <mergeCell ref="A242:J242"/>
    <mergeCell ref="A105:J105"/>
    <mergeCell ref="A106:J106"/>
    <mergeCell ref="A186:J186"/>
    <mergeCell ref="K186:L186"/>
    <mergeCell ref="K187:L187"/>
    <mergeCell ref="A204:J204"/>
    <mergeCell ref="A214:J214"/>
    <mergeCell ref="K214:L214"/>
    <mergeCell ref="K215:L215"/>
    <mergeCell ref="A215:J215"/>
    <mergeCell ref="K200:L200"/>
    <mergeCell ref="K201:L201"/>
    <mergeCell ref="A201:J201"/>
    <mergeCell ref="A131:J131"/>
    <mergeCell ref="K131:L131"/>
    <mergeCell ref="A132:J132"/>
    <mergeCell ref="A133:J133"/>
    <mergeCell ref="A134:J134"/>
    <mergeCell ref="A202:J202"/>
    <mergeCell ref="A203:J203"/>
    <mergeCell ref="A187:J187"/>
    <mergeCell ref="K158:L158"/>
    <mergeCell ref="A159:J159"/>
    <mergeCell ref="K159:L159"/>
    <mergeCell ref="A90:J90"/>
    <mergeCell ref="A91:J91"/>
    <mergeCell ref="A92:J92"/>
    <mergeCell ref="A102:J102"/>
    <mergeCell ref="K102:L102"/>
    <mergeCell ref="K103:L103"/>
    <mergeCell ref="A103:J103"/>
    <mergeCell ref="A104:J104"/>
    <mergeCell ref="K74:L74"/>
    <mergeCell ref="K75:L75"/>
    <mergeCell ref="A75:J75"/>
    <mergeCell ref="A76:J76"/>
    <mergeCell ref="A77:J77"/>
    <mergeCell ref="A78:J78"/>
    <mergeCell ref="A88:J88"/>
    <mergeCell ref="K88:L88"/>
    <mergeCell ref="K89:L89"/>
    <mergeCell ref="A89:J89"/>
  </mergeCells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12"/>
  <sheetViews>
    <sheetView workbookViewId="0">
      <selection activeCell="B2" sqref="B2"/>
    </sheetView>
  </sheetViews>
  <sheetFormatPr defaultColWidth="14.44140625" defaultRowHeight="15" customHeight="1" x14ac:dyDescent="0.3"/>
  <cols>
    <col min="1" max="1" width="11.21875" customWidth="1"/>
    <col min="2" max="2" width="13.33203125" bestFit="1" customWidth="1"/>
    <col min="3" max="3" width="8.77734375" customWidth="1"/>
    <col min="4" max="4" width="9.44140625" customWidth="1"/>
    <col min="5" max="5" width="9.109375" customWidth="1"/>
    <col min="6" max="6" width="10.109375" customWidth="1"/>
    <col min="7" max="10" width="9.109375" customWidth="1"/>
    <col min="11" max="13" width="11.21875" customWidth="1"/>
    <col min="14" max="14" width="5.77734375" customWidth="1"/>
    <col min="15" max="15" width="11.88671875" customWidth="1"/>
    <col min="16" max="16" width="7.88671875" customWidth="1"/>
    <col min="17" max="17" width="6.5546875" customWidth="1"/>
    <col min="18" max="18" width="9.5546875" customWidth="1"/>
    <col min="19" max="19" width="9.109375" customWidth="1"/>
    <col min="20" max="20" width="10.44140625" customWidth="1"/>
    <col min="21" max="23" width="9.109375" customWidth="1"/>
    <col min="24" max="24" width="12.21875" customWidth="1"/>
    <col min="25" max="26" width="9.109375" customWidth="1"/>
  </cols>
  <sheetData>
    <row r="1" spans="1:26" ht="15.75" customHeight="1" x14ac:dyDescent="0.3">
      <c r="A1" s="309" t="s">
        <v>376</v>
      </c>
      <c r="B1" s="309" t="s">
        <v>375</v>
      </c>
      <c r="C1" s="310" t="s">
        <v>49</v>
      </c>
      <c r="D1" s="310" t="s">
        <v>183</v>
      </c>
      <c r="E1" s="310" t="s">
        <v>51</v>
      </c>
      <c r="F1" s="310" t="s">
        <v>184</v>
      </c>
      <c r="G1" s="310" t="s">
        <v>53</v>
      </c>
      <c r="H1" s="310" t="s">
        <v>54</v>
      </c>
      <c r="I1" s="310" t="s">
        <v>55</v>
      </c>
      <c r="L1" s="64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 x14ac:dyDescent="0.3">
      <c r="A2" s="217" t="str">
        <f>CONCATENATE(Data!B50)</f>
        <v>1N</v>
      </c>
      <c r="B2" s="217" t="str">
        <f>CONCATENATE(Data!C50)</f>
        <v>440</v>
      </c>
      <c r="C2" s="216">
        <f>Data!D50</f>
        <v>1.0011000000000001</v>
      </c>
      <c r="D2" s="311"/>
      <c r="E2" s="259">
        <f>AVERAGE(Data!F50:J50)</f>
        <v>0.99360000000000004</v>
      </c>
      <c r="F2" s="88"/>
      <c r="G2" s="259">
        <f>K53</f>
        <v>2.7974438409576483E-3</v>
      </c>
      <c r="H2" s="66">
        <f>K52</f>
        <v>1.9952073194411684</v>
      </c>
      <c r="I2" s="217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2.75" customHeight="1" x14ac:dyDescent="0.3">
      <c r="A3" s="217" t="str">
        <f>CONCATENATE(Data!B51)</f>
        <v>1N</v>
      </c>
      <c r="B3" s="217" t="str">
        <f>CONCATENATE(Data!C51)</f>
        <v>465</v>
      </c>
      <c r="C3" s="216">
        <f>Data!D51</f>
        <v>0.94420000000000004</v>
      </c>
      <c r="D3" s="70"/>
      <c r="E3" s="259">
        <f>AVERAGE(Data!F51:J51)</f>
        <v>0.94100000000000006</v>
      </c>
      <c r="F3" s="96"/>
      <c r="G3" s="259">
        <f>K67</f>
        <v>2.7567498200827623E-3</v>
      </c>
      <c r="H3" s="66">
        <f>K66</f>
        <v>1.9968934645600469</v>
      </c>
      <c r="I3" s="70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.75" customHeight="1" x14ac:dyDescent="0.3">
      <c r="A4" s="217" t="str">
        <f>CONCATENATE(Data!B52)</f>
        <v>1N</v>
      </c>
      <c r="B4" s="217" t="str">
        <f>CONCATENATE(Data!C52)</f>
        <v>546</v>
      </c>
      <c r="C4" s="216">
        <f>Data!D52</f>
        <v>0.99950000000000006</v>
      </c>
      <c r="D4" s="70"/>
      <c r="E4" s="259">
        <f>AVERAGE(Data!F52:J52)</f>
        <v>0.99399999999999999</v>
      </c>
      <c r="F4" s="112"/>
      <c r="G4" s="259">
        <f>K81</f>
        <v>2.7567498200827623E-3</v>
      </c>
      <c r="H4" s="66">
        <f>K80</f>
        <v>1.9968934645600469</v>
      </c>
      <c r="I4" s="217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 x14ac:dyDescent="0.3">
      <c r="A5" s="217" t="str">
        <f>CONCATENATE(Data!B53)</f>
        <v>1N</v>
      </c>
      <c r="B5" s="217" t="str">
        <f>CONCATENATE(Data!C53)</f>
        <v>590</v>
      </c>
      <c r="C5" s="216">
        <f>Data!D53</f>
        <v>1.111</v>
      </c>
      <c r="D5" s="70"/>
      <c r="E5" s="259">
        <f>AVERAGE(Data!F53:J53)</f>
        <v>1.1080000000000001</v>
      </c>
      <c r="F5" s="112"/>
      <c r="G5" s="259">
        <f>K95</f>
        <v>2.7567498200827623E-3</v>
      </c>
      <c r="H5" s="66">
        <f>K94</f>
        <v>1.9968934645600469</v>
      </c>
      <c r="I5" s="217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2.75" customHeight="1" x14ac:dyDescent="0.3">
      <c r="A6" s="217" t="str">
        <f>CONCATENATE(Data!B54)</f>
        <v>1N</v>
      </c>
      <c r="B6" s="217" t="str">
        <f>CONCATENATE(Data!C54)</f>
        <v>635</v>
      </c>
      <c r="C6" s="216">
        <f>Data!D54</f>
        <v>1.0968</v>
      </c>
      <c r="D6" s="70"/>
      <c r="E6" s="259">
        <f>AVERAGE(Data!F54:J54)</f>
        <v>1.093</v>
      </c>
      <c r="F6" s="112"/>
      <c r="G6" s="259">
        <f>K109</f>
        <v>2.7567498200827623E-3</v>
      </c>
      <c r="H6" s="66">
        <f>K108</f>
        <v>1.9968934645600469</v>
      </c>
      <c r="I6" s="217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 x14ac:dyDescent="0.3">
      <c r="A7" s="217" t="str">
        <f>CONCATENATE(Data!B55)</f>
        <v xml:space="preserve">Null </v>
      </c>
      <c r="B7" s="217" t="str">
        <f>CONCATENATE(Data!C55)</f>
        <v>Null</v>
      </c>
      <c r="C7" s="216">
        <f>Data!D55</f>
        <v>0</v>
      </c>
      <c r="D7" s="70"/>
      <c r="E7" s="259" t="e">
        <f>AVERAGE(Data!F55:J55)</f>
        <v>#DIV/0!</v>
      </c>
      <c r="F7" s="96"/>
      <c r="G7" s="259" t="e">
        <f>K123</f>
        <v>#DIV/0!</v>
      </c>
      <c r="H7" s="66" t="e">
        <f>K122</f>
        <v>#DIV/0!</v>
      </c>
      <c r="I7" s="70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2.75" customHeight="1" x14ac:dyDescent="0.3">
      <c r="A8" s="217" t="str">
        <f>CONCATENATE(Data!B56)</f>
        <v xml:space="preserve">Null </v>
      </c>
      <c r="B8" s="217" t="str">
        <f>CONCATENATE(Data!C56)</f>
        <v>Null</v>
      </c>
      <c r="C8" s="216">
        <f>Data!D56</f>
        <v>0</v>
      </c>
      <c r="D8" s="70"/>
      <c r="E8" s="259" t="e">
        <f>AVERAGE(Data!F56:J56)</f>
        <v>#DIV/0!</v>
      </c>
      <c r="F8" s="96"/>
      <c r="G8" s="259" t="e">
        <f>K137</f>
        <v>#DIV/0!</v>
      </c>
      <c r="H8" s="66" t="e">
        <f>K136</f>
        <v>#DIV/0!</v>
      </c>
      <c r="I8" s="70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 x14ac:dyDescent="0.3">
      <c r="A9" s="217" t="str">
        <f>CONCATENATE(Data!B57)</f>
        <v xml:space="preserve">Null </v>
      </c>
      <c r="B9" s="217" t="str">
        <f>CONCATENATE(Data!C57)</f>
        <v>Null</v>
      </c>
      <c r="C9" s="216">
        <f>Data!D57</f>
        <v>0</v>
      </c>
      <c r="D9" s="70"/>
      <c r="E9" s="259" t="e">
        <f>AVERAGE(Data!F57:J57)</f>
        <v>#DIV/0!</v>
      </c>
      <c r="F9" s="96"/>
      <c r="G9" s="259" t="e">
        <f>K151</f>
        <v>#DIV/0!</v>
      </c>
      <c r="H9" s="66" t="e">
        <f>K150</f>
        <v>#DIV/0!</v>
      </c>
      <c r="I9" s="70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 x14ac:dyDescent="0.3">
      <c r="A10" s="217" t="str">
        <f>CONCATENATE(Data!B58)</f>
        <v xml:space="preserve">Null </v>
      </c>
      <c r="B10" s="217" t="str">
        <f>CONCATENATE(Data!C58)</f>
        <v>Null</v>
      </c>
      <c r="C10" s="216">
        <f>Data!D58</f>
        <v>0</v>
      </c>
      <c r="D10" s="70"/>
      <c r="E10" s="259" t="e">
        <f>AVERAGE(Data!F58:J58)</f>
        <v>#DIV/0!</v>
      </c>
      <c r="F10" s="96"/>
      <c r="G10" s="259" t="e">
        <f>K165</f>
        <v>#DIV/0!</v>
      </c>
      <c r="H10" s="66" t="e">
        <f>K164</f>
        <v>#DIV/0!</v>
      </c>
      <c r="I10" s="70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 x14ac:dyDescent="0.3">
      <c r="A11" s="217" t="str">
        <f>CONCATENATE(Data!B59)</f>
        <v xml:space="preserve">Null </v>
      </c>
      <c r="B11" s="217" t="str">
        <f>CONCATENATE(Data!C59)</f>
        <v>Null</v>
      </c>
      <c r="C11" s="216">
        <f>Data!D59</f>
        <v>0</v>
      </c>
      <c r="D11" s="70"/>
      <c r="E11" s="259" t="e">
        <f>AVERAGE(Data!F59:J59)</f>
        <v>#DIV/0!</v>
      </c>
      <c r="F11" s="112"/>
      <c r="G11" s="259" t="e">
        <f>K179</f>
        <v>#DIV/0!</v>
      </c>
      <c r="H11" s="66" t="e">
        <f>K178</f>
        <v>#DIV/0!</v>
      </c>
      <c r="I11" s="217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 x14ac:dyDescent="0.3">
      <c r="A12" s="62"/>
      <c r="B12" s="216"/>
      <c r="C12" s="70"/>
      <c r="D12" s="259"/>
      <c r="E12" s="112"/>
      <c r="F12" s="259"/>
      <c r="G12" s="66"/>
      <c r="H12" s="217"/>
      <c r="I12" s="24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 x14ac:dyDescent="0.3">
      <c r="A13" s="62"/>
      <c r="B13" s="216"/>
      <c r="C13" s="70"/>
      <c r="D13" s="259"/>
      <c r="E13" s="112"/>
      <c r="F13" s="259"/>
      <c r="G13" s="66"/>
      <c r="H13" s="217"/>
      <c r="I13" s="24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 x14ac:dyDescent="0.3">
      <c r="A14" s="62"/>
      <c r="B14" s="216"/>
      <c r="C14" s="70"/>
      <c r="D14" s="259"/>
      <c r="E14" s="112"/>
      <c r="F14" s="259"/>
      <c r="G14" s="66"/>
      <c r="H14" s="217"/>
      <c r="I14" s="24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 x14ac:dyDescent="0.3">
      <c r="A15" s="62"/>
      <c r="B15" s="216"/>
      <c r="C15" s="70"/>
      <c r="D15" s="259"/>
      <c r="E15" s="112"/>
      <c r="F15" s="259"/>
      <c r="G15" s="66"/>
      <c r="H15" s="217"/>
      <c r="I15" s="24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 x14ac:dyDescent="0.3">
      <c r="A16" s="62"/>
      <c r="B16" s="216"/>
      <c r="C16" s="70"/>
      <c r="D16" s="259"/>
      <c r="E16" s="112"/>
      <c r="F16" s="259"/>
      <c r="G16" s="66"/>
      <c r="H16" s="217"/>
      <c r="I16" s="24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 x14ac:dyDescent="0.3">
      <c r="A17" s="62"/>
      <c r="B17" s="216"/>
      <c r="C17" s="70"/>
      <c r="D17" s="259"/>
      <c r="E17" s="112"/>
      <c r="F17" s="259"/>
      <c r="G17" s="66"/>
      <c r="H17" s="217"/>
      <c r="I17" s="24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 x14ac:dyDescent="0.3">
      <c r="A18" s="62"/>
      <c r="B18" s="216"/>
      <c r="C18" s="70"/>
      <c r="D18" s="259"/>
      <c r="E18" s="112"/>
      <c r="F18" s="259"/>
      <c r="G18" s="66"/>
      <c r="H18" s="217"/>
      <c r="I18" s="24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 x14ac:dyDescent="0.3">
      <c r="A19" s="62"/>
      <c r="B19" s="216"/>
      <c r="C19" s="70"/>
      <c r="D19" s="259"/>
      <c r="E19" s="112"/>
      <c r="F19" s="259"/>
      <c r="G19" s="66"/>
      <c r="H19" s="217"/>
      <c r="I19" s="24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 x14ac:dyDescent="0.3">
      <c r="A20" s="62"/>
      <c r="B20" s="216"/>
      <c r="C20" s="70"/>
      <c r="D20" s="259"/>
      <c r="E20" s="112"/>
      <c r="F20" s="259"/>
      <c r="G20" s="66"/>
      <c r="H20" s="217"/>
      <c r="I20" s="24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 x14ac:dyDescent="0.3">
      <c r="A21" s="62"/>
      <c r="B21" s="216"/>
      <c r="C21" s="70"/>
      <c r="D21" s="259"/>
      <c r="E21" s="112"/>
      <c r="F21" s="259"/>
      <c r="G21" s="66"/>
      <c r="H21" s="217"/>
      <c r="I21" s="24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 x14ac:dyDescent="0.3">
      <c r="A22" s="62"/>
      <c r="B22" s="216"/>
      <c r="C22" s="70"/>
      <c r="D22" s="62"/>
      <c r="E22" s="112"/>
      <c r="F22" s="217"/>
      <c r="G22" s="66"/>
      <c r="H22" s="217"/>
      <c r="I22" s="24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 x14ac:dyDescent="0.3">
      <c r="A23" s="62"/>
      <c r="B23" s="216"/>
      <c r="C23" s="70"/>
      <c r="D23" s="62"/>
      <c r="E23" s="112"/>
      <c r="F23" s="217"/>
      <c r="G23" s="66"/>
      <c r="H23" s="217"/>
      <c r="I23" s="24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68"/>
      <c r="Y24" s="68"/>
      <c r="Z24" s="68"/>
    </row>
    <row r="25" spans="1:26" ht="12.75" customHeight="1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68"/>
      <c r="Y25" s="68"/>
      <c r="Z25" s="68"/>
    </row>
    <row r="26" spans="1:26" ht="12.75" customHeight="1" x14ac:dyDescent="0.3">
      <c r="A26" s="69" t="s">
        <v>56</v>
      </c>
      <c r="B26" s="69"/>
      <c r="C26" s="6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68"/>
      <c r="Y26" s="68"/>
      <c r="Z26" s="68"/>
    </row>
    <row r="27" spans="1:26" ht="12.75" customHeight="1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 x14ac:dyDescent="0.3">
      <c r="A28" s="70" t="s">
        <v>57</v>
      </c>
      <c r="B28" s="70"/>
      <c r="C28" s="71" t="s">
        <v>58</v>
      </c>
      <c r="D28" s="70" t="s">
        <v>59</v>
      </c>
      <c r="E28" s="70"/>
      <c r="F28" s="70"/>
      <c r="G28" s="70"/>
      <c r="H28" s="70"/>
      <c r="I28" s="70"/>
      <c r="J28" s="70"/>
      <c r="K28" s="70"/>
      <c r="L28" s="70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 x14ac:dyDescent="0.3">
      <c r="A29" s="70" t="s">
        <v>60</v>
      </c>
      <c r="B29" s="70"/>
      <c r="C29" s="71" t="s">
        <v>58</v>
      </c>
      <c r="D29" s="70" t="s">
        <v>61</v>
      </c>
      <c r="E29" s="70"/>
      <c r="F29" s="70"/>
      <c r="G29" s="70"/>
      <c r="H29" s="70"/>
      <c r="I29" s="70"/>
      <c r="J29" s="70"/>
      <c r="K29" s="70"/>
      <c r="L29" s="70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 x14ac:dyDescent="0.3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 x14ac:dyDescent="0.3">
      <c r="A31" s="356" t="s">
        <v>62</v>
      </c>
      <c r="B31" s="357"/>
      <c r="C31" s="357"/>
      <c r="D31" s="357"/>
      <c r="E31" s="26" t="s">
        <v>63</v>
      </c>
      <c r="F31" s="26"/>
      <c r="G31" s="26"/>
      <c r="H31" s="26"/>
      <c r="I31" s="26"/>
      <c r="J31" s="26"/>
      <c r="K31" s="26"/>
      <c r="L31" s="26"/>
      <c r="M31" s="72" t="s">
        <v>20</v>
      </c>
      <c r="N31" s="3"/>
      <c r="O31" s="73" t="s">
        <v>48</v>
      </c>
      <c r="P31" s="359" t="s">
        <v>64</v>
      </c>
      <c r="Q31" s="345"/>
      <c r="R31" s="73" t="s">
        <v>45</v>
      </c>
      <c r="S31" s="159" t="s">
        <v>185</v>
      </c>
      <c r="T31" s="3"/>
      <c r="U31" s="3"/>
      <c r="V31" s="3"/>
      <c r="W31" s="3"/>
      <c r="X31" s="3"/>
      <c r="Y31" s="3"/>
      <c r="Z31" s="3"/>
    </row>
    <row r="32" spans="1:26" ht="12.75" customHeight="1" x14ac:dyDescent="0.3">
      <c r="A32" s="358" t="s">
        <v>65</v>
      </c>
      <c r="B32" s="324"/>
      <c r="C32" s="324"/>
      <c r="D32" s="324"/>
      <c r="E32" s="70" t="s">
        <v>66</v>
      </c>
      <c r="F32" s="70"/>
      <c r="G32" s="70"/>
      <c r="H32" s="70"/>
      <c r="I32" s="70"/>
      <c r="J32" s="70"/>
      <c r="K32" s="70"/>
      <c r="L32" s="70"/>
      <c r="M32" s="74"/>
      <c r="N32" s="3"/>
      <c r="O32" s="118" t="s">
        <v>44</v>
      </c>
      <c r="P32" s="119">
        <v>590</v>
      </c>
      <c r="Q32" s="120" t="s">
        <v>43</v>
      </c>
      <c r="R32" s="121">
        <v>0.55500000000000005</v>
      </c>
      <c r="S32" s="121">
        <v>5.0000000000000001E-3</v>
      </c>
      <c r="T32" s="3"/>
      <c r="U32" s="3"/>
      <c r="V32" s="3"/>
      <c r="W32" s="3"/>
      <c r="X32" s="3"/>
      <c r="Y32" s="3"/>
      <c r="Z32" s="3"/>
    </row>
    <row r="33" spans="1:26" ht="12.75" customHeight="1" x14ac:dyDescent="0.3">
      <c r="A33" s="358" t="s">
        <v>67</v>
      </c>
      <c r="B33" s="324"/>
      <c r="C33" s="324"/>
      <c r="D33" s="324"/>
      <c r="E33" s="70" t="s">
        <v>68</v>
      </c>
      <c r="F33" s="70"/>
      <c r="G33" s="70"/>
      <c r="H33" s="70"/>
      <c r="I33" s="70"/>
      <c r="J33" s="70"/>
      <c r="K33" s="70"/>
      <c r="L33" s="70"/>
      <c r="M33" s="74"/>
      <c r="N33" s="3"/>
      <c r="O33" s="122" t="s">
        <v>46</v>
      </c>
      <c r="P33" s="123">
        <v>590</v>
      </c>
      <c r="Q33" s="85" t="s">
        <v>43</v>
      </c>
      <c r="R33" s="83">
        <v>1.0620000000000001</v>
      </c>
      <c r="S33" s="83">
        <v>5.0000000000000001E-3</v>
      </c>
      <c r="T33" s="3"/>
      <c r="U33" s="3"/>
      <c r="V33" s="3"/>
      <c r="W33" s="3"/>
      <c r="X33" s="3"/>
      <c r="Y33" s="3"/>
      <c r="Z33" s="3"/>
    </row>
    <row r="34" spans="1:26" ht="12.75" customHeight="1" x14ac:dyDescent="0.3">
      <c r="A34" s="80" t="s">
        <v>69</v>
      </c>
      <c r="B34" s="70"/>
      <c r="C34" s="70"/>
      <c r="D34" s="71" t="s">
        <v>58</v>
      </c>
      <c r="E34" s="70" t="s">
        <v>186</v>
      </c>
      <c r="F34" s="3"/>
      <c r="G34" s="9" t="s">
        <v>71</v>
      </c>
      <c r="H34" s="70"/>
      <c r="I34" s="70"/>
      <c r="J34" s="70"/>
      <c r="K34" s="70"/>
      <c r="L34" s="70"/>
      <c r="M34" s="74"/>
      <c r="N34" s="3"/>
      <c r="O34" s="75" t="s">
        <v>47</v>
      </c>
      <c r="P34" s="124">
        <v>270</v>
      </c>
      <c r="Q34" s="77" t="s">
        <v>43</v>
      </c>
      <c r="R34" s="125">
        <v>1.0726</v>
      </c>
      <c r="S34" s="125">
        <v>6.7999999999999996E-3</v>
      </c>
      <c r="T34" s="3"/>
      <c r="U34" s="3"/>
      <c r="V34" s="3"/>
      <c r="W34" s="3"/>
      <c r="X34" s="3"/>
      <c r="Y34" s="3"/>
      <c r="Z34" s="3"/>
    </row>
    <row r="35" spans="1:26" ht="12.75" customHeight="1" x14ac:dyDescent="0.3">
      <c r="A35" s="80"/>
      <c r="B35" s="70"/>
      <c r="C35" s="70"/>
      <c r="D35" s="71" t="s">
        <v>58</v>
      </c>
      <c r="E35" s="70" t="s">
        <v>187</v>
      </c>
      <c r="F35" s="70"/>
      <c r="G35" s="70"/>
      <c r="H35" s="70"/>
      <c r="I35" s="70"/>
      <c r="J35" s="70"/>
      <c r="K35" s="70"/>
      <c r="L35" s="70"/>
      <c r="M35" s="74"/>
      <c r="N35" s="3"/>
      <c r="O35" s="78"/>
      <c r="P35" s="126">
        <v>280</v>
      </c>
      <c r="Q35" s="127" t="s">
        <v>43</v>
      </c>
      <c r="R35" s="78">
        <v>0.94320000000000004</v>
      </c>
      <c r="S35" s="78">
        <v>3.3999999999999998E-3</v>
      </c>
      <c r="T35" s="3"/>
      <c r="U35" s="3"/>
      <c r="V35" s="3"/>
      <c r="W35" s="3"/>
      <c r="X35" s="3"/>
      <c r="Y35" s="3"/>
      <c r="Z35" s="3"/>
    </row>
    <row r="36" spans="1:26" ht="12.75" customHeight="1" x14ac:dyDescent="0.3">
      <c r="A36" s="80"/>
      <c r="B36" s="70"/>
      <c r="C36" s="70"/>
      <c r="D36" s="70"/>
      <c r="E36" s="67" t="s">
        <v>188</v>
      </c>
      <c r="F36" s="70" t="s">
        <v>189</v>
      </c>
      <c r="G36" s="70"/>
      <c r="H36" s="70"/>
      <c r="I36" s="70"/>
      <c r="J36" s="70"/>
      <c r="K36" s="70"/>
      <c r="L36" s="70"/>
      <c r="M36" s="74"/>
      <c r="N36" s="3"/>
      <c r="O36" s="78"/>
      <c r="P36" s="126">
        <v>297</v>
      </c>
      <c r="Q36" s="74" t="s">
        <v>43</v>
      </c>
      <c r="R36" s="78">
        <v>0.83640000000000003</v>
      </c>
      <c r="S36" s="78">
        <v>3.3999999999999998E-3</v>
      </c>
      <c r="T36" s="3"/>
      <c r="U36" s="3"/>
      <c r="V36" s="3"/>
      <c r="W36" s="3"/>
      <c r="X36" s="3"/>
      <c r="Y36" s="3"/>
      <c r="Z36" s="3"/>
    </row>
    <row r="37" spans="1:26" ht="12.75" customHeight="1" x14ac:dyDescent="0.3">
      <c r="A37" s="86"/>
      <c r="B37" s="67"/>
      <c r="C37" s="67"/>
      <c r="D37" s="67"/>
      <c r="E37" s="67" t="s">
        <v>190</v>
      </c>
      <c r="F37" s="9" t="s">
        <v>191</v>
      </c>
      <c r="G37" s="70"/>
      <c r="H37" s="70"/>
      <c r="I37" s="70"/>
      <c r="J37" s="70"/>
      <c r="K37" s="70"/>
      <c r="L37" s="70"/>
      <c r="M37" s="74"/>
      <c r="N37" s="3"/>
      <c r="O37" s="78"/>
      <c r="P37" s="126">
        <v>320</v>
      </c>
      <c r="Q37" s="127" t="s">
        <v>43</v>
      </c>
      <c r="R37" s="78">
        <v>0.53169999999999995</v>
      </c>
      <c r="S37" s="128">
        <v>2.8E-3</v>
      </c>
      <c r="T37" s="3"/>
      <c r="U37" s="3"/>
      <c r="V37" s="3"/>
      <c r="W37" s="3"/>
      <c r="X37" s="3"/>
      <c r="Y37" s="3"/>
      <c r="Z37" s="3"/>
    </row>
    <row r="38" spans="1:26" ht="12.75" customHeight="1" x14ac:dyDescent="0.3">
      <c r="A38" s="86"/>
      <c r="B38" s="67"/>
      <c r="C38" s="67"/>
      <c r="D38" s="67"/>
      <c r="E38" s="67" t="s">
        <v>192</v>
      </c>
      <c r="F38" s="9" t="s">
        <v>193</v>
      </c>
      <c r="G38" s="70"/>
      <c r="H38" s="70"/>
      <c r="I38" s="70"/>
      <c r="J38" s="70"/>
      <c r="K38" s="70"/>
      <c r="L38" s="70"/>
      <c r="M38" s="74"/>
      <c r="N38" s="3"/>
      <c r="O38" s="78"/>
      <c r="P38" s="129">
        <v>340</v>
      </c>
      <c r="Q38" s="130" t="s">
        <v>43</v>
      </c>
      <c r="R38" s="131">
        <v>0.502</v>
      </c>
      <c r="S38" s="78">
        <v>2.8E-3</v>
      </c>
      <c r="T38" s="3"/>
      <c r="U38" s="3"/>
      <c r="V38" s="3"/>
      <c r="W38" s="3"/>
      <c r="X38" s="3"/>
      <c r="Y38" s="3"/>
      <c r="Z38" s="3"/>
    </row>
    <row r="39" spans="1:26" ht="12.75" customHeight="1" x14ac:dyDescent="0.3">
      <c r="A39" s="86"/>
      <c r="B39" s="67"/>
      <c r="C39" s="67"/>
      <c r="D39" s="67"/>
      <c r="E39" s="67" t="s">
        <v>194</v>
      </c>
      <c r="F39" s="9" t="s">
        <v>195</v>
      </c>
      <c r="G39" s="70"/>
      <c r="H39" s="70"/>
      <c r="I39" s="70"/>
      <c r="J39" s="70"/>
      <c r="K39" s="70"/>
      <c r="L39" s="70"/>
      <c r="M39" s="74"/>
      <c r="N39" s="3"/>
      <c r="O39" s="220" t="s">
        <v>327</v>
      </c>
      <c r="P39" s="212">
        <v>440</v>
      </c>
      <c r="Q39" s="77" t="s">
        <v>43</v>
      </c>
      <c r="R39" s="3" cm="1">
        <f t="array" ref="R39:R43">Database!D39:D43</f>
        <v>1.0011000000000001</v>
      </c>
      <c r="S39" s="225">
        <v>2.7000000000000001E-3</v>
      </c>
      <c r="T39" s="3"/>
      <c r="U39" s="3"/>
      <c r="V39" s="3"/>
      <c r="W39" s="3"/>
      <c r="X39" s="3"/>
      <c r="Y39" s="3"/>
      <c r="Z39" s="3"/>
    </row>
    <row r="40" spans="1:26" ht="12.75" customHeight="1" x14ac:dyDescent="0.3">
      <c r="A40" s="86"/>
      <c r="B40" s="67"/>
      <c r="C40" s="67"/>
      <c r="D40" s="67"/>
      <c r="E40" s="70"/>
      <c r="F40" s="9"/>
      <c r="G40" s="70"/>
      <c r="H40" s="70"/>
      <c r="I40" s="70"/>
      <c r="J40" s="70"/>
      <c r="K40" s="70"/>
      <c r="L40" s="70"/>
      <c r="M40" s="74"/>
      <c r="N40" s="3"/>
      <c r="O40" s="221"/>
      <c r="P40" s="212">
        <v>465</v>
      </c>
      <c r="Q40" s="127" t="s">
        <v>43</v>
      </c>
      <c r="R40" s="3">
        <v>0.94420000000000004</v>
      </c>
      <c r="S40" s="226">
        <v>2.7000000000000001E-3</v>
      </c>
      <c r="T40" s="3"/>
      <c r="U40" s="3"/>
      <c r="V40" s="3"/>
      <c r="W40" s="3"/>
      <c r="X40" s="3"/>
      <c r="Y40" s="3"/>
      <c r="Z40" s="3"/>
    </row>
    <row r="41" spans="1:26" ht="12.75" customHeight="1" x14ac:dyDescent="0.3">
      <c r="A41" s="80" t="s">
        <v>48</v>
      </c>
      <c r="B41" s="3"/>
      <c r="C41" s="3"/>
      <c r="D41" s="88" t="str">
        <f>A2</f>
        <v>1N</v>
      </c>
      <c r="E41" s="112"/>
      <c r="F41" s="90"/>
      <c r="G41" s="91"/>
      <c r="H41" s="69"/>
      <c r="I41" s="69"/>
      <c r="J41" s="69"/>
      <c r="K41" s="69"/>
      <c r="L41" s="69"/>
      <c r="M41" s="92" t="s">
        <v>196</v>
      </c>
      <c r="N41" s="3"/>
      <c r="O41" s="221"/>
      <c r="P41" s="212">
        <v>546</v>
      </c>
      <c r="Q41" s="74" t="s">
        <v>43</v>
      </c>
      <c r="R41" s="3">
        <v>0.99950000000000006</v>
      </c>
      <c r="S41" s="226">
        <v>2.7000000000000001E-3</v>
      </c>
      <c r="T41" s="3"/>
      <c r="U41" s="3"/>
      <c r="V41" s="3"/>
      <c r="W41" s="3"/>
      <c r="X41" s="3"/>
      <c r="Y41" s="3"/>
      <c r="Z41" s="3"/>
    </row>
    <row r="42" spans="1:26" ht="12.75" customHeight="1" x14ac:dyDescent="0.3">
      <c r="A42" s="94" t="s">
        <v>81</v>
      </c>
      <c r="B42" s="95"/>
      <c r="C42" s="95"/>
      <c r="D42" s="65">
        <f>C2</f>
        <v>1.0011000000000001</v>
      </c>
      <c r="E42" s="89" t="s">
        <v>45</v>
      </c>
      <c r="F42" s="98" t="str">
        <f>B2</f>
        <v>440</v>
      </c>
      <c r="G42" s="113"/>
      <c r="H42" s="100">
        <v>1E-3</v>
      </c>
      <c r="I42" s="101"/>
      <c r="J42" s="101"/>
      <c r="K42" s="101"/>
      <c r="L42" s="101"/>
      <c r="M42" s="85"/>
      <c r="N42" s="3"/>
      <c r="O42" s="222"/>
      <c r="P42" s="212">
        <v>590</v>
      </c>
      <c r="Q42" s="127" t="s">
        <v>43</v>
      </c>
      <c r="R42" s="3">
        <v>1.111</v>
      </c>
      <c r="S42" s="226">
        <v>2.7000000000000001E-3</v>
      </c>
      <c r="T42" s="3"/>
      <c r="U42" s="3"/>
      <c r="V42" s="3"/>
      <c r="W42" s="3"/>
      <c r="X42" s="3"/>
      <c r="Y42" s="3"/>
      <c r="Z42" s="3"/>
    </row>
    <row r="43" spans="1:26" ht="12.75" customHeight="1" x14ac:dyDescent="0.3">
      <c r="A43" s="102" t="s">
        <v>82</v>
      </c>
      <c r="B43" s="102" t="s">
        <v>83</v>
      </c>
      <c r="C43" s="102" t="s">
        <v>15</v>
      </c>
      <c r="D43" s="102" t="s">
        <v>84</v>
      </c>
      <c r="E43" s="102" t="s">
        <v>85</v>
      </c>
      <c r="F43" s="103" t="s">
        <v>86</v>
      </c>
      <c r="G43" s="102" t="s">
        <v>87</v>
      </c>
      <c r="H43" s="102" t="s">
        <v>88</v>
      </c>
      <c r="I43" s="102" t="s">
        <v>89</v>
      </c>
      <c r="J43" s="102" t="s">
        <v>90</v>
      </c>
      <c r="K43" s="102" t="s">
        <v>91</v>
      </c>
      <c r="L43" s="102" t="s">
        <v>197</v>
      </c>
      <c r="M43" s="102" t="s">
        <v>198</v>
      </c>
      <c r="N43" s="3"/>
      <c r="O43" s="223"/>
      <c r="P43" s="212">
        <v>635</v>
      </c>
      <c r="Q43" s="130" t="s">
        <v>43</v>
      </c>
      <c r="R43" s="3">
        <v>1.0968</v>
      </c>
      <c r="S43" s="227">
        <v>2.7000000000000001E-3</v>
      </c>
      <c r="T43" s="3"/>
      <c r="U43" s="3"/>
      <c r="V43" s="3"/>
      <c r="W43" s="3"/>
      <c r="X43" s="3"/>
      <c r="Y43" s="3"/>
      <c r="Z43" s="3"/>
    </row>
    <row r="44" spans="1:26" ht="12.75" customHeight="1" x14ac:dyDescent="0.3">
      <c r="A44" s="104" t="s">
        <v>94</v>
      </c>
      <c r="B44" s="105" t="s">
        <v>199</v>
      </c>
      <c r="C44" s="105" t="s">
        <v>96</v>
      </c>
      <c r="D44" s="106" t="str">
        <f>E42</f>
        <v>Abs</v>
      </c>
      <c r="E44" s="105" t="s">
        <v>97</v>
      </c>
      <c r="F44" s="105">
        <f>STDEV(Data!F50:J50)</f>
        <v>5.4772255750516654E-4</v>
      </c>
      <c r="G44" s="105">
        <f>SQRT(5)</f>
        <v>2.2360679774997898</v>
      </c>
      <c r="H44" s="105">
        <f>5-1</f>
        <v>4</v>
      </c>
      <c r="I44" s="105">
        <f t="shared" ref="I44:I47" si="0">(F44)/G44</f>
        <v>2.44948974278318E-4</v>
      </c>
      <c r="J44" s="105">
        <v>1</v>
      </c>
      <c r="K44" s="105">
        <f t="shared" ref="K44:K47" si="1">I44*J44</f>
        <v>2.44948974278318E-4</v>
      </c>
      <c r="L44" s="105">
        <f t="shared" ref="L44:L47" si="2">K44^2</f>
        <v>6.0000000000000101E-8</v>
      </c>
      <c r="M44" s="105">
        <f t="shared" ref="M44:M47" si="3">(K44^4)/H44</f>
        <v>9.0000000000000299E-16</v>
      </c>
      <c r="N44" s="3"/>
      <c r="O44" s="220" t="s">
        <v>328</v>
      </c>
      <c r="P44" s="212">
        <v>440</v>
      </c>
      <c r="Q44" s="77" t="s">
        <v>43</v>
      </c>
      <c r="R44" s="210" cm="1">
        <f t="array" ref="R44:R48">Database!G39:G43</f>
        <v>0.70269999999999999</v>
      </c>
      <c r="S44" s="225">
        <v>2.7000000000000001E-3</v>
      </c>
      <c r="T44" s="3"/>
      <c r="U44" s="3"/>
      <c r="V44" s="3"/>
      <c r="W44" s="3"/>
      <c r="X44" s="3"/>
      <c r="Y44" s="3"/>
      <c r="Z44" s="3"/>
    </row>
    <row r="45" spans="1:26" ht="12.75" customHeight="1" x14ac:dyDescent="0.3">
      <c r="A45" s="104" t="s">
        <v>98</v>
      </c>
      <c r="B45" s="105" t="s">
        <v>200</v>
      </c>
      <c r="C45" s="105" t="s">
        <v>100</v>
      </c>
      <c r="D45" s="106" t="str">
        <f>D44</f>
        <v>Abs</v>
      </c>
      <c r="E45" s="105" t="s">
        <v>101</v>
      </c>
      <c r="F45" s="105">
        <f>H42/2</f>
        <v>5.0000000000000001E-4</v>
      </c>
      <c r="G45" s="105">
        <f>SQRT(3)</f>
        <v>1.7320508075688772</v>
      </c>
      <c r="H45" s="105">
        <v>50</v>
      </c>
      <c r="I45" s="105">
        <f t="shared" si="0"/>
        <v>2.886751345948129E-4</v>
      </c>
      <c r="J45" s="105">
        <v>1</v>
      </c>
      <c r="K45" s="105">
        <f t="shared" si="1"/>
        <v>2.886751345948129E-4</v>
      </c>
      <c r="L45" s="105">
        <f t="shared" si="2"/>
        <v>8.3333333333333338E-8</v>
      </c>
      <c r="M45" s="105">
        <f t="shared" si="3"/>
        <v>1.388888888888889E-16</v>
      </c>
      <c r="N45" s="3"/>
      <c r="O45" s="222"/>
      <c r="P45" s="212">
        <v>465</v>
      </c>
      <c r="Q45" s="127" t="s">
        <v>43</v>
      </c>
      <c r="R45" s="210">
        <v>0.66379999999999995</v>
      </c>
      <c r="S45" s="226">
        <v>2.7000000000000001E-3</v>
      </c>
      <c r="T45" s="3"/>
      <c r="U45" s="3"/>
      <c r="V45" s="3"/>
      <c r="W45" s="3"/>
      <c r="X45" s="3"/>
      <c r="Y45" s="3"/>
      <c r="Z45" s="3"/>
    </row>
    <row r="46" spans="1:26" ht="12.75" customHeight="1" x14ac:dyDescent="0.3">
      <c r="A46" s="104" t="s">
        <v>102</v>
      </c>
      <c r="B46" s="105" t="s">
        <v>201</v>
      </c>
      <c r="C46" s="105" t="s">
        <v>100</v>
      </c>
      <c r="D46" s="106" t="str">
        <f>D44</f>
        <v>Abs</v>
      </c>
      <c r="E46" s="105" t="s">
        <v>97</v>
      </c>
      <c r="F46" s="106">
        <f>S49</f>
        <v>2.7000000000000001E-3</v>
      </c>
      <c r="G46" s="105">
        <v>2</v>
      </c>
      <c r="H46" s="105">
        <v>60</v>
      </c>
      <c r="I46" s="105">
        <f t="shared" si="0"/>
        <v>1.3500000000000001E-3</v>
      </c>
      <c r="J46" s="105">
        <v>1</v>
      </c>
      <c r="K46" s="105">
        <f t="shared" si="1"/>
        <v>1.3500000000000001E-3</v>
      </c>
      <c r="L46" s="105">
        <f t="shared" si="2"/>
        <v>1.8225000000000001E-6</v>
      </c>
      <c r="M46" s="105">
        <f t="shared" si="3"/>
        <v>5.5358437500000004E-14</v>
      </c>
      <c r="N46" s="3"/>
      <c r="O46" s="221"/>
      <c r="P46" s="212">
        <v>546</v>
      </c>
      <c r="Q46" s="74" t="s">
        <v>43</v>
      </c>
      <c r="R46" s="210">
        <v>0.70050000000000001</v>
      </c>
      <c r="S46" s="226">
        <v>2.7000000000000001E-3</v>
      </c>
      <c r="T46" s="3"/>
      <c r="U46" s="3"/>
      <c r="V46" s="3"/>
      <c r="W46" s="3"/>
      <c r="X46" s="3"/>
      <c r="Y46" s="3"/>
      <c r="Z46" s="3"/>
    </row>
    <row r="47" spans="1:26" ht="12.75" customHeight="1" x14ac:dyDescent="0.3">
      <c r="A47" s="104" t="s">
        <v>104</v>
      </c>
      <c r="B47" s="105" t="s">
        <v>202</v>
      </c>
      <c r="C47" s="105" t="s">
        <v>100</v>
      </c>
      <c r="D47" s="106" t="str">
        <f>D44</f>
        <v>Abs</v>
      </c>
      <c r="E47" s="105" t="s">
        <v>101</v>
      </c>
      <c r="F47" s="107">
        <v>0</v>
      </c>
      <c r="G47" s="105">
        <f>SQRT(3)</f>
        <v>1.7320508075688772</v>
      </c>
      <c r="H47" s="105">
        <v>50</v>
      </c>
      <c r="I47" s="105">
        <f t="shared" si="0"/>
        <v>0</v>
      </c>
      <c r="J47" s="105">
        <v>1</v>
      </c>
      <c r="K47" s="105">
        <f t="shared" si="1"/>
        <v>0</v>
      </c>
      <c r="L47" s="105">
        <f t="shared" si="2"/>
        <v>0</v>
      </c>
      <c r="M47" s="105">
        <f t="shared" si="3"/>
        <v>0</v>
      </c>
      <c r="N47" s="3"/>
      <c r="O47" s="222"/>
      <c r="P47" s="212">
        <v>590</v>
      </c>
      <c r="Q47" s="127" t="s">
        <v>43</v>
      </c>
      <c r="R47" s="210">
        <v>0.77600000000000002</v>
      </c>
      <c r="S47" s="226">
        <v>2.7000000000000001E-3</v>
      </c>
      <c r="T47" s="3"/>
      <c r="U47" s="3"/>
      <c r="V47" s="3"/>
      <c r="W47" s="3"/>
      <c r="X47" s="3"/>
      <c r="Y47" s="3"/>
      <c r="Z47" s="3"/>
    </row>
    <row r="48" spans="1:26" ht="12.75" customHeight="1" x14ac:dyDescent="0.3">
      <c r="A48" s="108"/>
      <c r="B48" s="108"/>
      <c r="C48" s="108"/>
      <c r="D48" s="104"/>
      <c r="E48" s="104"/>
      <c r="F48" s="104"/>
      <c r="G48" s="104"/>
      <c r="H48" s="104"/>
      <c r="I48" s="104"/>
      <c r="J48" s="104"/>
      <c r="K48" s="104"/>
      <c r="L48" s="105"/>
      <c r="M48" s="104"/>
      <c r="N48" s="3"/>
      <c r="O48" s="224"/>
      <c r="P48" s="212">
        <v>635</v>
      </c>
      <c r="Q48" s="130" t="s">
        <v>43</v>
      </c>
      <c r="R48" s="210">
        <v>0.76559999999999995</v>
      </c>
      <c r="S48" s="227">
        <v>2.7000000000000001E-3</v>
      </c>
      <c r="T48" s="3"/>
      <c r="U48" s="3"/>
      <c r="V48" s="3"/>
      <c r="W48" s="3"/>
      <c r="X48" s="3"/>
      <c r="Y48" s="3"/>
      <c r="Z48" s="3"/>
    </row>
    <row r="49" spans="1:26" ht="12.75" customHeight="1" x14ac:dyDescent="0.3">
      <c r="A49" s="354" t="s">
        <v>106</v>
      </c>
      <c r="B49" s="336"/>
      <c r="C49" s="336"/>
      <c r="D49" s="336"/>
      <c r="E49" s="336"/>
      <c r="F49" s="336"/>
      <c r="G49" s="336"/>
      <c r="H49" s="336"/>
      <c r="I49" s="336"/>
      <c r="J49" s="345"/>
      <c r="K49" s="355">
        <f>SUM(L44:L48)</f>
        <v>1.9658333333333337E-6</v>
      </c>
      <c r="L49" s="345"/>
      <c r="M49" s="104">
        <f>SUM(M44:M48)</f>
        <v>5.6397326388888894E-14</v>
      </c>
      <c r="N49" s="3"/>
      <c r="O49" s="220" t="s">
        <v>326</v>
      </c>
      <c r="P49" s="212">
        <v>440</v>
      </c>
      <c r="Q49" s="228" t="s">
        <v>43</v>
      </c>
      <c r="R49" s="210">
        <f>Database!J39</f>
        <v>0.56130000000000002</v>
      </c>
      <c r="S49" s="230">
        <v>2.7000000000000001E-3</v>
      </c>
      <c r="T49" s="3"/>
      <c r="U49" s="3"/>
      <c r="V49" s="3"/>
      <c r="W49" s="3"/>
      <c r="X49" s="3"/>
      <c r="Y49" s="3"/>
      <c r="Z49" s="3"/>
    </row>
    <row r="50" spans="1:26" ht="12.75" customHeight="1" x14ac:dyDescent="0.3">
      <c r="A50" s="354" t="s">
        <v>107</v>
      </c>
      <c r="B50" s="336"/>
      <c r="C50" s="336"/>
      <c r="D50" s="336"/>
      <c r="E50" s="336"/>
      <c r="F50" s="336"/>
      <c r="G50" s="336"/>
      <c r="H50" s="336"/>
      <c r="I50" s="336"/>
      <c r="J50" s="345"/>
      <c r="K50" s="355">
        <f>SQRT(K49)</f>
        <v>1.4020817855365407E-3</v>
      </c>
      <c r="L50" s="345"/>
      <c r="M50" s="104"/>
      <c r="N50" s="3"/>
      <c r="O50" s="218"/>
      <c r="P50" s="212">
        <v>465</v>
      </c>
      <c r="Q50" s="97" t="s">
        <v>43</v>
      </c>
      <c r="R50" s="210">
        <f>Database!J40</f>
        <v>0.52370000000000005</v>
      </c>
      <c r="S50" s="231">
        <v>2.7000000000000001E-3</v>
      </c>
      <c r="T50" s="3"/>
      <c r="U50" s="3"/>
      <c r="V50" s="3"/>
      <c r="W50" s="3"/>
      <c r="X50" s="3"/>
      <c r="Y50" s="3"/>
      <c r="Z50" s="3"/>
    </row>
    <row r="51" spans="1:26" ht="12.75" customHeight="1" x14ac:dyDescent="0.3">
      <c r="A51" s="354" t="s">
        <v>203</v>
      </c>
      <c r="B51" s="336"/>
      <c r="C51" s="336"/>
      <c r="D51" s="336"/>
      <c r="E51" s="336"/>
      <c r="F51" s="336"/>
      <c r="G51" s="336"/>
      <c r="H51" s="336"/>
      <c r="I51" s="336"/>
      <c r="J51" s="345"/>
      <c r="K51" s="109">
        <f>(K50^4)/M49</f>
        <v>68.522764143050082</v>
      </c>
      <c r="L51" s="110"/>
      <c r="M51" s="104"/>
      <c r="N51" s="3"/>
      <c r="O51" s="218"/>
      <c r="P51" s="212">
        <v>546</v>
      </c>
      <c r="Q51" s="3" t="s">
        <v>43</v>
      </c>
      <c r="R51" s="210">
        <f>Database!J41</f>
        <v>0.52529999999999999</v>
      </c>
      <c r="S51" s="231">
        <v>2.7000000000000001E-3</v>
      </c>
      <c r="T51" s="3"/>
      <c r="U51" s="3"/>
      <c r="V51" s="3"/>
      <c r="W51" s="3"/>
      <c r="X51" s="3"/>
      <c r="Y51" s="3"/>
      <c r="Z51" s="3"/>
    </row>
    <row r="52" spans="1:26" ht="12.75" customHeight="1" x14ac:dyDescent="0.3">
      <c r="A52" s="354" t="s">
        <v>204</v>
      </c>
      <c r="B52" s="336"/>
      <c r="C52" s="336"/>
      <c r="D52" s="336"/>
      <c r="E52" s="336"/>
      <c r="F52" s="336"/>
      <c r="G52" s="336"/>
      <c r="H52" s="336"/>
      <c r="I52" s="336"/>
      <c r="J52" s="345"/>
      <c r="K52" s="109">
        <f>1.95996+2.37356/K51+2.818745/K51^2+2.546662/K51^3+1.761829/K51^4+0.245458/K51^5+1.000764/K51^6</f>
        <v>1.9952073194411684</v>
      </c>
      <c r="L52" s="110"/>
      <c r="M52" s="104"/>
      <c r="N52" s="3"/>
      <c r="O52" s="218"/>
      <c r="P52" s="212">
        <v>590</v>
      </c>
      <c r="Q52" s="97" t="s">
        <v>43</v>
      </c>
      <c r="R52" s="210">
        <f>Database!J42</f>
        <v>0.5595</v>
      </c>
      <c r="S52" s="231">
        <v>2.7000000000000001E-3</v>
      </c>
      <c r="T52" s="3"/>
      <c r="U52" s="3"/>
      <c r="V52" s="3"/>
      <c r="W52" s="3"/>
      <c r="X52" s="3"/>
      <c r="Y52" s="3"/>
      <c r="Z52" s="3"/>
    </row>
    <row r="53" spans="1:26" ht="12.75" customHeight="1" x14ac:dyDescent="0.3">
      <c r="A53" s="354" t="s">
        <v>110</v>
      </c>
      <c r="B53" s="336"/>
      <c r="C53" s="336"/>
      <c r="D53" s="336"/>
      <c r="E53" s="336"/>
      <c r="F53" s="336"/>
      <c r="G53" s="336"/>
      <c r="H53" s="336"/>
      <c r="I53" s="336"/>
      <c r="J53" s="345"/>
      <c r="K53" s="233">
        <f>K52*K50</f>
        <v>2.7974438409576483E-3</v>
      </c>
      <c r="L53" s="111"/>
      <c r="M53" s="104"/>
      <c r="N53" s="3"/>
      <c r="O53" s="219"/>
      <c r="P53" s="212">
        <v>635</v>
      </c>
      <c r="Q53" s="229" t="s">
        <v>43</v>
      </c>
      <c r="R53" s="210">
        <f>Database!J43</f>
        <v>0.56710000000000005</v>
      </c>
      <c r="S53" s="232">
        <v>2.7000000000000001E-3</v>
      </c>
      <c r="T53" s="3"/>
      <c r="U53" s="3"/>
      <c r="V53" s="3"/>
      <c r="W53" s="3"/>
      <c r="X53" s="3"/>
      <c r="Y53" s="3"/>
      <c r="Z53" s="3"/>
    </row>
    <row r="54" spans="1:26" ht="12.75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 x14ac:dyDescent="0.3">
      <c r="A55" s="80" t="s">
        <v>48</v>
      </c>
      <c r="B55" s="3"/>
      <c r="C55" s="3"/>
      <c r="D55" s="88" t="str">
        <f>A3</f>
        <v>1N</v>
      </c>
      <c r="E55" s="112"/>
      <c r="F55" s="90"/>
      <c r="G55" s="91"/>
      <c r="H55" s="69"/>
      <c r="I55" s="69"/>
      <c r="J55" s="69"/>
      <c r="K55" s="69"/>
      <c r="L55" s="69"/>
      <c r="M55" s="92" t="str">
        <f>M$41</f>
        <v>Absorbance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 x14ac:dyDescent="0.3">
      <c r="A56" s="94" t="s">
        <v>81</v>
      </c>
      <c r="B56" s="95"/>
      <c r="C56" s="95"/>
      <c r="D56" s="89">
        <f>C4</f>
        <v>0.99950000000000006</v>
      </c>
      <c r="E56" s="89" t="s">
        <v>45</v>
      </c>
      <c r="F56" s="117" t="str">
        <f>B3</f>
        <v>465</v>
      </c>
      <c r="G56" s="101"/>
      <c r="H56" s="100">
        <v>1E-3</v>
      </c>
      <c r="I56" s="101"/>
      <c r="J56" s="101"/>
      <c r="K56" s="101"/>
      <c r="L56" s="101"/>
      <c r="M56" s="85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 x14ac:dyDescent="0.3">
      <c r="A57" s="102" t="s">
        <v>82</v>
      </c>
      <c r="B57" s="102" t="s">
        <v>83</v>
      </c>
      <c r="C57" s="102" t="s">
        <v>15</v>
      </c>
      <c r="D57" s="102" t="s">
        <v>84</v>
      </c>
      <c r="E57" s="102" t="s">
        <v>85</v>
      </c>
      <c r="F57" s="103" t="s">
        <v>86</v>
      </c>
      <c r="G57" s="102" t="s">
        <v>87</v>
      </c>
      <c r="H57" s="102" t="s">
        <v>88</v>
      </c>
      <c r="I57" s="102" t="s">
        <v>89</v>
      </c>
      <c r="J57" s="102" t="s">
        <v>90</v>
      </c>
      <c r="K57" s="102" t="s">
        <v>91</v>
      </c>
      <c r="L57" s="102" t="s">
        <v>205</v>
      </c>
      <c r="M57" s="102" t="s">
        <v>206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 x14ac:dyDescent="0.3">
      <c r="A58" s="104" t="s">
        <v>94</v>
      </c>
      <c r="B58" s="105" t="s">
        <v>207</v>
      </c>
      <c r="C58" s="105" t="s">
        <v>96</v>
      </c>
      <c r="D58" s="106" t="str">
        <f>E56</f>
        <v>Abs</v>
      </c>
      <c r="E58" s="105" t="s">
        <v>97</v>
      </c>
      <c r="F58" s="105">
        <f>STDEV(Data!F51:J51)</f>
        <v>1.2412670766236366E-16</v>
      </c>
      <c r="G58" s="105">
        <f>SQRT(5)</f>
        <v>2.2360679774997898</v>
      </c>
      <c r="H58" s="105">
        <f>5-1</f>
        <v>4</v>
      </c>
      <c r="I58" s="105">
        <f t="shared" ref="I58:I61" si="4">(F58)/G58</f>
        <v>5.5511151231257827E-17</v>
      </c>
      <c r="J58" s="105">
        <v>1</v>
      </c>
      <c r="K58" s="105">
        <f t="shared" ref="K58:K61" si="5">I58*J58</f>
        <v>5.5511151231257827E-17</v>
      </c>
      <c r="L58" s="105">
        <f t="shared" ref="L58:L61" si="6">K58^2</f>
        <v>3.0814879110195774E-33</v>
      </c>
      <c r="M58" s="105">
        <f t="shared" ref="M58:M61" si="7">(K58^4)/H58</f>
        <v>2.3738919364399497E-66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 x14ac:dyDescent="0.3">
      <c r="A59" s="104" t="s">
        <v>98</v>
      </c>
      <c r="B59" s="105" t="s">
        <v>208</v>
      </c>
      <c r="C59" s="105" t="s">
        <v>100</v>
      </c>
      <c r="D59" s="106" t="str">
        <f>D58</f>
        <v>Abs</v>
      </c>
      <c r="E59" s="105" t="s">
        <v>101</v>
      </c>
      <c r="F59" s="105">
        <f>H56/2</f>
        <v>5.0000000000000001E-4</v>
      </c>
      <c r="G59" s="105">
        <f>SQRT(3)</f>
        <v>1.7320508075688772</v>
      </c>
      <c r="H59" s="105">
        <v>50</v>
      </c>
      <c r="I59" s="105">
        <f t="shared" si="4"/>
        <v>2.886751345948129E-4</v>
      </c>
      <c r="J59" s="105">
        <v>1</v>
      </c>
      <c r="K59" s="105">
        <f t="shared" si="5"/>
        <v>2.886751345948129E-4</v>
      </c>
      <c r="L59" s="105">
        <f t="shared" si="6"/>
        <v>8.3333333333333338E-8</v>
      </c>
      <c r="M59" s="105">
        <f t="shared" si="7"/>
        <v>1.388888888888889E-16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 x14ac:dyDescent="0.3">
      <c r="A60" s="104" t="s">
        <v>102</v>
      </c>
      <c r="B60" s="105" t="s">
        <v>209</v>
      </c>
      <c r="C60" s="105" t="s">
        <v>100</v>
      </c>
      <c r="D60" s="106" t="str">
        <f>D58</f>
        <v>Abs</v>
      </c>
      <c r="E60" s="105" t="s">
        <v>97</v>
      </c>
      <c r="F60" s="106">
        <f>S50</f>
        <v>2.7000000000000001E-3</v>
      </c>
      <c r="G60" s="105">
        <v>2</v>
      </c>
      <c r="H60" s="105">
        <v>60</v>
      </c>
      <c r="I60" s="105">
        <f t="shared" si="4"/>
        <v>1.3500000000000001E-3</v>
      </c>
      <c r="J60" s="105">
        <v>1</v>
      </c>
      <c r="K60" s="105">
        <f t="shared" si="5"/>
        <v>1.3500000000000001E-3</v>
      </c>
      <c r="L60" s="105">
        <f t="shared" si="6"/>
        <v>1.8225000000000001E-6</v>
      </c>
      <c r="M60" s="105">
        <f t="shared" si="7"/>
        <v>5.5358437500000004E-14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 x14ac:dyDescent="0.3">
      <c r="A61" s="104" t="s">
        <v>104</v>
      </c>
      <c r="B61" s="105" t="s">
        <v>210</v>
      </c>
      <c r="C61" s="105" t="s">
        <v>100</v>
      </c>
      <c r="D61" s="106" t="str">
        <f>D58</f>
        <v>Abs</v>
      </c>
      <c r="E61" s="105" t="s">
        <v>101</v>
      </c>
      <c r="F61" s="107">
        <v>0</v>
      </c>
      <c r="G61" s="105">
        <f>SQRT(3)</f>
        <v>1.7320508075688772</v>
      </c>
      <c r="H61" s="105">
        <v>50</v>
      </c>
      <c r="I61" s="105">
        <f t="shared" si="4"/>
        <v>0</v>
      </c>
      <c r="J61" s="105">
        <v>1</v>
      </c>
      <c r="K61" s="105">
        <f t="shared" si="5"/>
        <v>0</v>
      </c>
      <c r="L61" s="105">
        <f t="shared" si="6"/>
        <v>0</v>
      </c>
      <c r="M61" s="105">
        <f t="shared" si="7"/>
        <v>0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 x14ac:dyDescent="0.3">
      <c r="A62" s="108"/>
      <c r="B62" s="108"/>
      <c r="C62" s="108"/>
      <c r="D62" s="104"/>
      <c r="E62" s="104"/>
      <c r="F62" s="104"/>
      <c r="G62" s="104"/>
      <c r="H62" s="104"/>
      <c r="I62" s="104"/>
      <c r="J62" s="104"/>
      <c r="K62" s="104"/>
      <c r="L62" s="105"/>
      <c r="M62" s="104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 x14ac:dyDescent="0.3">
      <c r="A63" s="354" t="s">
        <v>106</v>
      </c>
      <c r="B63" s="336"/>
      <c r="C63" s="336"/>
      <c r="D63" s="336"/>
      <c r="E63" s="336"/>
      <c r="F63" s="336"/>
      <c r="G63" s="336"/>
      <c r="H63" s="336"/>
      <c r="I63" s="336"/>
      <c r="J63" s="345"/>
      <c r="K63" s="355">
        <f>SUM(L58:L62)</f>
        <v>1.9058333333333334E-6</v>
      </c>
      <c r="L63" s="345"/>
      <c r="M63" s="104">
        <f>SUM(M58:M62)</f>
        <v>5.5497326388888893E-14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 x14ac:dyDescent="0.3">
      <c r="A64" s="354" t="s">
        <v>107</v>
      </c>
      <c r="B64" s="336"/>
      <c r="C64" s="336"/>
      <c r="D64" s="336"/>
      <c r="E64" s="336"/>
      <c r="F64" s="336"/>
      <c r="G64" s="336"/>
      <c r="H64" s="336"/>
      <c r="I64" s="336"/>
      <c r="J64" s="345"/>
      <c r="K64" s="355">
        <f>SQRT(K63)</f>
        <v>1.3805192259919213E-3</v>
      </c>
      <c r="L64" s="345"/>
      <c r="M64" s="104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 x14ac:dyDescent="0.3">
      <c r="A65" s="354" t="s">
        <v>211</v>
      </c>
      <c r="B65" s="336"/>
      <c r="C65" s="336"/>
      <c r="D65" s="336"/>
      <c r="E65" s="336"/>
      <c r="F65" s="336"/>
      <c r="G65" s="336"/>
      <c r="H65" s="336"/>
      <c r="I65" s="336"/>
      <c r="J65" s="345"/>
      <c r="K65" s="109">
        <f>(K64^4)/M63</f>
        <v>65.448210405531313</v>
      </c>
      <c r="L65" s="110"/>
      <c r="M65" s="104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 x14ac:dyDescent="0.3">
      <c r="A66" s="354" t="s">
        <v>212</v>
      </c>
      <c r="B66" s="336"/>
      <c r="C66" s="336"/>
      <c r="D66" s="336"/>
      <c r="E66" s="336"/>
      <c r="F66" s="336"/>
      <c r="G66" s="336"/>
      <c r="H66" s="336"/>
      <c r="I66" s="336"/>
      <c r="J66" s="345"/>
      <c r="K66" s="109">
        <f>1.95996+2.37356/K65+2.818745/K65^2+2.546662/K65^3+1.761829/K65^4+0.245458/K65^5+1.000764/K65^6</f>
        <v>1.9968934645600469</v>
      </c>
      <c r="L66" s="110"/>
      <c r="M66" s="104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 x14ac:dyDescent="0.3">
      <c r="A67" s="354" t="s">
        <v>110</v>
      </c>
      <c r="B67" s="336"/>
      <c r="C67" s="336"/>
      <c r="D67" s="336"/>
      <c r="E67" s="336"/>
      <c r="F67" s="336"/>
      <c r="G67" s="336"/>
      <c r="H67" s="336"/>
      <c r="I67" s="336"/>
      <c r="J67" s="345"/>
      <c r="K67" s="109">
        <f>K66*K64</f>
        <v>2.7567498200827623E-3</v>
      </c>
      <c r="L67" s="111"/>
      <c r="M67" s="104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 x14ac:dyDescent="0.3">
      <c r="A69" s="80" t="s">
        <v>48</v>
      </c>
      <c r="B69" s="3"/>
      <c r="C69" s="3"/>
      <c r="D69" s="96" t="str">
        <f>A4</f>
        <v>1N</v>
      </c>
      <c r="E69" s="112"/>
      <c r="F69" s="90"/>
      <c r="G69" s="91"/>
      <c r="H69" s="69"/>
      <c r="I69" s="69"/>
      <c r="J69" s="69"/>
      <c r="K69" s="69"/>
      <c r="L69" s="69"/>
      <c r="M69" s="92" t="str">
        <f>M$41</f>
        <v>Absorbance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 x14ac:dyDescent="0.3">
      <c r="A70" s="94" t="s">
        <v>81</v>
      </c>
      <c r="B70" s="95"/>
      <c r="C70" s="95"/>
      <c r="D70" s="89">
        <f>C4</f>
        <v>0.99950000000000006</v>
      </c>
      <c r="E70" s="89" t="s">
        <v>45</v>
      </c>
      <c r="F70" s="132" t="str">
        <f>B4</f>
        <v>546</v>
      </c>
      <c r="G70" s="101"/>
      <c r="H70" s="100">
        <v>1E-3</v>
      </c>
      <c r="I70" s="101"/>
      <c r="J70" s="101"/>
      <c r="K70" s="101"/>
      <c r="L70" s="101"/>
      <c r="M70" s="85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 x14ac:dyDescent="0.3">
      <c r="A71" s="102" t="s">
        <v>82</v>
      </c>
      <c r="B71" s="102" t="s">
        <v>83</v>
      </c>
      <c r="C71" s="102" t="s">
        <v>15</v>
      </c>
      <c r="D71" s="102" t="s">
        <v>84</v>
      </c>
      <c r="E71" s="102" t="s">
        <v>85</v>
      </c>
      <c r="F71" s="103" t="s">
        <v>86</v>
      </c>
      <c r="G71" s="102" t="s">
        <v>87</v>
      </c>
      <c r="H71" s="102" t="s">
        <v>88</v>
      </c>
      <c r="I71" s="102" t="s">
        <v>89</v>
      </c>
      <c r="J71" s="102" t="s">
        <v>90</v>
      </c>
      <c r="K71" s="102" t="s">
        <v>91</v>
      </c>
      <c r="L71" s="102" t="s">
        <v>213</v>
      </c>
      <c r="M71" s="102" t="s">
        <v>214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 x14ac:dyDescent="0.3">
      <c r="A72" s="104" t="s">
        <v>94</v>
      </c>
      <c r="B72" s="105" t="s">
        <v>215</v>
      </c>
      <c r="C72" s="105" t="s">
        <v>96</v>
      </c>
      <c r="D72" s="106" t="str">
        <f>E70</f>
        <v>Abs</v>
      </c>
      <c r="E72" s="105" t="s">
        <v>97</v>
      </c>
      <c r="F72" s="105">
        <f>STDEV(Data!F52:J52)</f>
        <v>0</v>
      </c>
      <c r="G72" s="105">
        <f>SQRT(5)</f>
        <v>2.2360679774997898</v>
      </c>
      <c r="H72" s="105">
        <f>5-1</f>
        <v>4</v>
      </c>
      <c r="I72" s="105">
        <f t="shared" ref="I72:I75" si="8">(F72)/G72</f>
        <v>0</v>
      </c>
      <c r="J72" s="105">
        <v>1</v>
      </c>
      <c r="K72" s="105">
        <f t="shared" ref="K72:K75" si="9">I72*J72</f>
        <v>0</v>
      </c>
      <c r="L72" s="105">
        <f t="shared" ref="L72:L75" si="10">K72^2</f>
        <v>0</v>
      </c>
      <c r="M72" s="105">
        <f t="shared" ref="M72:M75" si="11">(K72^4)/H72</f>
        <v>0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 x14ac:dyDescent="0.3">
      <c r="A73" s="104" t="s">
        <v>98</v>
      </c>
      <c r="B73" s="105" t="s">
        <v>216</v>
      </c>
      <c r="C73" s="105" t="s">
        <v>100</v>
      </c>
      <c r="D73" s="106" t="str">
        <f>D72</f>
        <v>Abs</v>
      </c>
      <c r="E73" s="105" t="s">
        <v>101</v>
      </c>
      <c r="F73" s="105">
        <f>H70/2</f>
        <v>5.0000000000000001E-4</v>
      </c>
      <c r="G73" s="105">
        <f>SQRT(3)</f>
        <v>1.7320508075688772</v>
      </c>
      <c r="H73" s="105">
        <v>50</v>
      </c>
      <c r="I73" s="105">
        <f t="shared" si="8"/>
        <v>2.886751345948129E-4</v>
      </c>
      <c r="J73" s="105">
        <v>1</v>
      </c>
      <c r="K73" s="105">
        <f t="shared" si="9"/>
        <v>2.886751345948129E-4</v>
      </c>
      <c r="L73" s="105">
        <f t="shared" si="10"/>
        <v>8.3333333333333338E-8</v>
      </c>
      <c r="M73" s="105">
        <f t="shared" si="11"/>
        <v>1.388888888888889E-16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 x14ac:dyDescent="0.3">
      <c r="A74" s="104" t="s">
        <v>102</v>
      </c>
      <c r="B74" s="105" t="s">
        <v>217</v>
      </c>
      <c r="C74" s="105" t="s">
        <v>100</v>
      </c>
      <c r="D74" s="106" t="str">
        <f>D72</f>
        <v>Abs</v>
      </c>
      <c r="E74" s="105" t="s">
        <v>97</v>
      </c>
      <c r="F74" s="106">
        <f>S51</f>
        <v>2.7000000000000001E-3</v>
      </c>
      <c r="G74" s="105">
        <v>2</v>
      </c>
      <c r="H74" s="105">
        <v>60</v>
      </c>
      <c r="I74" s="105">
        <f t="shared" si="8"/>
        <v>1.3500000000000001E-3</v>
      </c>
      <c r="J74" s="105">
        <v>1</v>
      </c>
      <c r="K74" s="105">
        <f t="shared" si="9"/>
        <v>1.3500000000000001E-3</v>
      </c>
      <c r="L74" s="105">
        <f t="shared" si="10"/>
        <v>1.8225000000000001E-6</v>
      </c>
      <c r="M74" s="105">
        <f t="shared" si="11"/>
        <v>5.5358437500000004E-14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 x14ac:dyDescent="0.3">
      <c r="A75" s="104" t="s">
        <v>104</v>
      </c>
      <c r="B75" s="105" t="s">
        <v>218</v>
      </c>
      <c r="C75" s="105" t="s">
        <v>100</v>
      </c>
      <c r="D75" s="106" t="str">
        <f>D72</f>
        <v>Abs</v>
      </c>
      <c r="E75" s="105" t="s">
        <v>101</v>
      </c>
      <c r="F75" s="107">
        <v>0</v>
      </c>
      <c r="G75" s="105">
        <f>SQRT(3)</f>
        <v>1.7320508075688772</v>
      </c>
      <c r="H75" s="105">
        <v>50</v>
      </c>
      <c r="I75" s="105">
        <f t="shared" si="8"/>
        <v>0</v>
      </c>
      <c r="J75" s="105">
        <v>1</v>
      </c>
      <c r="K75" s="105">
        <f t="shared" si="9"/>
        <v>0</v>
      </c>
      <c r="L75" s="105">
        <f t="shared" si="10"/>
        <v>0</v>
      </c>
      <c r="M75" s="105">
        <f t="shared" si="11"/>
        <v>0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 x14ac:dyDescent="0.3">
      <c r="A76" s="108"/>
      <c r="B76" s="108"/>
      <c r="C76" s="108"/>
      <c r="D76" s="104"/>
      <c r="E76" s="104"/>
      <c r="F76" s="104"/>
      <c r="G76" s="104"/>
      <c r="H76" s="104"/>
      <c r="I76" s="104"/>
      <c r="J76" s="104"/>
      <c r="K76" s="104"/>
      <c r="L76" s="105"/>
      <c r="M76" s="104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 x14ac:dyDescent="0.3">
      <c r="A77" s="354" t="s">
        <v>106</v>
      </c>
      <c r="B77" s="336"/>
      <c r="C77" s="336"/>
      <c r="D77" s="336"/>
      <c r="E77" s="336"/>
      <c r="F77" s="336"/>
      <c r="G77" s="336"/>
      <c r="H77" s="336"/>
      <c r="I77" s="336"/>
      <c r="J77" s="345"/>
      <c r="K77" s="355">
        <f>SUM(L72:L76)</f>
        <v>1.9058333333333334E-6</v>
      </c>
      <c r="L77" s="345"/>
      <c r="M77" s="104">
        <f>SUM(M72:M76)</f>
        <v>5.5497326388888893E-14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 x14ac:dyDescent="0.3">
      <c r="A78" s="354" t="s">
        <v>107</v>
      </c>
      <c r="B78" s="336"/>
      <c r="C78" s="336"/>
      <c r="D78" s="336"/>
      <c r="E78" s="336"/>
      <c r="F78" s="336"/>
      <c r="G78" s="336"/>
      <c r="H78" s="336"/>
      <c r="I78" s="336"/>
      <c r="J78" s="345"/>
      <c r="K78" s="355">
        <f>SQRT(K77)</f>
        <v>1.3805192259919213E-3</v>
      </c>
      <c r="L78" s="345"/>
      <c r="M78" s="104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 x14ac:dyDescent="0.3">
      <c r="A79" s="354" t="s">
        <v>219</v>
      </c>
      <c r="B79" s="336"/>
      <c r="C79" s="336"/>
      <c r="D79" s="336"/>
      <c r="E79" s="336"/>
      <c r="F79" s="336"/>
      <c r="G79" s="336"/>
      <c r="H79" s="336"/>
      <c r="I79" s="336"/>
      <c r="J79" s="345"/>
      <c r="K79" s="109">
        <f>(K78^4)/M77</f>
        <v>65.448210405531313</v>
      </c>
      <c r="L79" s="110"/>
      <c r="M79" s="104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 x14ac:dyDescent="0.3">
      <c r="A80" s="354" t="s">
        <v>220</v>
      </c>
      <c r="B80" s="336"/>
      <c r="C80" s="336"/>
      <c r="D80" s="336"/>
      <c r="E80" s="336"/>
      <c r="F80" s="336"/>
      <c r="G80" s="336"/>
      <c r="H80" s="336"/>
      <c r="I80" s="336"/>
      <c r="J80" s="345"/>
      <c r="K80" s="109">
        <f>1.95996+2.37356/K79+2.818745/K79^2+2.546662/K79^3+1.761829/K79^4+0.245458/K79^5+1.000764/K79^6</f>
        <v>1.9968934645600469</v>
      </c>
      <c r="L80" s="110"/>
      <c r="M80" s="104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 x14ac:dyDescent="0.3">
      <c r="A81" s="354" t="s">
        <v>110</v>
      </c>
      <c r="B81" s="336"/>
      <c r="C81" s="336"/>
      <c r="D81" s="336"/>
      <c r="E81" s="336"/>
      <c r="F81" s="336"/>
      <c r="G81" s="336"/>
      <c r="H81" s="336"/>
      <c r="I81" s="336"/>
      <c r="J81" s="345"/>
      <c r="K81" s="109">
        <f>K80*K78</f>
        <v>2.7567498200827623E-3</v>
      </c>
      <c r="L81" s="111"/>
      <c r="M81" s="104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 x14ac:dyDescent="0.3">
      <c r="A83" s="80" t="s">
        <v>48</v>
      </c>
      <c r="B83" s="3"/>
      <c r="C83" s="3"/>
      <c r="D83" s="96" t="str">
        <f>A5</f>
        <v>1N</v>
      </c>
      <c r="E83" s="112"/>
      <c r="F83" s="90"/>
      <c r="G83" s="91"/>
      <c r="H83" s="69"/>
      <c r="I83" s="69"/>
      <c r="J83" s="69"/>
      <c r="K83" s="69"/>
      <c r="L83" s="69"/>
      <c r="M83" s="92" t="str">
        <f>M$41</f>
        <v>Absorbance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 x14ac:dyDescent="0.3">
      <c r="A84" s="94" t="s">
        <v>81</v>
      </c>
      <c r="B84" s="95"/>
      <c r="C84" s="95"/>
      <c r="D84" s="89">
        <f>C5</f>
        <v>1.111</v>
      </c>
      <c r="E84" s="89" t="s">
        <v>45</v>
      </c>
      <c r="F84" s="132" t="str">
        <f>B5</f>
        <v>590</v>
      </c>
      <c r="G84" s="101"/>
      <c r="H84" s="100">
        <v>1E-3</v>
      </c>
      <c r="I84" s="101"/>
      <c r="J84" s="101"/>
      <c r="K84" s="101"/>
      <c r="L84" s="101"/>
      <c r="M84" s="85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 x14ac:dyDescent="0.3">
      <c r="A85" s="102" t="s">
        <v>82</v>
      </c>
      <c r="B85" s="102" t="s">
        <v>83</v>
      </c>
      <c r="C85" s="102" t="s">
        <v>15</v>
      </c>
      <c r="D85" s="102" t="s">
        <v>84</v>
      </c>
      <c r="E85" s="102" t="s">
        <v>85</v>
      </c>
      <c r="F85" s="103" t="s">
        <v>86</v>
      </c>
      <c r="G85" s="102" t="s">
        <v>87</v>
      </c>
      <c r="H85" s="102" t="s">
        <v>88</v>
      </c>
      <c r="I85" s="102" t="s">
        <v>89</v>
      </c>
      <c r="J85" s="102" t="s">
        <v>90</v>
      </c>
      <c r="K85" s="102" t="s">
        <v>91</v>
      </c>
      <c r="L85" s="102" t="s">
        <v>221</v>
      </c>
      <c r="M85" s="102" t="s">
        <v>222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 x14ac:dyDescent="0.3">
      <c r="A86" s="104" t="s">
        <v>94</v>
      </c>
      <c r="B86" s="105" t="s">
        <v>223</v>
      </c>
      <c r="C86" s="105" t="s">
        <v>96</v>
      </c>
      <c r="D86" s="106" t="str">
        <f>E84</f>
        <v>Abs</v>
      </c>
      <c r="E86" s="105" t="s">
        <v>97</v>
      </c>
      <c r="F86" s="105">
        <f>STDEV(Data!F53:J53)</f>
        <v>0</v>
      </c>
      <c r="G86" s="105">
        <f>SQRT(5)</f>
        <v>2.2360679774997898</v>
      </c>
      <c r="H86" s="105">
        <f>5-1</f>
        <v>4</v>
      </c>
      <c r="I86" s="105">
        <f t="shared" ref="I86:I89" si="12">(F86)/G86</f>
        <v>0</v>
      </c>
      <c r="J86" s="105">
        <v>1</v>
      </c>
      <c r="K86" s="105">
        <f t="shared" ref="K86:K89" si="13">I86*J86</f>
        <v>0</v>
      </c>
      <c r="L86" s="105">
        <f t="shared" ref="L86:L89" si="14">K86^2</f>
        <v>0</v>
      </c>
      <c r="M86" s="105">
        <f t="shared" ref="M86:M89" si="15">(K86^4)/H86</f>
        <v>0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 x14ac:dyDescent="0.3">
      <c r="A87" s="104" t="s">
        <v>98</v>
      </c>
      <c r="B87" s="105" t="s">
        <v>224</v>
      </c>
      <c r="C87" s="105" t="s">
        <v>100</v>
      </c>
      <c r="D87" s="106" t="str">
        <f>D86</f>
        <v>Abs</v>
      </c>
      <c r="E87" s="105" t="s">
        <v>101</v>
      </c>
      <c r="F87" s="105">
        <f>H84/2</f>
        <v>5.0000000000000001E-4</v>
      </c>
      <c r="G87" s="105">
        <f>SQRT(3)</f>
        <v>1.7320508075688772</v>
      </c>
      <c r="H87" s="105">
        <v>50</v>
      </c>
      <c r="I87" s="105">
        <f t="shared" si="12"/>
        <v>2.886751345948129E-4</v>
      </c>
      <c r="J87" s="105">
        <v>1</v>
      </c>
      <c r="K87" s="105">
        <f t="shared" si="13"/>
        <v>2.886751345948129E-4</v>
      </c>
      <c r="L87" s="105">
        <f t="shared" si="14"/>
        <v>8.3333333333333338E-8</v>
      </c>
      <c r="M87" s="105">
        <f t="shared" si="15"/>
        <v>1.388888888888889E-16</v>
      </c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 x14ac:dyDescent="0.3">
      <c r="A88" s="104" t="s">
        <v>102</v>
      </c>
      <c r="B88" s="105" t="s">
        <v>225</v>
      </c>
      <c r="C88" s="105" t="s">
        <v>100</v>
      </c>
      <c r="D88" s="106" t="str">
        <f>D86</f>
        <v>Abs</v>
      </c>
      <c r="E88" s="105" t="s">
        <v>97</v>
      </c>
      <c r="F88" s="106">
        <f>S52</f>
        <v>2.7000000000000001E-3</v>
      </c>
      <c r="G88" s="105">
        <v>2</v>
      </c>
      <c r="H88" s="105">
        <v>60</v>
      </c>
      <c r="I88" s="105">
        <f t="shared" si="12"/>
        <v>1.3500000000000001E-3</v>
      </c>
      <c r="J88" s="105">
        <v>1</v>
      </c>
      <c r="K88" s="105">
        <f t="shared" si="13"/>
        <v>1.3500000000000001E-3</v>
      </c>
      <c r="L88" s="105">
        <f t="shared" si="14"/>
        <v>1.8225000000000001E-6</v>
      </c>
      <c r="M88" s="105">
        <f t="shared" si="15"/>
        <v>5.5358437500000004E-14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 x14ac:dyDescent="0.3">
      <c r="A89" s="104" t="s">
        <v>104</v>
      </c>
      <c r="B89" s="105" t="s">
        <v>226</v>
      </c>
      <c r="C89" s="105" t="s">
        <v>100</v>
      </c>
      <c r="D89" s="106" t="str">
        <f>D86</f>
        <v>Abs</v>
      </c>
      <c r="E89" s="105" t="s">
        <v>101</v>
      </c>
      <c r="F89" s="107">
        <v>0</v>
      </c>
      <c r="G89" s="105">
        <f>SQRT(3)</f>
        <v>1.7320508075688772</v>
      </c>
      <c r="H89" s="105">
        <v>50</v>
      </c>
      <c r="I89" s="105">
        <f t="shared" si="12"/>
        <v>0</v>
      </c>
      <c r="J89" s="105">
        <v>1</v>
      </c>
      <c r="K89" s="105">
        <f t="shared" si="13"/>
        <v>0</v>
      </c>
      <c r="L89" s="105">
        <f t="shared" si="14"/>
        <v>0</v>
      </c>
      <c r="M89" s="105">
        <f t="shared" si="15"/>
        <v>0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 x14ac:dyDescent="0.3">
      <c r="A90" s="108"/>
      <c r="B90" s="108"/>
      <c r="C90" s="108"/>
      <c r="D90" s="104"/>
      <c r="E90" s="104"/>
      <c r="F90" s="104"/>
      <c r="G90" s="104"/>
      <c r="H90" s="104"/>
      <c r="I90" s="104"/>
      <c r="J90" s="104"/>
      <c r="K90" s="104"/>
      <c r="L90" s="105"/>
      <c r="M90" s="104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 x14ac:dyDescent="0.3">
      <c r="A91" s="354" t="s">
        <v>106</v>
      </c>
      <c r="B91" s="336"/>
      <c r="C91" s="336"/>
      <c r="D91" s="336"/>
      <c r="E91" s="336"/>
      <c r="F91" s="336"/>
      <c r="G91" s="336"/>
      <c r="H91" s="336"/>
      <c r="I91" s="336"/>
      <c r="J91" s="345"/>
      <c r="K91" s="355">
        <f>SUM(L86:L90)</f>
        <v>1.9058333333333334E-6</v>
      </c>
      <c r="L91" s="345"/>
      <c r="M91" s="104">
        <f>SUM(M86:M90)</f>
        <v>5.5497326388888893E-14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 x14ac:dyDescent="0.3">
      <c r="A92" s="354" t="s">
        <v>107</v>
      </c>
      <c r="B92" s="336"/>
      <c r="C92" s="336"/>
      <c r="D92" s="336"/>
      <c r="E92" s="336"/>
      <c r="F92" s="336"/>
      <c r="G92" s="336"/>
      <c r="H92" s="336"/>
      <c r="I92" s="336"/>
      <c r="J92" s="345"/>
      <c r="K92" s="355">
        <f>SQRT(K91)</f>
        <v>1.3805192259919213E-3</v>
      </c>
      <c r="L92" s="345"/>
      <c r="M92" s="104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 x14ac:dyDescent="0.3">
      <c r="A93" s="354" t="s">
        <v>227</v>
      </c>
      <c r="B93" s="336"/>
      <c r="C93" s="336"/>
      <c r="D93" s="336"/>
      <c r="E93" s="336"/>
      <c r="F93" s="336"/>
      <c r="G93" s="336"/>
      <c r="H93" s="336"/>
      <c r="I93" s="336"/>
      <c r="J93" s="345"/>
      <c r="K93" s="109">
        <f>(K92^4)/M91</f>
        <v>65.448210405531313</v>
      </c>
      <c r="L93" s="110"/>
      <c r="M93" s="104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 x14ac:dyDescent="0.3">
      <c r="A94" s="354" t="s">
        <v>228</v>
      </c>
      <c r="B94" s="336"/>
      <c r="C94" s="336"/>
      <c r="D94" s="336"/>
      <c r="E94" s="336"/>
      <c r="F94" s="336"/>
      <c r="G94" s="336"/>
      <c r="H94" s="336"/>
      <c r="I94" s="336"/>
      <c r="J94" s="345"/>
      <c r="K94" s="109">
        <f>1.95996+2.37356/K93+2.818745/K93^2+2.546662/K93^3+1.761829/K93^4+0.245458/K93^5+1.000764/K93^6</f>
        <v>1.9968934645600469</v>
      </c>
      <c r="L94" s="110"/>
      <c r="M94" s="104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 x14ac:dyDescent="0.3">
      <c r="A95" s="354" t="s">
        <v>110</v>
      </c>
      <c r="B95" s="336"/>
      <c r="C95" s="336"/>
      <c r="D95" s="336"/>
      <c r="E95" s="336"/>
      <c r="F95" s="336"/>
      <c r="G95" s="336"/>
      <c r="H95" s="336"/>
      <c r="I95" s="336"/>
      <c r="J95" s="345"/>
      <c r="K95" s="109">
        <f>K94*K92</f>
        <v>2.7567498200827623E-3</v>
      </c>
      <c r="L95" s="111"/>
      <c r="M95" s="104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 x14ac:dyDescent="0.3">
      <c r="A97" s="80" t="s">
        <v>48</v>
      </c>
      <c r="B97" s="3"/>
      <c r="C97" s="3"/>
      <c r="D97" s="96" t="str">
        <f>A6</f>
        <v>1N</v>
      </c>
      <c r="E97" s="112"/>
      <c r="F97" s="90"/>
      <c r="G97" s="91"/>
      <c r="H97" s="69"/>
      <c r="I97" s="69"/>
      <c r="J97" s="69"/>
      <c r="K97" s="69"/>
      <c r="L97" s="69"/>
      <c r="M97" s="92" t="str">
        <f>M$41</f>
        <v>Absorbance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 x14ac:dyDescent="0.3">
      <c r="A98" s="94" t="s">
        <v>81</v>
      </c>
      <c r="B98" s="95"/>
      <c r="C98" s="95"/>
      <c r="D98" s="89">
        <f>C6</f>
        <v>1.0968</v>
      </c>
      <c r="E98" s="89" t="s">
        <v>45</v>
      </c>
      <c r="F98" s="132" t="str">
        <f>B6</f>
        <v>635</v>
      </c>
      <c r="G98" s="101"/>
      <c r="H98" s="100">
        <v>1E-3</v>
      </c>
      <c r="I98" s="101"/>
      <c r="J98" s="101"/>
      <c r="K98" s="101"/>
      <c r="L98" s="101"/>
      <c r="M98" s="85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 x14ac:dyDescent="0.3">
      <c r="A99" s="102" t="s">
        <v>82</v>
      </c>
      <c r="B99" s="102" t="s">
        <v>83</v>
      </c>
      <c r="C99" s="102" t="s">
        <v>15</v>
      </c>
      <c r="D99" s="102" t="s">
        <v>84</v>
      </c>
      <c r="E99" s="102" t="s">
        <v>85</v>
      </c>
      <c r="F99" s="103" t="s">
        <v>86</v>
      </c>
      <c r="G99" s="102" t="s">
        <v>87</v>
      </c>
      <c r="H99" s="102" t="s">
        <v>88</v>
      </c>
      <c r="I99" s="102" t="s">
        <v>89</v>
      </c>
      <c r="J99" s="102" t="s">
        <v>90</v>
      </c>
      <c r="K99" s="102" t="s">
        <v>91</v>
      </c>
      <c r="L99" s="102" t="s">
        <v>229</v>
      </c>
      <c r="M99" s="102" t="s">
        <v>230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 x14ac:dyDescent="0.3">
      <c r="A100" s="104" t="s">
        <v>94</v>
      </c>
      <c r="B100" s="105" t="s">
        <v>231</v>
      </c>
      <c r="C100" s="105" t="s">
        <v>96</v>
      </c>
      <c r="D100" s="106" t="str">
        <f>E98</f>
        <v>Abs</v>
      </c>
      <c r="E100" s="105" t="s">
        <v>97</v>
      </c>
      <c r="F100" s="105">
        <f>STDEV(Data!F54:J54)</f>
        <v>0</v>
      </c>
      <c r="G100" s="105">
        <f>SQRT(5)</f>
        <v>2.2360679774997898</v>
      </c>
      <c r="H100" s="105">
        <f>5-1</f>
        <v>4</v>
      </c>
      <c r="I100" s="105">
        <f t="shared" ref="I100:I103" si="16">(F100)/G100</f>
        <v>0</v>
      </c>
      <c r="J100" s="105">
        <v>1</v>
      </c>
      <c r="K100" s="105">
        <f t="shared" ref="K100:K103" si="17">I100*J100</f>
        <v>0</v>
      </c>
      <c r="L100" s="105">
        <f t="shared" ref="L100:L103" si="18">K100^2</f>
        <v>0</v>
      </c>
      <c r="M100" s="105">
        <f t="shared" ref="M100:M103" si="19">(K100^4)/H100</f>
        <v>0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 x14ac:dyDescent="0.3">
      <c r="A101" s="104" t="s">
        <v>98</v>
      </c>
      <c r="B101" s="105" t="s">
        <v>232</v>
      </c>
      <c r="C101" s="105" t="s">
        <v>100</v>
      </c>
      <c r="D101" s="106" t="str">
        <f>D100</f>
        <v>Abs</v>
      </c>
      <c r="E101" s="105" t="s">
        <v>101</v>
      </c>
      <c r="F101" s="105">
        <f>H98/2</f>
        <v>5.0000000000000001E-4</v>
      </c>
      <c r="G101" s="105">
        <f>SQRT(3)</f>
        <v>1.7320508075688772</v>
      </c>
      <c r="H101" s="105">
        <v>50</v>
      </c>
      <c r="I101" s="105">
        <f t="shared" si="16"/>
        <v>2.886751345948129E-4</v>
      </c>
      <c r="J101" s="105">
        <v>1</v>
      </c>
      <c r="K101" s="105">
        <f t="shared" si="17"/>
        <v>2.886751345948129E-4</v>
      </c>
      <c r="L101" s="105">
        <f t="shared" si="18"/>
        <v>8.3333333333333338E-8</v>
      </c>
      <c r="M101" s="105">
        <f t="shared" si="19"/>
        <v>1.388888888888889E-16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 x14ac:dyDescent="0.3">
      <c r="A102" s="104" t="s">
        <v>102</v>
      </c>
      <c r="B102" s="105" t="s">
        <v>233</v>
      </c>
      <c r="C102" s="105" t="s">
        <v>100</v>
      </c>
      <c r="D102" s="106" t="str">
        <f>D100</f>
        <v>Abs</v>
      </c>
      <c r="E102" s="105" t="s">
        <v>97</v>
      </c>
      <c r="F102" s="106">
        <f>S53</f>
        <v>2.7000000000000001E-3</v>
      </c>
      <c r="G102" s="105">
        <v>2</v>
      </c>
      <c r="H102" s="105">
        <v>60</v>
      </c>
      <c r="I102" s="105">
        <f t="shared" si="16"/>
        <v>1.3500000000000001E-3</v>
      </c>
      <c r="J102" s="105">
        <v>1</v>
      </c>
      <c r="K102" s="105">
        <f t="shared" si="17"/>
        <v>1.3500000000000001E-3</v>
      </c>
      <c r="L102" s="105">
        <f t="shared" si="18"/>
        <v>1.8225000000000001E-6</v>
      </c>
      <c r="M102" s="105">
        <f t="shared" si="19"/>
        <v>5.5358437500000004E-14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 x14ac:dyDescent="0.3">
      <c r="A103" s="104" t="s">
        <v>104</v>
      </c>
      <c r="B103" s="105" t="s">
        <v>234</v>
      </c>
      <c r="C103" s="105" t="s">
        <v>100</v>
      </c>
      <c r="D103" s="106" t="str">
        <f>D100</f>
        <v>Abs</v>
      </c>
      <c r="E103" s="105" t="s">
        <v>101</v>
      </c>
      <c r="F103" s="107">
        <v>0</v>
      </c>
      <c r="G103" s="105">
        <f>SQRT(3)</f>
        <v>1.7320508075688772</v>
      </c>
      <c r="H103" s="105">
        <v>50</v>
      </c>
      <c r="I103" s="105">
        <f t="shared" si="16"/>
        <v>0</v>
      </c>
      <c r="J103" s="105">
        <v>1</v>
      </c>
      <c r="K103" s="105">
        <f t="shared" si="17"/>
        <v>0</v>
      </c>
      <c r="L103" s="105">
        <f t="shared" si="18"/>
        <v>0</v>
      </c>
      <c r="M103" s="105">
        <f t="shared" si="19"/>
        <v>0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 x14ac:dyDescent="0.3">
      <c r="A104" s="108"/>
      <c r="B104" s="108"/>
      <c r="C104" s="108"/>
      <c r="D104" s="104"/>
      <c r="E104" s="104"/>
      <c r="F104" s="104"/>
      <c r="G104" s="104"/>
      <c r="H104" s="104"/>
      <c r="I104" s="104"/>
      <c r="J104" s="104"/>
      <c r="K104" s="104"/>
      <c r="L104" s="105"/>
      <c r="M104" s="104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 x14ac:dyDescent="0.3">
      <c r="A105" s="354" t="s">
        <v>106</v>
      </c>
      <c r="B105" s="336"/>
      <c r="C105" s="336"/>
      <c r="D105" s="336"/>
      <c r="E105" s="336"/>
      <c r="F105" s="336"/>
      <c r="G105" s="336"/>
      <c r="H105" s="336"/>
      <c r="I105" s="336"/>
      <c r="J105" s="345"/>
      <c r="K105" s="355">
        <f>SUM(L100:L104)</f>
        <v>1.9058333333333334E-6</v>
      </c>
      <c r="L105" s="345"/>
      <c r="M105" s="104">
        <f>SUM(M100:M104)</f>
        <v>5.5497326388888893E-14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 x14ac:dyDescent="0.3">
      <c r="A106" s="354" t="s">
        <v>107</v>
      </c>
      <c r="B106" s="336"/>
      <c r="C106" s="336"/>
      <c r="D106" s="336"/>
      <c r="E106" s="336"/>
      <c r="F106" s="336"/>
      <c r="G106" s="336"/>
      <c r="H106" s="336"/>
      <c r="I106" s="336"/>
      <c r="J106" s="345"/>
      <c r="K106" s="355">
        <f>SQRT(K105)</f>
        <v>1.3805192259919213E-3</v>
      </c>
      <c r="L106" s="345"/>
      <c r="M106" s="104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 x14ac:dyDescent="0.3">
      <c r="A107" s="354" t="s">
        <v>235</v>
      </c>
      <c r="B107" s="336"/>
      <c r="C107" s="336"/>
      <c r="D107" s="336"/>
      <c r="E107" s="336"/>
      <c r="F107" s="336"/>
      <c r="G107" s="336"/>
      <c r="H107" s="336"/>
      <c r="I107" s="336"/>
      <c r="J107" s="345"/>
      <c r="K107" s="109">
        <f>(K106^4)/M105</f>
        <v>65.448210405531313</v>
      </c>
      <c r="L107" s="110"/>
      <c r="M107" s="104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 x14ac:dyDescent="0.3">
      <c r="A108" s="354" t="s">
        <v>236</v>
      </c>
      <c r="B108" s="336"/>
      <c r="C108" s="336"/>
      <c r="D108" s="336"/>
      <c r="E108" s="336"/>
      <c r="F108" s="336"/>
      <c r="G108" s="336"/>
      <c r="H108" s="336"/>
      <c r="I108" s="336"/>
      <c r="J108" s="345"/>
      <c r="K108" s="109">
        <f>1.95996+2.37356/K107+2.818745/K107^2+2.546662/K107^3+1.761829/K107^4+0.245458/K107^5+1.000764/K107^6</f>
        <v>1.9968934645600469</v>
      </c>
      <c r="L108" s="110"/>
      <c r="M108" s="104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 x14ac:dyDescent="0.3">
      <c r="A109" s="354" t="s">
        <v>110</v>
      </c>
      <c r="B109" s="336"/>
      <c r="C109" s="336"/>
      <c r="D109" s="336"/>
      <c r="E109" s="336"/>
      <c r="F109" s="336"/>
      <c r="G109" s="336"/>
      <c r="H109" s="336"/>
      <c r="I109" s="336"/>
      <c r="J109" s="345"/>
      <c r="K109" s="109">
        <f>K108*K106</f>
        <v>2.7567498200827623E-3</v>
      </c>
      <c r="L109" s="111"/>
      <c r="M109" s="104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 x14ac:dyDescent="0.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 x14ac:dyDescent="0.3">
      <c r="A111" s="80" t="s">
        <v>48</v>
      </c>
      <c r="B111" s="3"/>
      <c r="C111" s="3"/>
      <c r="D111" s="234" t="str">
        <f>A7</f>
        <v xml:space="preserve">Null </v>
      </c>
      <c r="E111" s="112"/>
      <c r="F111" s="90"/>
      <c r="G111" s="91"/>
      <c r="H111" s="69"/>
      <c r="I111" s="69"/>
      <c r="J111" s="69"/>
      <c r="K111" s="69"/>
      <c r="L111" s="69"/>
      <c r="M111" s="92" t="str">
        <f>M$41</f>
        <v>Absorbance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 x14ac:dyDescent="0.3">
      <c r="A112" s="94" t="s">
        <v>81</v>
      </c>
      <c r="B112" s="95"/>
      <c r="C112" s="95"/>
      <c r="D112" s="89">
        <f>C7</f>
        <v>0</v>
      </c>
      <c r="E112" s="89" t="s">
        <v>45</v>
      </c>
      <c r="F112" s="132" t="str">
        <f>B7</f>
        <v>Null</v>
      </c>
      <c r="G112" s="101"/>
      <c r="H112" s="100">
        <v>1E-3</v>
      </c>
      <c r="I112" s="101"/>
      <c r="J112" s="101"/>
      <c r="K112" s="101"/>
      <c r="L112" s="101"/>
      <c r="M112" s="85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 x14ac:dyDescent="0.3">
      <c r="A113" s="102" t="s">
        <v>82</v>
      </c>
      <c r="B113" s="102" t="s">
        <v>83</v>
      </c>
      <c r="C113" s="102" t="s">
        <v>15</v>
      </c>
      <c r="D113" s="102" t="s">
        <v>84</v>
      </c>
      <c r="E113" s="102" t="s">
        <v>85</v>
      </c>
      <c r="F113" s="103" t="s">
        <v>86</v>
      </c>
      <c r="G113" s="102" t="s">
        <v>87</v>
      </c>
      <c r="H113" s="102" t="s">
        <v>88</v>
      </c>
      <c r="I113" s="102" t="s">
        <v>89</v>
      </c>
      <c r="J113" s="102" t="s">
        <v>90</v>
      </c>
      <c r="K113" s="102" t="s">
        <v>91</v>
      </c>
      <c r="L113" s="102" t="s">
        <v>237</v>
      </c>
      <c r="M113" s="102" t="s">
        <v>238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 x14ac:dyDescent="0.3">
      <c r="A114" s="104" t="s">
        <v>94</v>
      </c>
      <c r="B114" s="105" t="s">
        <v>239</v>
      </c>
      <c r="C114" s="105" t="s">
        <v>96</v>
      </c>
      <c r="D114" s="106" t="str">
        <f>E112</f>
        <v>Abs</v>
      </c>
      <c r="E114" s="105" t="s">
        <v>97</v>
      </c>
      <c r="F114" s="105" t="e">
        <f>STDEV(Data!F55:J55)</f>
        <v>#DIV/0!</v>
      </c>
      <c r="G114" s="105">
        <f>SQRT(5)</f>
        <v>2.2360679774997898</v>
      </c>
      <c r="H114" s="105">
        <f>5-1</f>
        <v>4</v>
      </c>
      <c r="I114" s="105" t="e">
        <f t="shared" ref="I114:I117" si="20">(F114)/G114</f>
        <v>#DIV/0!</v>
      </c>
      <c r="J114" s="105">
        <v>1</v>
      </c>
      <c r="K114" s="105" t="e">
        <f t="shared" ref="K114:K117" si="21">I114*J114</f>
        <v>#DIV/0!</v>
      </c>
      <c r="L114" s="105" t="e">
        <f t="shared" ref="L114:L117" si="22">K114^2</f>
        <v>#DIV/0!</v>
      </c>
      <c r="M114" s="105" t="e">
        <f t="shared" ref="M114:M117" si="23">(K114^4)/H114</f>
        <v>#DIV/0!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 x14ac:dyDescent="0.3">
      <c r="A115" s="104" t="s">
        <v>98</v>
      </c>
      <c r="B115" s="105" t="s">
        <v>240</v>
      </c>
      <c r="C115" s="105" t="s">
        <v>100</v>
      </c>
      <c r="D115" s="106" t="str">
        <f>D114</f>
        <v>Abs</v>
      </c>
      <c r="E115" s="105" t="s">
        <v>101</v>
      </c>
      <c r="F115" s="105">
        <f>H112/2</f>
        <v>5.0000000000000001E-4</v>
      </c>
      <c r="G115" s="105">
        <f>SQRT(3)</f>
        <v>1.7320508075688772</v>
      </c>
      <c r="H115" s="105">
        <v>50</v>
      </c>
      <c r="I115" s="105">
        <f t="shared" si="20"/>
        <v>2.886751345948129E-4</v>
      </c>
      <c r="J115" s="105">
        <v>1</v>
      </c>
      <c r="K115" s="105">
        <f t="shared" si="21"/>
        <v>2.886751345948129E-4</v>
      </c>
      <c r="L115" s="105">
        <f t="shared" si="22"/>
        <v>8.3333333333333338E-8</v>
      </c>
      <c r="M115" s="105">
        <f t="shared" si="23"/>
        <v>1.388888888888889E-16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 x14ac:dyDescent="0.3">
      <c r="A116" s="104" t="s">
        <v>102</v>
      </c>
      <c r="B116" s="105" t="s">
        <v>241</v>
      </c>
      <c r="C116" s="105" t="s">
        <v>100</v>
      </c>
      <c r="D116" s="106" t="str">
        <f>D114</f>
        <v>Abs</v>
      </c>
      <c r="E116" s="105" t="s">
        <v>97</v>
      </c>
      <c r="F116" s="106">
        <f>S34</f>
        <v>6.7999999999999996E-3</v>
      </c>
      <c r="G116" s="105">
        <v>2</v>
      </c>
      <c r="H116" s="105">
        <v>60</v>
      </c>
      <c r="I116" s="105">
        <f t="shared" si="20"/>
        <v>3.3999999999999998E-3</v>
      </c>
      <c r="J116" s="105">
        <v>1</v>
      </c>
      <c r="K116" s="105">
        <f t="shared" si="21"/>
        <v>3.3999999999999998E-3</v>
      </c>
      <c r="L116" s="105">
        <f t="shared" si="22"/>
        <v>1.1559999999999999E-5</v>
      </c>
      <c r="M116" s="105">
        <f t="shared" si="23"/>
        <v>2.2272266666666664E-12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 x14ac:dyDescent="0.3">
      <c r="A117" s="104" t="s">
        <v>104</v>
      </c>
      <c r="B117" s="105" t="s">
        <v>242</v>
      </c>
      <c r="C117" s="105" t="s">
        <v>100</v>
      </c>
      <c r="D117" s="106" t="str">
        <f>D114</f>
        <v>Abs</v>
      </c>
      <c r="E117" s="105" t="s">
        <v>101</v>
      </c>
      <c r="F117" s="107">
        <v>0</v>
      </c>
      <c r="G117" s="105">
        <f>SQRT(3)</f>
        <v>1.7320508075688772</v>
      </c>
      <c r="H117" s="105">
        <v>50</v>
      </c>
      <c r="I117" s="105">
        <f t="shared" si="20"/>
        <v>0</v>
      </c>
      <c r="J117" s="105">
        <v>1</v>
      </c>
      <c r="K117" s="105">
        <f t="shared" si="21"/>
        <v>0</v>
      </c>
      <c r="L117" s="105">
        <f t="shared" si="22"/>
        <v>0</v>
      </c>
      <c r="M117" s="105">
        <f t="shared" si="23"/>
        <v>0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 x14ac:dyDescent="0.3">
      <c r="A118" s="108"/>
      <c r="B118" s="108"/>
      <c r="C118" s="108"/>
      <c r="D118" s="104"/>
      <c r="E118" s="104"/>
      <c r="F118" s="104"/>
      <c r="G118" s="104"/>
      <c r="H118" s="104"/>
      <c r="I118" s="104"/>
      <c r="J118" s="104"/>
      <c r="K118" s="104"/>
      <c r="L118" s="105"/>
      <c r="M118" s="104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 x14ac:dyDescent="0.3">
      <c r="A119" s="354" t="s">
        <v>106</v>
      </c>
      <c r="B119" s="336"/>
      <c r="C119" s="336"/>
      <c r="D119" s="336"/>
      <c r="E119" s="336"/>
      <c r="F119" s="336"/>
      <c r="G119" s="336"/>
      <c r="H119" s="336"/>
      <c r="I119" s="336"/>
      <c r="J119" s="345"/>
      <c r="K119" s="355" t="e">
        <f>SUM(L114:L118)</f>
        <v>#DIV/0!</v>
      </c>
      <c r="L119" s="345"/>
      <c r="M119" s="104" t="e">
        <f>SUM(M114:M118)</f>
        <v>#DIV/0!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 x14ac:dyDescent="0.3">
      <c r="A120" s="354" t="s">
        <v>107</v>
      </c>
      <c r="B120" s="336"/>
      <c r="C120" s="336"/>
      <c r="D120" s="336"/>
      <c r="E120" s="336"/>
      <c r="F120" s="336"/>
      <c r="G120" s="336"/>
      <c r="H120" s="336"/>
      <c r="I120" s="336"/>
      <c r="J120" s="345"/>
      <c r="K120" s="355" t="e">
        <f>SQRT(K119)</f>
        <v>#DIV/0!</v>
      </c>
      <c r="L120" s="345"/>
      <c r="M120" s="104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 x14ac:dyDescent="0.3">
      <c r="A121" s="354" t="s">
        <v>243</v>
      </c>
      <c r="B121" s="336"/>
      <c r="C121" s="336"/>
      <c r="D121" s="336"/>
      <c r="E121" s="336"/>
      <c r="F121" s="336"/>
      <c r="G121" s="336"/>
      <c r="H121" s="336"/>
      <c r="I121" s="336"/>
      <c r="J121" s="345"/>
      <c r="K121" s="109" t="e">
        <f>(K120^4)/M119</f>
        <v>#DIV/0!</v>
      </c>
      <c r="L121" s="110"/>
      <c r="M121" s="104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 x14ac:dyDescent="0.3">
      <c r="A122" s="354" t="s">
        <v>244</v>
      </c>
      <c r="B122" s="336"/>
      <c r="C122" s="336"/>
      <c r="D122" s="336"/>
      <c r="E122" s="336"/>
      <c r="F122" s="336"/>
      <c r="G122" s="336"/>
      <c r="H122" s="336"/>
      <c r="I122" s="336"/>
      <c r="J122" s="345"/>
      <c r="K122" s="109" t="e">
        <f>1.95996+2.37356/K121+2.818745/K121^2+2.546662/K121^3+1.761829/K121^4+0.245458/K121^5+1.000764/K121^6</f>
        <v>#DIV/0!</v>
      </c>
      <c r="L122" s="110"/>
      <c r="M122" s="104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 x14ac:dyDescent="0.3">
      <c r="A123" s="354" t="s">
        <v>110</v>
      </c>
      <c r="B123" s="336"/>
      <c r="C123" s="336"/>
      <c r="D123" s="336"/>
      <c r="E123" s="336"/>
      <c r="F123" s="336"/>
      <c r="G123" s="336"/>
      <c r="H123" s="336"/>
      <c r="I123" s="336"/>
      <c r="J123" s="345"/>
      <c r="K123" s="109" t="e">
        <f>K122*K120</f>
        <v>#DIV/0!</v>
      </c>
      <c r="L123" s="111"/>
      <c r="M123" s="104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 x14ac:dyDescent="0.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 x14ac:dyDescent="0.3">
      <c r="A125" s="80" t="s">
        <v>48</v>
      </c>
      <c r="B125" s="3"/>
      <c r="C125" s="3"/>
      <c r="D125" s="96" t="str">
        <f>A8</f>
        <v xml:space="preserve">Null </v>
      </c>
      <c r="E125" s="112"/>
      <c r="F125" s="90"/>
      <c r="G125" s="91"/>
      <c r="H125" s="69"/>
      <c r="I125" s="69"/>
      <c r="J125" s="69"/>
      <c r="K125" s="69"/>
      <c r="L125" s="69"/>
      <c r="M125" s="92" t="str">
        <f>M$41</f>
        <v>Absorbance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 x14ac:dyDescent="0.3">
      <c r="A126" s="94" t="s">
        <v>81</v>
      </c>
      <c r="B126" s="95"/>
      <c r="C126" s="95"/>
      <c r="D126" s="89">
        <f>C8</f>
        <v>0</v>
      </c>
      <c r="E126" s="89" t="s">
        <v>45</v>
      </c>
      <c r="F126" s="132" t="str">
        <f>B8</f>
        <v>Null</v>
      </c>
      <c r="G126" s="101"/>
      <c r="H126" s="100">
        <v>1E-3</v>
      </c>
      <c r="I126" s="101"/>
      <c r="J126" s="101"/>
      <c r="K126" s="101"/>
      <c r="L126" s="101"/>
      <c r="M126" s="85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 x14ac:dyDescent="0.3">
      <c r="A127" s="102" t="s">
        <v>82</v>
      </c>
      <c r="B127" s="102" t="s">
        <v>83</v>
      </c>
      <c r="C127" s="102" t="s">
        <v>15</v>
      </c>
      <c r="D127" s="102" t="s">
        <v>84</v>
      </c>
      <c r="E127" s="102" t="s">
        <v>85</v>
      </c>
      <c r="F127" s="103" t="s">
        <v>86</v>
      </c>
      <c r="G127" s="102" t="s">
        <v>87</v>
      </c>
      <c r="H127" s="102" t="s">
        <v>88</v>
      </c>
      <c r="I127" s="102" t="s">
        <v>89</v>
      </c>
      <c r="J127" s="102" t="s">
        <v>90</v>
      </c>
      <c r="K127" s="102" t="s">
        <v>91</v>
      </c>
      <c r="L127" s="102" t="s">
        <v>245</v>
      </c>
      <c r="M127" s="102" t="s">
        <v>246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 x14ac:dyDescent="0.3">
      <c r="A128" s="104" t="s">
        <v>94</v>
      </c>
      <c r="B128" s="105" t="s">
        <v>247</v>
      </c>
      <c r="C128" s="105" t="s">
        <v>96</v>
      </c>
      <c r="D128" s="106" t="str">
        <f>E126</f>
        <v>Abs</v>
      </c>
      <c r="E128" s="105" t="s">
        <v>97</v>
      </c>
      <c r="F128" s="105" t="e">
        <f>STDEV(Data!F56:J56)</f>
        <v>#DIV/0!</v>
      </c>
      <c r="G128" s="105">
        <f>SQRT(5)</f>
        <v>2.2360679774997898</v>
      </c>
      <c r="H128" s="105">
        <f>5-1</f>
        <v>4</v>
      </c>
      <c r="I128" s="105" t="e">
        <f t="shared" ref="I128:I131" si="24">(F128)/G128</f>
        <v>#DIV/0!</v>
      </c>
      <c r="J128" s="105">
        <v>1</v>
      </c>
      <c r="K128" s="105" t="e">
        <f t="shared" ref="K128:K131" si="25">I128*J128</f>
        <v>#DIV/0!</v>
      </c>
      <c r="L128" s="105" t="e">
        <f t="shared" ref="L128:L131" si="26">K128^2</f>
        <v>#DIV/0!</v>
      </c>
      <c r="M128" s="105" t="e">
        <f t="shared" ref="M128:M131" si="27">(K128^4)/H128</f>
        <v>#DIV/0!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 x14ac:dyDescent="0.3">
      <c r="A129" s="104" t="s">
        <v>98</v>
      </c>
      <c r="B129" s="105" t="s">
        <v>248</v>
      </c>
      <c r="C129" s="105" t="s">
        <v>100</v>
      </c>
      <c r="D129" s="106" t="str">
        <f>D128</f>
        <v>Abs</v>
      </c>
      <c r="E129" s="105" t="s">
        <v>101</v>
      </c>
      <c r="F129" s="105">
        <f>H126/2</f>
        <v>5.0000000000000001E-4</v>
      </c>
      <c r="G129" s="105">
        <f>SQRT(3)</f>
        <v>1.7320508075688772</v>
      </c>
      <c r="H129" s="105">
        <v>50</v>
      </c>
      <c r="I129" s="105">
        <f t="shared" si="24"/>
        <v>2.886751345948129E-4</v>
      </c>
      <c r="J129" s="105">
        <v>1</v>
      </c>
      <c r="K129" s="105">
        <f t="shared" si="25"/>
        <v>2.886751345948129E-4</v>
      </c>
      <c r="L129" s="105">
        <f t="shared" si="26"/>
        <v>8.3333333333333338E-8</v>
      </c>
      <c r="M129" s="105">
        <f t="shared" si="27"/>
        <v>1.388888888888889E-16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 x14ac:dyDescent="0.3">
      <c r="A130" s="104" t="s">
        <v>102</v>
      </c>
      <c r="B130" s="105" t="s">
        <v>249</v>
      </c>
      <c r="C130" s="105" t="s">
        <v>100</v>
      </c>
      <c r="D130" s="106" t="str">
        <f>D128</f>
        <v>Abs</v>
      </c>
      <c r="E130" s="105" t="s">
        <v>97</v>
      </c>
      <c r="F130" s="107">
        <f>S35</f>
        <v>3.3999999999999998E-3</v>
      </c>
      <c r="G130" s="105">
        <v>2</v>
      </c>
      <c r="H130" s="105">
        <v>60</v>
      </c>
      <c r="I130" s="105">
        <f t="shared" si="24"/>
        <v>1.6999999999999999E-3</v>
      </c>
      <c r="J130" s="105">
        <v>1</v>
      </c>
      <c r="K130" s="105">
        <f t="shared" si="25"/>
        <v>1.6999999999999999E-3</v>
      </c>
      <c r="L130" s="105">
        <f t="shared" si="26"/>
        <v>2.8899999999999999E-6</v>
      </c>
      <c r="M130" s="105">
        <f t="shared" si="27"/>
        <v>1.3920166666666665E-13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 x14ac:dyDescent="0.3">
      <c r="A131" s="104" t="s">
        <v>104</v>
      </c>
      <c r="B131" s="105" t="s">
        <v>250</v>
      </c>
      <c r="C131" s="105" t="s">
        <v>100</v>
      </c>
      <c r="D131" s="106" t="str">
        <f>D128</f>
        <v>Abs</v>
      </c>
      <c r="E131" s="105" t="s">
        <v>101</v>
      </c>
      <c r="F131" s="107">
        <v>0</v>
      </c>
      <c r="G131" s="105">
        <f>SQRT(3)</f>
        <v>1.7320508075688772</v>
      </c>
      <c r="H131" s="105">
        <v>50</v>
      </c>
      <c r="I131" s="105">
        <f t="shared" si="24"/>
        <v>0</v>
      </c>
      <c r="J131" s="105">
        <v>1</v>
      </c>
      <c r="K131" s="105">
        <f t="shared" si="25"/>
        <v>0</v>
      </c>
      <c r="L131" s="105">
        <f t="shared" si="26"/>
        <v>0</v>
      </c>
      <c r="M131" s="105">
        <f t="shared" si="27"/>
        <v>0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 x14ac:dyDescent="0.3">
      <c r="A132" s="108"/>
      <c r="B132" s="108"/>
      <c r="C132" s="108"/>
      <c r="D132" s="104"/>
      <c r="E132" s="104"/>
      <c r="F132" s="104"/>
      <c r="G132" s="104"/>
      <c r="H132" s="104"/>
      <c r="I132" s="104"/>
      <c r="J132" s="104"/>
      <c r="K132" s="104"/>
      <c r="L132" s="105"/>
      <c r="M132" s="104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 x14ac:dyDescent="0.3">
      <c r="A133" s="354" t="s">
        <v>106</v>
      </c>
      <c r="B133" s="336"/>
      <c r="C133" s="336"/>
      <c r="D133" s="336"/>
      <c r="E133" s="336"/>
      <c r="F133" s="336"/>
      <c r="G133" s="336"/>
      <c r="H133" s="336"/>
      <c r="I133" s="336"/>
      <c r="J133" s="345"/>
      <c r="K133" s="355" t="e">
        <f>SUM(L128:L132)</f>
        <v>#DIV/0!</v>
      </c>
      <c r="L133" s="345"/>
      <c r="M133" s="104" t="e">
        <f>SUM(M128:M132)</f>
        <v>#DIV/0!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 x14ac:dyDescent="0.3">
      <c r="A134" s="354" t="s">
        <v>107</v>
      </c>
      <c r="B134" s="336"/>
      <c r="C134" s="336"/>
      <c r="D134" s="336"/>
      <c r="E134" s="336"/>
      <c r="F134" s="336"/>
      <c r="G134" s="336"/>
      <c r="H134" s="336"/>
      <c r="I134" s="336"/>
      <c r="J134" s="345"/>
      <c r="K134" s="355" t="e">
        <f>SQRT(K133)</f>
        <v>#DIV/0!</v>
      </c>
      <c r="L134" s="345"/>
      <c r="M134" s="104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 x14ac:dyDescent="0.3">
      <c r="A135" s="354" t="s">
        <v>251</v>
      </c>
      <c r="B135" s="336"/>
      <c r="C135" s="336"/>
      <c r="D135" s="336"/>
      <c r="E135" s="336"/>
      <c r="F135" s="336"/>
      <c r="G135" s="336"/>
      <c r="H135" s="336"/>
      <c r="I135" s="336"/>
      <c r="J135" s="345"/>
      <c r="K135" s="109" t="e">
        <f>(K134^4)/M133</f>
        <v>#DIV/0!</v>
      </c>
      <c r="L135" s="110"/>
      <c r="M135" s="104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 x14ac:dyDescent="0.3">
      <c r="A136" s="354" t="s">
        <v>252</v>
      </c>
      <c r="B136" s="336"/>
      <c r="C136" s="336"/>
      <c r="D136" s="336"/>
      <c r="E136" s="336"/>
      <c r="F136" s="336"/>
      <c r="G136" s="336"/>
      <c r="H136" s="336"/>
      <c r="I136" s="336"/>
      <c r="J136" s="345"/>
      <c r="K136" s="109" t="e">
        <f>1.95996+2.37356/K135+2.818745/K135^2+2.546662/K135^3+1.761829/K135^4+0.245458/K135^5+1.000764/K135^6</f>
        <v>#DIV/0!</v>
      </c>
      <c r="L136" s="110"/>
      <c r="M136" s="104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 x14ac:dyDescent="0.3">
      <c r="A137" s="354" t="s">
        <v>110</v>
      </c>
      <c r="B137" s="336"/>
      <c r="C137" s="336"/>
      <c r="D137" s="336"/>
      <c r="E137" s="336"/>
      <c r="F137" s="336"/>
      <c r="G137" s="336"/>
      <c r="H137" s="336"/>
      <c r="I137" s="336"/>
      <c r="J137" s="345"/>
      <c r="K137" s="109" t="e">
        <f>K136*K134</f>
        <v>#DIV/0!</v>
      </c>
      <c r="L137" s="111"/>
      <c r="M137" s="104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 x14ac:dyDescent="0.3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 x14ac:dyDescent="0.3">
      <c r="A139" s="80" t="s">
        <v>48</v>
      </c>
      <c r="B139" s="3"/>
      <c r="C139" s="3"/>
      <c r="D139" s="96" t="str">
        <f>A9</f>
        <v xml:space="preserve">Null </v>
      </c>
      <c r="E139" s="112"/>
      <c r="F139" s="90"/>
      <c r="G139" s="91"/>
      <c r="H139" s="69"/>
      <c r="I139" s="69"/>
      <c r="J139" s="69"/>
      <c r="K139" s="69"/>
      <c r="L139" s="69"/>
      <c r="M139" s="92" t="str">
        <f>M$41</f>
        <v>Absorbance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 x14ac:dyDescent="0.3">
      <c r="A140" s="94" t="s">
        <v>81</v>
      </c>
      <c r="B140" s="95"/>
      <c r="C140" s="95"/>
      <c r="D140" s="89">
        <f>C9</f>
        <v>0</v>
      </c>
      <c r="E140" s="89" t="s">
        <v>45</v>
      </c>
      <c r="F140" s="132" t="str">
        <f>B9</f>
        <v>Null</v>
      </c>
      <c r="G140" s="101"/>
      <c r="H140" s="100">
        <v>1E-3</v>
      </c>
      <c r="I140" s="101"/>
      <c r="J140" s="101"/>
      <c r="K140" s="101"/>
      <c r="L140" s="101"/>
      <c r="M140" s="85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 x14ac:dyDescent="0.3">
      <c r="A141" s="102" t="s">
        <v>82</v>
      </c>
      <c r="B141" s="102" t="s">
        <v>83</v>
      </c>
      <c r="C141" s="102" t="s">
        <v>15</v>
      </c>
      <c r="D141" s="102" t="s">
        <v>84</v>
      </c>
      <c r="E141" s="102" t="s">
        <v>85</v>
      </c>
      <c r="F141" s="103" t="s">
        <v>86</v>
      </c>
      <c r="G141" s="102" t="s">
        <v>87</v>
      </c>
      <c r="H141" s="102" t="s">
        <v>88</v>
      </c>
      <c r="I141" s="102" t="s">
        <v>89</v>
      </c>
      <c r="J141" s="102" t="s">
        <v>90</v>
      </c>
      <c r="K141" s="102" t="s">
        <v>91</v>
      </c>
      <c r="L141" s="102" t="s">
        <v>92</v>
      </c>
      <c r="M141" s="102" t="s">
        <v>93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 x14ac:dyDescent="0.3">
      <c r="A142" s="104" t="s">
        <v>94</v>
      </c>
      <c r="B142" s="105" t="s">
        <v>199</v>
      </c>
      <c r="C142" s="105" t="s">
        <v>96</v>
      </c>
      <c r="D142" s="106" t="str">
        <f>E140</f>
        <v>Abs</v>
      </c>
      <c r="E142" s="105" t="s">
        <v>97</v>
      </c>
      <c r="F142" s="105" t="e">
        <f>STDEV(Data!F57:J57)</f>
        <v>#DIV/0!</v>
      </c>
      <c r="G142" s="105">
        <f>SQRT(5)</f>
        <v>2.2360679774997898</v>
      </c>
      <c r="H142" s="105">
        <f>5-1</f>
        <v>4</v>
      </c>
      <c r="I142" s="105" t="e">
        <f t="shared" ref="I142:I145" si="28">(F142)/G142</f>
        <v>#DIV/0!</v>
      </c>
      <c r="J142" s="105">
        <v>1</v>
      </c>
      <c r="K142" s="105" t="e">
        <f t="shared" ref="K142:K145" si="29">I142*J142</f>
        <v>#DIV/0!</v>
      </c>
      <c r="L142" s="105" t="e">
        <f t="shared" ref="L142:L145" si="30">K142^2</f>
        <v>#DIV/0!</v>
      </c>
      <c r="M142" s="105" t="e">
        <f t="shared" ref="M142:M145" si="31">(K142^4)/H142</f>
        <v>#DIV/0!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 x14ac:dyDescent="0.3">
      <c r="A143" s="104" t="s">
        <v>98</v>
      </c>
      <c r="B143" s="105" t="s">
        <v>200</v>
      </c>
      <c r="C143" s="105" t="s">
        <v>100</v>
      </c>
      <c r="D143" s="106" t="str">
        <f>D142</f>
        <v>Abs</v>
      </c>
      <c r="E143" s="105" t="s">
        <v>101</v>
      </c>
      <c r="F143" s="105">
        <f>H140/2</f>
        <v>5.0000000000000001E-4</v>
      </c>
      <c r="G143" s="105">
        <f>SQRT(3)</f>
        <v>1.7320508075688772</v>
      </c>
      <c r="H143" s="105">
        <v>50</v>
      </c>
      <c r="I143" s="105">
        <f t="shared" si="28"/>
        <v>2.886751345948129E-4</v>
      </c>
      <c r="J143" s="105">
        <v>1</v>
      </c>
      <c r="K143" s="105">
        <f t="shared" si="29"/>
        <v>2.886751345948129E-4</v>
      </c>
      <c r="L143" s="105">
        <f t="shared" si="30"/>
        <v>8.3333333333333338E-8</v>
      </c>
      <c r="M143" s="105">
        <f t="shared" si="31"/>
        <v>1.388888888888889E-16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 x14ac:dyDescent="0.3">
      <c r="A144" s="104" t="s">
        <v>102</v>
      </c>
      <c r="B144" s="105" t="s">
        <v>201</v>
      </c>
      <c r="C144" s="105" t="s">
        <v>100</v>
      </c>
      <c r="D144" s="106" t="str">
        <f>D142</f>
        <v>Abs</v>
      </c>
      <c r="E144" s="105" t="s">
        <v>97</v>
      </c>
      <c r="F144" s="107">
        <f>S36</f>
        <v>3.3999999999999998E-3</v>
      </c>
      <c r="G144" s="105">
        <v>2</v>
      </c>
      <c r="H144" s="105">
        <v>60</v>
      </c>
      <c r="I144" s="105">
        <f t="shared" si="28"/>
        <v>1.6999999999999999E-3</v>
      </c>
      <c r="J144" s="105">
        <v>1</v>
      </c>
      <c r="K144" s="105">
        <f t="shared" si="29"/>
        <v>1.6999999999999999E-3</v>
      </c>
      <c r="L144" s="105">
        <f t="shared" si="30"/>
        <v>2.8899999999999999E-6</v>
      </c>
      <c r="M144" s="105">
        <f t="shared" si="31"/>
        <v>1.3920166666666665E-13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 x14ac:dyDescent="0.3">
      <c r="A145" s="104" t="s">
        <v>104</v>
      </c>
      <c r="B145" s="105" t="s">
        <v>202</v>
      </c>
      <c r="C145" s="105" t="s">
        <v>100</v>
      </c>
      <c r="D145" s="106" t="str">
        <f>D142</f>
        <v>Abs</v>
      </c>
      <c r="E145" s="105" t="s">
        <v>101</v>
      </c>
      <c r="F145" s="107">
        <v>0</v>
      </c>
      <c r="G145" s="105">
        <f>SQRT(3)</f>
        <v>1.7320508075688772</v>
      </c>
      <c r="H145" s="105">
        <v>50</v>
      </c>
      <c r="I145" s="105">
        <f t="shared" si="28"/>
        <v>0</v>
      </c>
      <c r="J145" s="105">
        <v>1</v>
      </c>
      <c r="K145" s="105">
        <f t="shared" si="29"/>
        <v>0</v>
      </c>
      <c r="L145" s="105">
        <f t="shared" si="30"/>
        <v>0</v>
      </c>
      <c r="M145" s="105">
        <f t="shared" si="31"/>
        <v>0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 x14ac:dyDescent="0.3">
      <c r="A146" s="108"/>
      <c r="B146" s="108"/>
      <c r="C146" s="108"/>
      <c r="D146" s="104"/>
      <c r="E146" s="104"/>
      <c r="F146" s="104"/>
      <c r="G146" s="104"/>
      <c r="H146" s="104"/>
      <c r="I146" s="104"/>
      <c r="J146" s="104"/>
      <c r="K146" s="104"/>
      <c r="L146" s="105"/>
      <c r="M146" s="104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 x14ac:dyDescent="0.3">
      <c r="A147" s="354" t="s">
        <v>106</v>
      </c>
      <c r="B147" s="336"/>
      <c r="C147" s="336"/>
      <c r="D147" s="336"/>
      <c r="E147" s="336"/>
      <c r="F147" s="336"/>
      <c r="G147" s="336"/>
      <c r="H147" s="336"/>
      <c r="I147" s="336"/>
      <c r="J147" s="345"/>
      <c r="K147" s="355" t="e">
        <f>SUM(L142:L146)</f>
        <v>#DIV/0!</v>
      </c>
      <c r="L147" s="345"/>
      <c r="M147" s="104" t="e">
        <f>SUM(M142:M146)</f>
        <v>#DIV/0!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 x14ac:dyDescent="0.3">
      <c r="A148" s="354" t="s">
        <v>107</v>
      </c>
      <c r="B148" s="336"/>
      <c r="C148" s="336"/>
      <c r="D148" s="336"/>
      <c r="E148" s="336"/>
      <c r="F148" s="336"/>
      <c r="G148" s="336"/>
      <c r="H148" s="336"/>
      <c r="I148" s="336"/>
      <c r="J148" s="345"/>
      <c r="K148" s="355" t="e">
        <f>SQRT(K147)</f>
        <v>#DIV/0!</v>
      </c>
      <c r="L148" s="345"/>
      <c r="M148" s="104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 x14ac:dyDescent="0.3">
      <c r="A149" s="354" t="s">
        <v>108</v>
      </c>
      <c r="B149" s="336"/>
      <c r="C149" s="336"/>
      <c r="D149" s="336"/>
      <c r="E149" s="336"/>
      <c r="F149" s="336"/>
      <c r="G149" s="336"/>
      <c r="H149" s="336"/>
      <c r="I149" s="336"/>
      <c r="J149" s="345"/>
      <c r="K149" s="109" t="e">
        <f>(K148^4)/M147</f>
        <v>#DIV/0!</v>
      </c>
      <c r="L149" s="110"/>
      <c r="M149" s="104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 x14ac:dyDescent="0.3">
      <c r="A150" s="354" t="s">
        <v>109</v>
      </c>
      <c r="B150" s="336"/>
      <c r="C150" s="336"/>
      <c r="D150" s="336"/>
      <c r="E150" s="336"/>
      <c r="F150" s="336"/>
      <c r="G150" s="336"/>
      <c r="H150" s="336"/>
      <c r="I150" s="336"/>
      <c r="J150" s="345"/>
      <c r="K150" s="109" t="e">
        <f>1.95996+2.37356/K149+2.818745/K149^2+2.546662/K149^3+1.761829/K149^4+0.245458/K149^5+1.000764/K149^6</f>
        <v>#DIV/0!</v>
      </c>
      <c r="L150" s="110"/>
      <c r="M150" s="104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 x14ac:dyDescent="0.3">
      <c r="A151" s="354" t="s">
        <v>110</v>
      </c>
      <c r="B151" s="336"/>
      <c r="C151" s="336"/>
      <c r="D151" s="336"/>
      <c r="E151" s="336"/>
      <c r="F151" s="336"/>
      <c r="G151" s="336"/>
      <c r="H151" s="336"/>
      <c r="I151" s="336"/>
      <c r="J151" s="345"/>
      <c r="K151" s="109" t="e">
        <f>K150*K148</f>
        <v>#DIV/0!</v>
      </c>
      <c r="L151" s="111"/>
      <c r="M151" s="104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 x14ac:dyDescent="0.3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 x14ac:dyDescent="0.3">
      <c r="A153" s="80" t="s">
        <v>48</v>
      </c>
      <c r="B153" s="3"/>
      <c r="C153" s="3"/>
      <c r="D153" s="96" t="str">
        <f>A10</f>
        <v xml:space="preserve">Null </v>
      </c>
      <c r="E153" s="112"/>
      <c r="F153" s="90"/>
      <c r="G153" s="91"/>
      <c r="H153" s="69"/>
      <c r="I153" s="69"/>
      <c r="J153" s="69"/>
      <c r="K153" s="69"/>
      <c r="L153" s="69"/>
      <c r="M153" s="92" t="str">
        <f>M$41</f>
        <v>Absorbance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 x14ac:dyDescent="0.3">
      <c r="A154" s="94" t="s">
        <v>81</v>
      </c>
      <c r="B154" s="95"/>
      <c r="C154" s="95"/>
      <c r="D154" s="89">
        <f>C10</f>
        <v>0</v>
      </c>
      <c r="E154" s="89" t="s">
        <v>45</v>
      </c>
      <c r="F154" s="132" t="str">
        <f>B10</f>
        <v>Null</v>
      </c>
      <c r="G154" s="101"/>
      <c r="H154" s="100">
        <v>1E-3</v>
      </c>
      <c r="I154" s="101"/>
      <c r="J154" s="101"/>
      <c r="K154" s="101"/>
      <c r="L154" s="101"/>
      <c r="M154" s="85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 x14ac:dyDescent="0.3">
      <c r="A155" s="102" t="s">
        <v>82</v>
      </c>
      <c r="B155" s="102" t="s">
        <v>83</v>
      </c>
      <c r="C155" s="102" t="s">
        <v>15</v>
      </c>
      <c r="D155" s="102" t="s">
        <v>84</v>
      </c>
      <c r="E155" s="102" t="s">
        <v>85</v>
      </c>
      <c r="F155" s="103" t="s">
        <v>86</v>
      </c>
      <c r="G155" s="102" t="s">
        <v>87</v>
      </c>
      <c r="H155" s="102" t="s">
        <v>88</v>
      </c>
      <c r="I155" s="102" t="s">
        <v>89</v>
      </c>
      <c r="J155" s="102" t="s">
        <v>90</v>
      </c>
      <c r="K155" s="102" t="s">
        <v>91</v>
      </c>
      <c r="L155" s="102" t="s">
        <v>92</v>
      </c>
      <c r="M155" s="102" t="s">
        <v>93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 x14ac:dyDescent="0.3">
      <c r="A156" s="104" t="s">
        <v>94</v>
      </c>
      <c r="B156" s="105" t="s">
        <v>199</v>
      </c>
      <c r="C156" s="105" t="s">
        <v>96</v>
      </c>
      <c r="D156" s="106" t="str">
        <f>E154</f>
        <v>Abs</v>
      </c>
      <c r="E156" s="105" t="s">
        <v>97</v>
      </c>
      <c r="F156" s="105" t="e">
        <f>STDEV(Data!F58:J58)</f>
        <v>#DIV/0!</v>
      </c>
      <c r="G156" s="105">
        <f>SQRT(5)</f>
        <v>2.2360679774997898</v>
      </c>
      <c r="H156" s="105">
        <f>5-1</f>
        <v>4</v>
      </c>
      <c r="I156" s="105" t="e">
        <f t="shared" ref="I156:I159" si="32">(F156)/G156</f>
        <v>#DIV/0!</v>
      </c>
      <c r="J156" s="105">
        <v>1</v>
      </c>
      <c r="K156" s="105" t="e">
        <f t="shared" ref="K156:K159" si="33">I156*J156</f>
        <v>#DIV/0!</v>
      </c>
      <c r="L156" s="105" t="e">
        <f t="shared" ref="L156:L159" si="34">K156^2</f>
        <v>#DIV/0!</v>
      </c>
      <c r="M156" s="105" t="e">
        <f t="shared" ref="M156:M159" si="35">(K156^4)/H156</f>
        <v>#DIV/0!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 x14ac:dyDescent="0.3">
      <c r="A157" s="104" t="s">
        <v>98</v>
      </c>
      <c r="B157" s="105" t="s">
        <v>200</v>
      </c>
      <c r="C157" s="105" t="s">
        <v>100</v>
      </c>
      <c r="D157" s="106" t="str">
        <f>D156</f>
        <v>Abs</v>
      </c>
      <c r="E157" s="105" t="s">
        <v>101</v>
      </c>
      <c r="F157" s="105">
        <f>H154/2</f>
        <v>5.0000000000000001E-4</v>
      </c>
      <c r="G157" s="105">
        <f>SQRT(3)</f>
        <v>1.7320508075688772</v>
      </c>
      <c r="H157" s="105">
        <v>50</v>
      </c>
      <c r="I157" s="105">
        <f t="shared" si="32"/>
        <v>2.886751345948129E-4</v>
      </c>
      <c r="J157" s="105">
        <v>1</v>
      </c>
      <c r="K157" s="105">
        <f t="shared" si="33"/>
        <v>2.886751345948129E-4</v>
      </c>
      <c r="L157" s="105">
        <f t="shared" si="34"/>
        <v>8.3333333333333338E-8</v>
      </c>
      <c r="M157" s="105">
        <f t="shared" si="35"/>
        <v>1.388888888888889E-16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 x14ac:dyDescent="0.3">
      <c r="A158" s="104" t="s">
        <v>102</v>
      </c>
      <c r="B158" s="105" t="s">
        <v>201</v>
      </c>
      <c r="C158" s="105" t="s">
        <v>100</v>
      </c>
      <c r="D158" s="106" t="str">
        <f>D156</f>
        <v>Abs</v>
      </c>
      <c r="E158" s="105" t="s">
        <v>97</v>
      </c>
      <c r="F158" s="106">
        <f>S37</f>
        <v>2.8E-3</v>
      </c>
      <c r="G158" s="105">
        <v>2</v>
      </c>
      <c r="H158" s="105">
        <v>60</v>
      </c>
      <c r="I158" s="105">
        <f t="shared" si="32"/>
        <v>1.4E-3</v>
      </c>
      <c r="J158" s="105">
        <v>1</v>
      </c>
      <c r="K158" s="105">
        <f t="shared" si="33"/>
        <v>1.4E-3</v>
      </c>
      <c r="L158" s="105">
        <f t="shared" si="34"/>
        <v>1.9599999999999999E-6</v>
      </c>
      <c r="M158" s="105">
        <f t="shared" si="35"/>
        <v>6.4026666666666654E-14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 x14ac:dyDescent="0.3">
      <c r="A159" s="104" t="s">
        <v>104</v>
      </c>
      <c r="B159" s="105" t="s">
        <v>202</v>
      </c>
      <c r="C159" s="105" t="s">
        <v>100</v>
      </c>
      <c r="D159" s="106" t="str">
        <f>D156</f>
        <v>Abs</v>
      </c>
      <c r="E159" s="105" t="s">
        <v>101</v>
      </c>
      <c r="F159" s="107">
        <v>0</v>
      </c>
      <c r="G159" s="105">
        <f>SQRT(3)</f>
        <v>1.7320508075688772</v>
      </c>
      <c r="H159" s="105">
        <v>50</v>
      </c>
      <c r="I159" s="105">
        <f t="shared" si="32"/>
        <v>0</v>
      </c>
      <c r="J159" s="105">
        <v>1</v>
      </c>
      <c r="K159" s="105">
        <f t="shared" si="33"/>
        <v>0</v>
      </c>
      <c r="L159" s="105">
        <f t="shared" si="34"/>
        <v>0</v>
      </c>
      <c r="M159" s="105">
        <f t="shared" si="35"/>
        <v>0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 x14ac:dyDescent="0.3">
      <c r="A160" s="108"/>
      <c r="B160" s="108"/>
      <c r="C160" s="108"/>
      <c r="D160" s="104"/>
      <c r="E160" s="104"/>
      <c r="F160" s="104"/>
      <c r="G160" s="104"/>
      <c r="H160" s="104"/>
      <c r="I160" s="104"/>
      <c r="J160" s="104"/>
      <c r="K160" s="104"/>
      <c r="L160" s="105"/>
      <c r="M160" s="104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 x14ac:dyDescent="0.3">
      <c r="A161" s="354" t="s">
        <v>106</v>
      </c>
      <c r="B161" s="336"/>
      <c r="C161" s="336"/>
      <c r="D161" s="336"/>
      <c r="E161" s="336"/>
      <c r="F161" s="336"/>
      <c r="G161" s="336"/>
      <c r="H161" s="336"/>
      <c r="I161" s="336"/>
      <c r="J161" s="345"/>
      <c r="K161" s="355" t="e">
        <f>SUM(L156:L160)</f>
        <v>#DIV/0!</v>
      </c>
      <c r="L161" s="345"/>
      <c r="M161" s="104" t="e">
        <f>SUM(M156:M160)</f>
        <v>#DIV/0!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 x14ac:dyDescent="0.3">
      <c r="A162" s="354" t="s">
        <v>107</v>
      </c>
      <c r="B162" s="336"/>
      <c r="C162" s="336"/>
      <c r="D162" s="336"/>
      <c r="E162" s="336"/>
      <c r="F162" s="336"/>
      <c r="G162" s="336"/>
      <c r="H162" s="336"/>
      <c r="I162" s="336"/>
      <c r="J162" s="345"/>
      <c r="K162" s="355" t="e">
        <f>SQRT(K161)</f>
        <v>#DIV/0!</v>
      </c>
      <c r="L162" s="345"/>
      <c r="M162" s="104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 x14ac:dyDescent="0.3">
      <c r="A163" s="354" t="s">
        <v>108</v>
      </c>
      <c r="B163" s="336"/>
      <c r="C163" s="336"/>
      <c r="D163" s="336"/>
      <c r="E163" s="336"/>
      <c r="F163" s="336"/>
      <c r="G163" s="336"/>
      <c r="H163" s="336"/>
      <c r="I163" s="336"/>
      <c r="J163" s="345"/>
      <c r="K163" s="109" t="e">
        <f>(K162^4)/M161</f>
        <v>#DIV/0!</v>
      </c>
      <c r="L163" s="110"/>
      <c r="M163" s="104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 x14ac:dyDescent="0.3">
      <c r="A164" s="354" t="s">
        <v>109</v>
      </c>
      <c r="B164" s="336"/>
      <c r="C164" s="336"/>
      <c r="D164" s="336"/>
      <c r="E164" s="336"/>
      <c r="F164" s="336"/>
      <c r="G164" s="336"/>
      <c r="H164" s="336"/>
      <c r="I164" s="336"/>
      <c r="J164" s="345"/>
      <c r="K164" s="109" t="e">
        <f>1.95996+2.37356/K163+2.818745/K163^2+2.546662/K163^3+1.761829/K163^4+0.245458/K163^5+1.000764/K163^6</f>
        <v>#DIV/0!</v>
      </c>
      <c r="L164" s="110"/>
      <c r="M164" s="104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 x14ac:dyDescent="0.3">
      <c r="A165" s="354" t="s">
        <v>110</v>
      </c>
      <c r="B165" s="336"/>
      <c r="C165" s="336"/>
      <c r="D165" s="336"/>
      <c r="E165" s="336"/>
      <c r="F165" s="336"/>
      <c r="G165" s="336"/>
      <c r="H165" s="336"/>
      <c r="I165" s="336"/>
      <c r="J165" s="345"/>
      <c r="K165" s="109" t="e">
        <f>K164*K162</f>
        <v>#DIV/0!</v>
      </c>
      <c r="L165" s="111"/>
      <c r="M165" s="104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 x14ac:dyDescent="0.3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 x14ac:dyDescent="0.3">
      <c r="A167" s="80" t="s">
        <v>48</v>
      </c>
      <c r="B167" s="3"/>
      <c r="C167" s="3"/>
      <c r="D167" s="96" t="str">
        <f>A11</f>
        <v xml:space="preserve">Null </v>
      </c>
      <c r="E167" s="112"/>
      <c r="F167" s="90"/>
      <c r="G167" s="91"/>
      <c r="H167" s="69"/>
      <c r="I167" s="69"/>
      <c r="J167" s="69"/>
      <c r="K167" s="69"/>
      <c r="L167" s="69"/>
      <c r="M167" s="92" t="str">
        <f>M$41</f>
        <v>Absorbance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 x14ac:dyDescent="0.3">
      <c r="A168" s="94" t="s">
        <v>81</v>
      </c>
      <c r="B168" s="95"/>
      <c r="C168" s="95"/>
      <c r="D168" s="89">
        <f>C11</f>
        <v>0</v>
      </c>
      <c r="E168" s="89" t="s">
        <v>45</v>
      </c>
      <c r="F168" s="132" t="str">
        <f>B11</f>
        <v>Null</v>
      </c>
      <c r="G168" s="101"/>
      <c r="H168" s="100">
        <v>1E-3</v>
      </c>
      <c r="I168" s="101"/>
      <c r="J168" s="101"/>
      <c r="K168" s="101"/>
      <c r="L168" s="101"/>
      <c r="M168" s="85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 x14ac:dyDescent="0.3">
      <c r="A169" s="102" t="s">
        <v>82</v>
      </c>
      <c r="B169" s="102" t="s">
        <v>83</v>
      </c>
      <c r="C169" s="102" t="s">
        <v>15</v>
      </c>
      <c r="D169" s="102" t="s">
        <v>84</v>
      </c>
      <c r="E169" s="102" t="s">
        <v>85</v>
      </c>
      <c r="F169" s="103" t="s">
        <v>86</v>
      </c>
      <c r="G169" s="102" t="s">
        <v>87</v>
      </c>
      <c r="H169" s="102" t="s">
        <v>88</v>
      </c>
      <c r="I169" s="102" t="s">
        <v>89</v>
      </c>
      <c r="J169" s="102" t="s">
        <v>90</v>
      </c>
      <c r="K169" s="102" t="s">
        <v>91</v>
      </c>
      <c r="L169" s="102" t="s">
        <v>92</v>
      </c>
      <c r="M169" s="102" t="s">
        <v>93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 x14ac:dyDescent="0.3">
      <c r="A170" s="104" t="s">
        <v>94</v>
      </c>
      <c r="B170" s="105" t="s">
        <v>199</v>
      </c>
      <c r="C170" s="105" t="s">
        <v>96</v>
      </c>
      <c r="D170" s="106" t="str">
        <f>E168</f>
        <v>Abs</v>
      </c>
      <c r="E170" s="105" t="s">
        <v>97</v>
      </c>
      <c r="F170" s="105" t="e">
        <f>STDEV(Data!F59:J59)</f>
        <v>#DIV/0!</v>
      </c>
      <c r="G170" s="105">
        <f>SQRT(5)</f>
        <v>2.2360679774997898</v>
      </c>
      <c r="H170" s="105">
        <f>5-1</f>
        <v>4</v>
      </c>
      <c r="I170" s="105" t="e">
        <f t="shared" ref="I170:I173" si="36">(F170)/G170</f>
        <v>#DIV/0!</v>
      </c>
      <c r="J170" s="105">
        <v>1</v>
      </c>
      <c r="K170" s="105" t="e">
        <f t="shared" ref="K170:K173" si="37">I170*J170</f>
        <v>#DIV/0!</v>
      </c>
      <c r="L170" s="105" t="e">
        <f t="shared" ref="L170:L173" si="38">K170^2</f>
        <v>#DIV/0!</v>
      </c>
      <c r="M170" s="105" t="e">
        <f t="shared" ref="M170:M173" si="39">(K170^4)/H170</f>
        <v>#DIV/0!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 x14ac:dyDescent="0.3">
      <c r="A171" s="104" t="s">
        <v>98</v>
      </c>
      <c r="B171" s="105" t="s">
        <v>200</v>
      </c>
      <c r="C171" s="105" t="s">
        <v>100</v>
      </c>
      <c r="D171" s="106" t="str">
        <f>D170</f>
        <v>Abs</v>
      </c>
      <c r="E171" s="105" t="s">
        <v>101</v>
      </c>
      <c r="F171" s="105">
        <f>H168/2</f>
        <v>5.0000000000000001E-4</v>
      </c>
      <c r="G171" s="105">
        <f>SQRT(3)</f>
        <v>1.7320508075688772</v>
      </c>
      <c r="H171" s="105">
        <v>50</v>
      </c>
      <c r="I171" s="105">
        <f t="shared" si="36"/>
        <v>2.886751345948129E-4</v>
      </c>
      <c r="J171" s="105">
        <v>1</v>
      </c>
      <c r="K171" s="105">
        <f t="shared" si="37"/>
        <v>2.886751345948129E-4</v>
      </c>
      <c r="L171" s="105">
        <f t="shared" si="38"/>
        <v>8.3333333333333338E-8</v>
      </c>
      <c r="M171" s="105">
        <f t="shared" si="39"/>
        <v>1.388888888888889E-16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 x14ac:dyDescent="0.3">
      <c r="A172" s="104" t="s">
        <v>102</v>
      </c>
      <c r="B172" s="105" t="s">
        <v>201</v>
      </c>
      <c r="C172" s="105" t="s">
        <v>100</v>
      </c>
      <c r="D172" s="106" t="str">
        <f>D170</f>
        <v>Abs</v>
      </c>
      <c r="E172" s="105" t="s">
        <v>97</v>
      </c>
      <c r="F172" s="106">
        <f>S38</f>
        <v>2.8E-3</v>
      </c>
      <c r="G172" s="105">
        <v>2</v>
      </c>
      <c r="H172" s="105">
        <v>60</v>
      </c>
      <c r="I172" s="105">
        <f t="shared" si="36"/>
        <v>1.4E-3</v>
      </c>
      <c r="J172" s="105">
        <v>1</v>
      </c>
      <c r="K172" s="105">
        <f t="shared" si="37"/>
        <v>1.4E-3</v>
      </c>
      <c r="L172" s="105">
        <f t="shared" si="38"/>
        <v>1.9599999999999999E-6</v>
      </c>
      <c r="M172" s="105">
        <f t="shared" si="39"/>
        <v>6.4026666666666654E-14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 x14ac:dyDescent="0.3">
      <c r="A173" s="104" t="s">
        <v>104</v>
      </c>
      <c r="B173" s="105" t="s">
        <v>202</v>
      </c>
      <c r="C173" s="105" t="s">
        <v>100</v>
      </c>
      <c r="D173" s="106" t="str">
        <f>D170</f>
        <v>Abs</v>
      </c>
      <c r="E173" s="105" t="s">
        <v>101</v>
      </c>
      <c r="F173" s="107">
        <v>0</v>
      </c>
      <c r="G173" s="105">
        <f>SQRT(3)</f>
        <v>1.7320508075688772</v>
      </c>
      <c r="H173" s="105">
        <v>50</v>
      </c>
      <c r="I173" s="105">
        <f t="shared" si="36"/>
        <v>0</v>
      </c>
      <c r="J173" s="105">
        <v>1</v>
      </c>
      <c r="K173" s="105">
        <f t="shared" si="37"/>
        <v>0</v>
      </c>
      <c r="L173" s="105">
        <f t="shared" si="38"/>
        <v>0</v>
      </c>
      <c r="M173" s="105">
        <f t="shared" si="39"/>
        <v>0</v>
      </c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 x14ac:dyDescent="0.3">
      <c r="A174" s="108"/>
      <c r="B174" s="108"/>
      <c r="C174" s="108"/>
      <c r="D174" s="104"/>
      <c r="E174" s="104"/>
      <c r="F174" s="104"/>
      <c r="G174" s="104"/>
      <c r="H174" s="104"/>
      <c r="I174" s="104"/>
      <c r="J174" s="104"/>
      <c r="K174" s="104"/>
      <c r="L174" s="105"/>
      <c r="M174" s="104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 x14ac:dyDescent="0.3">
      <c r="A175" s="354" t="s">
        <v>106</v>
      </c>
      <c r="B175" s="336"/>
      <c r="C175" s="336"/>
      <c r="D175" s="336"/>
      <c r="E175" s="336"/>
      <c r="F175" s="336"/>
      <c r="G175" s="336"/>
      <c r="H175" s="336"/>
      <c r="I175" s="336"/>
      <c r="J175" s="345"/>
      <c r="K175" s="355" t="e">
        <f>SUM(L170:L174)</f>
        <v>#DIV/0!</v>
      </c>
      <c r="L175" s="345"/>
      <c r="M175" s="104" t="e">
        <f>SUM(M170:M174)</f>
        <v>#DIV/0!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 x14ac:dyDescent="0.3">
      <c r="A176" s="354" t="s">
        <v>107</v>
      </c>
      <c r="B176" s="336"/>
      <c r="C176" s="336"/>
      <c r="D176" s="336"/>
      <c r="E176" s="336"/>
      <c r="F176" s="336"/>
      <c r="G176" s="336"/>
      <c r="H176" s="336"/>
      <c r="I176" s="336"/>
      <c r="J176" s="345"/>
      <c r="K176" s="355" t="e">
        <f>SQRT(K175)</f>
        <v>#DIV/0!</v>
      </c>
      <c r="L176" s="345"/>
      <c r="M176" s="104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 x14ac:dyDescent="0.3">
      <c r="A177" s="354" t="s">
        <v>108</v>
      </c>
      <c r="B177" s="336"/>
      <c r="C177" s="336"/>
      <c r="D177" s="336"/>
      <c r="E177" s="336"/>
      <c r="F177" s="336"/>
      <c r="G177" s="336"/>
      <c r="H177" s="336"/>
      <c r="I177" s="336"/>
      <c r="J177" s="345"/>
      <c r="K177" s="109" t="e">
        <f>(K176^4)/M175</f>
        <v>#DIV/0!</v>
      </c>
      <c r="L177" s="110"/>
      <c r="M177" s="104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 x14ac:dyDescent="0.3">
      <c r="A178" s="354" t="s">
        <v>109</v>
      </c>
      <c r="B178" s="336"/>
      <c r="C178" s="336"/>
      <c r="D178" s="336"/>
      <c r="E178" s="336"/>
      <c r="F178" s="336"/>
      <c r="G178" s="336"/>
      <c r="H178" s="336"/>
      <c r="I178" s="336"/>
      <c r="J178" s="345"/>
      <c r="K178" s="109" t="e">
        <f>1.95996+2.37356/K177+2.818745/K177^2+2.546662/K177^3+1.761829/K177^4+0.245458/K177^5+1.000764/K177^6</f>
        <v>#DIV/0!</v>
      </c>
      <c r="L178" s="110"/>
      <c r="M178" s="104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 x14ac:dyDescent="0.3">
      <c r="A179" s="354" t="s">
        <v>110</v>
      </c>
      <c r="B179" s="336"/>
      <c r="C179" s="336"/>
      <c r="D179" s="336"/>
      <c r="E179" s="336"/>
      <c r="F179" s="336"/>
      <c r="G179" s="336"/>
      <c r="H179" s="336"/>
      <c r="I179" s="336"/>
      <c r="J179" s="345"/>
      <c r="K179" s="109" t="e">
        <f>K178*K176</f>
        <v>#DIV/0!</v>
      </c>
      <c r="L179" s="111"/>
      <c r="M179" s="104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 x14ac:dyDescent="0.3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 x14ac:dyDescent="0.3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 x14ac:dyDescent="0.3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 x14ac:dyDescent="0.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 x14ac:dyDescent="0.3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 x14ac:dyDescent="0.3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 x14ac:dyDescent="0.3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 x14ac:dyDescent="0.3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 x14ac:dyDescent="0.3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 x14ac:dyDescent="0.3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 x14ac:dyDescent="0.3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 x14ac:dyDescent="0.3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 x14ac:dyDescent="0.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 x14ac:dyDescent="0.3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 x14ac:dyDescent="0.3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 x14ac:dyDescent="0.3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 x14ac:dyDescent="0.3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 x14ac:dyDescent="0.3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 x14ac:dyDescent="0.3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 x14ac:dyDescent="0.3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 x14ac:dyDescent="0.3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 x14ac:dyDescent="0.3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 x14ac:dyDescent="0.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 x14ac:dyDescent="0.3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 x14ac:dyDescent="0.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 x14ac:dyDescent="0.3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 x14ac:dyDescent="0.3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 x14ac:dyDescent="0.3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 x14ac:dyDescent="0.3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 x14ac:dyDescent="0.3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 x14ac:dyDescent="0.3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 x14ac:dyDescent="0.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 x14ac:dyDescent="0.3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 x14ac:dyDescent="0.3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/>
    <row r="339" spans="1:26" ht="15.75" customHeight="1" x14ac:dyDescent="0.3"/>
    <row r="340" spans="1:26" ht="15.75" customHeight="1" x14ac:dyDescent="0.3"/>
    <row r="341" spans="1:26" ht="15.75" customHeight="1" x14ac:dyDescent="0.3"/>
    <row r="342" spans="1:26" ht="15.75" customHeight="1" x14ac:dyDescent="0.3"/>
    <row r="343" spans="1:26" ht="15.75" customHeight="1" x14ac:dyDescent="0.3"/>
    <row r="344" spans="1:26" ht="15.75" customHeight="1" x14ac:dyDescent="0.3"/>
    <row r="345" spans="1:26" ht="15.75" customHeight="1" x14ac:dyDescent="0.3"/>
    <row r="346" spans="1:26" ht="15.75" customHeight="1" x14ac:dyDescent="0.3"/>
    <row r="347" spans="1:26" ht="15.75" customHeight="1" x14ac:dyDescent="0.3"/>
    <row r="348" spans="1:26" ht="15.75" customHeight="1" x14ac:dyDescent="0.3"/>
    <row r="349" spans="1:26" ht="15.75" customHeight="1" x14ac:dyDescent="0.3"/>
    <row r="350" spans="1:26" ht="15.75" customHeight="1" x14ac:dyDescent="0.3"/>
    <row r="351" spans="1:26" ht="15.75" customHeight="1" x14ac:dyDescent="0.3"/>
    <row r="352" spans="1:26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</sheetData>
  <mergeCells count="74">
    <mergeCell ref="A31:D31"/>
    <mergeCell ref="P31:Q31"/>
    <mergeCell ref="A32:D32"/>
    <mergeCell ref="A33:D33"/>
    <mergeCell ref="A49:J49"/>
    <mergeCell ref="K49:L49"/>
    <mergeCell ref="K50:L50"/>
    <mergeCell ref="A50:J50"/>
    <mergeCell ref="A51:J51"/>
    <mergeCell ref="A52:J52"/>
    <mergeCell ref="A53:J53"/>
    <mergeCell ref="A63:J63"/>
    <mergeCell ref="K63:L63"/>
    <mergeCell ref="K64:L64"/>
    <mergeCell ref="A64:J64"/>
    <mergeCell ref="A65:J65"/>
    <mergeCell ref="A66:J66"/>
    <mergeCell ref="A67:J67"/>
    <mergeCell ref="A77:J77"/>
    <mergeCell ref="K77:L77"/>
    <mergeCell ref="K78:L78"/>
    <mergeCell ref="A78:J78"/>
    <mergeCell ref="A79:J79"/>
    <mergeCell ref="A80:J80"/>
    <mergeCell ref="A81:J81"/>
    <mergeCell ref="A91:J91"/>
    <mergeCell ref="K91:L91"/>
    <mergeCell ref="K92:L92"/>
    <mergeCell ref="A92:J92"/>
    <mergeCell ref="A93:J93"/>
    <mergeCell ref="A94:J94"/>
    <mergeCell ref="A95:J95"/>
    <mergeCell ref="A105:J105"/>
    <mergeCell ref="K105:L105"/>
    <mergeCell ref="K106:L106"/>
    <mergeCell ref="A106:J106"/>
    <mergeCell ref="A107:J107"/>
    <mergeCell ref="A108:J108"/>
    <mergeCell ref="A109:J109"/>
    <mergeCell ref="A119:J119"/>
    <mergeCell ref="K119:L119"/>
    <mergeCell ref="K120:L120"/>
    <mergeCell ref="A137:J137"/>
    <mergeCell ref="A120:J120"/>
    <mergeCell ref="A121:J121"/>
    <mergeCell ref="A122:J122"/>
    <mergeCell ref="A123:J123"/>
    <mergeCell ref="A133:J133"/>
    <mergeCell ref="K133:L133"/>
    <mergeCell ref="K134:L134"/>
    <mergeCell ref="A134:J134"/>
    <mergeCell ref="A135:J135"/>
    <mergeCell ref="A136:J136"/>
    <mergeCell ref="A147:J147"/>
    <mergeCell ref="K147:L147"/>
    <mergeCell ref="A148:J148"/>
    <mergeCell ref="K148:L148"/>
    <mergeCell ref="A149:J149"/>
    <mergeCell ref="A150:J150"/>
    <mergeCell ref="A151:J151"/>
    <mergeCell ref="A161:J161"/>
    <mergeCell ref="K161:L161"/>
    <mergeCell ref="A162:J162"/>
    <mergeCell ref="K162:L162"/>
    <mergeCell ref="A163:J163"/>
    <mergeCell ref="A164:J164"/>
    <mergeCell ref="A165:J165"/>
    <mergeCell ref="A175:J175"/>
    <mergeCell ref="K175:L175"/>
    <mergeCell ref="A176:J176"/>
    <mergeCell ref="K176:L176"/>
    <mergeCell ref="A177:J177"/>
    <mergeCell ref="A178:J178"/>
    <mergeCell ref="A179:J179"/>
  </mergeCells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2"/>
  <sheetViews>
    <sheetView zoomScale="85" zoomScaleNormal="85" workbookViewId="0">
      <selection activeCell="N6" sqref="N6"/>
    </sheetView>
  </sheetViews>
  <sheetFormatPr defaultColWidth="14.44140625" defaultRowHeight="15" customHeight="1" x14ac:dyDescent="0.3"/>
  <cols>
    <col min="1" max="7" width="9.109375" customWidth="1"/>
    <col min="8" max="26" width="8.77734375" customWidth="1"/>
  </cols>
  <sheetData>
    <row r="1" spans="1:26" ht="15" customHeight="1" x14ac:dyDescent="0.3">
      <c r="A1" s="245" t="s">
        <v>331</v>
      </c>
      <c r="I1" s="245" t="s">
        <v>333</v>
      </c>
    </row>
    <row r="2" spans="1:26" ht="12.75" customHeight="1" x14ac:dyDescent="0.3">
      <c r="A2" s="247">
        <v>2024</v>
      </c>
      <c r="B2" s="3"/>
      <c r="C2" s="3"/>
      <c r="D2" s="3"/>
      <c r="E2" s="3"/>
      <c r="F2" s="3"/>
      <c r="G2" s="3"/>
      <c r="H2" s="3"/>
      <c r="I2" s="247">
        <v>2025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2.75" customHeight="1" x14ac:dyDescent="0.3">
      <c r="A3" s="360" t="s">
        <v>253</v>
      </c>
      <c r="B3" s="324"/>
      <c r="C3" s="324"/>
      <c r="D3" s="3"/>
      <c r="E3" s="360" t="s">
        <v>254</v>
      </c>
      <c r="F3" s="324"/>
      <c r="G3" s="324"/>
      <c r="H3" s="3"/>
      <c r="I3" s="360" t="s">
        <v>253</v>
      </c>
      <c r="J3" s="324"/>
      <c r="K3" s="324"/>
      <c r="L3" s="3"/>
      <c r="M3" s="360" t="s">
        <v>254</v>
      </c>
      <c r="N3" s="324"/>
      <c r="O3" s="32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.75" customHeight="1" x14ac:dyDescent="0.3">
      <c r="A4" s="133" t="s">
        <v>255</v>
      </c>
      <c r="B4" s="133" t="s">
        <v>256</v>
      </c>
      <c r="C4" s="133" t="s">
        <v>257</v>
      </c>
      <c r="D4" s="133"/>
      <c r="E4" s="133" t="s">
        <v>255</v>
      </c>
      <c r="F4" s="133" t="s">
        <v>256</v>
      </c>
      <c r="G4" s="133" t="s">
        <v>257</v>
      </c>
      <c r="H4" s="3"/>
      <c r="I4" s="133" t="s">
        <v>255</v>
      </c>
      <c r="J4" s="133" t="s">
        <v>256</v>
      </c>
      <c r="K4" s="133" t="s">
        <v>257</v>
      </c>
      <c r="L4" s="133"/>
      <c r="M4" s="133" t="s">
        <v>255</v>
      </c>
      <c r="N4" s="133" t="s">
        <v>256</v>
      </c>
      <c r="O4" s="133" t="s">
        <v>257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 x14ac:dyDescent="0.3">
      <c r="A5" s="3">
        <v>19.5</v>
      </c>
      <c r="B5" s="3">
        <v>0.5</v>
      </c>
      <c r="C5" s="88">
        <v>2</v>
      </c>
      <c r="D5" s="3"/>
      <c r="E5" s="3">
        <v>39.799999999999997</v>
      </c>
      <c r="F5" s="3">
        <v>0.2</v>
      </c>
      <c r="G5" s="3">
        <v>2.5</v>
      </c>
      <c r="H5" s="3"/>
      <c r="I5" s="248">
        <v>20.010000000000002</v>
      </c>
      <c r="J5" s="248">
        <v>0.3</v>
      </c>
      <c r="K5" s="248">
        <v>2</v>
      </c>
      <c r="L5" s="3"/>
      <c r="M5" s="248">
        <v>40.01</v>
      </c>
      <c r="N5" s="248">
        <v>-2</v>
      </c>
      <c r="O5" s="249">
        <v>3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2.75" customHeight="1" x14ac:dyDescent="0.3">
      <c r="A6" s="88">
        <v>25</v>
      </c>
      <c r="B6" s="88">
        <v>0</v>
      </c>
      <c r="C6" s="88">
        <v>2</v>
      </c>
      <c r="D6" s="3"/>
      <c r="E6" s="88">
        <v>49</v>
      </c>
      <c r="F6" s="88">
        <v>1</v>
      </c>
      <c r="G6" s="3">
        <v>2.8</v>
      </c>
      <c r="H6" s="3"/>
      <c r="I6" s="248">
        <v>25</v>
      </c>
      <c r="J6" s="248">
        <v>0.4</v>
      </c>
      <c r="K6" s="211">
        <v>2</v>
      </c>
      <c r="L6" s="3"/>
      <c r="M6" s="248">
        <v>50.01</v>
      </c>
      <c r="N6" s="248">
        <v>-3</v>
      </c>
      <c r="O6" s="249">
        <v>3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 x14ac:dyDescent="0.3">
      <c r="A7" s="3">
        <v>30.4</v>
      </c>
      <c r="B7" s="3">
        <v>-0.4</v>
      </c>
      <c r="C7" s="88">
        <v>2</v>
      </c>
      <c r="D7" s="3"/>
      <c r="E7" s="3">
        <v>58.8</v>
      </c>
      <c r="F7" s="3">
        <v>1.2</v>
      </c>
      <c r="G7" s="3">
        <v>3.2</v>
      </c>
      <c r="H7" s="3"/>
      <c r="I7" s="248">
        <v>30</v>
      </c>
      <c r="J7" s="248">
        <v>0.5</v>
      </c>
      <c r="K7" s="211">
        <v>2</v>
      </c>
      <c r="L7" s="3"/>
      <c r="M7" s="248">
        <v>60.02</v>
      </c>
      <c r="N7" s="248">
        <v>-1</v>
      </c>
      <c r="O7" s="249">
        <v>3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2.75" customHeight="1" x14ac:dyDescent="0.3">
      <c r="A8" s="3">
        <v>35.799999999999997</v>
      </c>
      <c r="B8" s="3">
        <v>-0.8</v>
      </c>
      <c r="C8" s="88">
        <v>2</v>
      </c>
      <c r="D8" s="3"/>
      <c r="E8" s="3">
        <v>68.599999999999994</v>
      </c>
      <c r="F8" s="3">
        <v>1.4</v>
      </c>
      <c r="G8" s="88">
        <v>2</v>
      </c>
      <c r="H8" s="3"/>
      <c r="I8" s="248">
        <v>35</v>
      </c>
      <c r="J8" s="248">
        <v>1.2</v>
      </c>
      <c r="K8" s="211">
        <v>2</v>
      </c>
      <c r="L8" s="3"/>
      <c r="M8" s="248">
        <v>70</v>
      </c>
      <c r="N8" s="248">
        <v>0</v>
      </c>
      <c r="O8" s="249">
        <v>2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 x14ac:dyDescent="0.3">
      <c r="A9" s="3">
        <v>41.2</v>
      </c>
      <c r="B9" s="3">
        <v>-1.2</v>
      </c>
      <c r="C9" s="88">
        <v>2</v>
      </c>
      <c r="D9" s="3"/>
      <c r="E9" s="3">
        <v>78.900000000000006</v>
      </c>
      <c r="F9" s="3">
        <v>1.1000000000000001</v>
      </c>
      <c r="G9" s="3">
        <v>2.6</v>
      </c>
      <c r="H9" s="3"/>
      <c r="I9" s="248">
        <v>40</v>
      </c>
      <c r="J9" s="248">
        <v>1.7</v>
      </c>
      <c r="K9" s="211">
        <v>2</v>
      </c>
      <c r="L9" s="3"/>
      <c r="M9" s="248">
        <v>82</v>
      </c>
      <c r="N9" s="248">
        <v>-2</v>
      </c>
      <c r="O9" s="249">
        <v>3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 x14ac:dyDescent="0.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customHeight="1" x14ac:dyDescent="0.3">
      <c r="A11" s="247" t="s">
        <v>332</v>
      </c>
    </row>
    <row r="12" spans="1:26" ht="15" customHeight="1" x14ac:dyDescent="0.3">
      <c r="A12" s="247">
        <v>2022</v>
      </c>
    </row>
    <row r="13" spans="1:26" ht="12.75" customHeight="1" x14ac:dyDescent="0.3">
      <c r="A13" s="11" t="s">
        <v>255</v>
      </c>
      <c r="B13" s="11" t="s">
        <v>256</v>
      </c>
      <c r="C13" s="11" t="s">
        <v>257</v>
      </c>
      <c r="D13" s="3"/>
      <c r="E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 x14ac:dyDescent="0.3">
      <c r="A14" s="11">
        <v>-0.2</v>
      </c>
      <c r="B14" s="11">
        <v>0.1</v>
      </c>
      <c r="C14" s="11">
        <v>0.22</v>
      </c>
      <c r="D14" s="133"/>
      <c r="E14" s="133"/>
      <c r="F14" s="133"/>
      <c r="G14" s="13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 x14ac:dyDescent="0.3">
      <c r="A15" s="3">
        <v>14.2</v>
      </c>
      <c r="B15" s="3">
        <v>0.4</v>
      </c>
      <c r="C15" s="96">
        <v>0.25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 x14ac:dyDescent="0.3">
      <c r="A16" s="3">
        <v>42.9</v>
      </c>
      <c r="B16" s="3">
        <v>0.6</v>
      </c>
      <c r="C16" s="96">
        <v>0.28000000000000003</v>
      </c>
      <c r="D16" s="3"/>
      <c r="E16" s="3"/>
      <c r="F16" s="88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 x14ac:dyDescent="0.3">
      <c r="A17" s="3">
        <v>49.4</v>
      </c>
      <c r="B17" s="3">
        <v>0.4</v>
      </c>
      <c r="C17" s="96">
        <v>0.3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 x14ac:dyDescent="0.3">
      <c r="A18" s="3">
        <v>53.4</v>
      </c>
      <c r="B18" s="3">
        <v>0.4</v>
      </c>
      <c r="C18" s="96">
        <v>0.28999999999999998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 x14ac:dyDescent="0.3">
      <c r="A19" s="3">
        <v>69.400000000000006</v>
      </c>
      <c r="B19" s="3">
        <v>0.4</v>
      </c>
      <c r="C19" s="96">
        <v>0.31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 x14ac:dyDescent="0.3">
      <c r="A20" s="3">
        <v>79.5</v>
      </c>
      <c r="B20" s="3">
        <v>0.3</v>
      </c>
      <c r="C20" s="3">
        <v>0.32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 x14ac:dyDescent="0.3">
      <c r="A21" s="3">
        <v>89.6</v>
      </c>
      <c r="B21" s="3">
        <v>0.2</v>
      </c>
      <c r="C21" s="3">
        <v>0.32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 x14ac:dyDescent="0.3">
      <c r="A22" s="3">
        <v>99.7</v>
      </c>
      <c r="B22" s="3">
        <v>0.1</v>
      </c>
      <c r="C22" s="3">
        <v>0.43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 x14ac:dyDescent="0.3">
      <c r="A23" s="3">
        <v>109.4</v>
      </c>
      <c r="B23" s="3">
        <v>0.4</v>
      </c>
      <c r="C23" s="3">
        <v>0.43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 x14ac:dyDescent="0.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 x14ac:dyDescent="0.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 x14ac:dyDescent="0.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 x14ac:dyDescent="0.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 x14ac:dyDescent="0.3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 x14ac:dyDescent="0.3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 x14ac:dyDescent="0.3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 x14ac:dyDescent="0.3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 x14ac:dyDescent="0.3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 x14ac:dyDescent="0.3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 x14ac:dyDescent="0.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 x14ac:dyDescent="0.3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 x14ac:dyDescent="0.3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 x14ac:dyDescent="0.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 x14ac:dyDescent="0.3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 x14ac:dyDescent="0.3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 x14ac:dyDescent="0.3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 x14ac:dyDescent="0.3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 x14ac:dyDescent="0.3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 x14ac:dyDescent="0.3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 x14ac:dyDescent="0.3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 x14ac:dyDescent="0.3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 x14ac:dyDescent="0.3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 x14ac:dyDescent="0.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 x14ac:dyDescent="0.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 x14ac:dyDescent="0.3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 x14ac:dyDescent="0.3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 x14ac:dyDescent="0.3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 x14ac:dyDescent="0.3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 x14ac:dyDescent="0.3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 x14ac:dyDescent="0.3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 x14ac:dyDescent="0.3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 x14ac:dyDescent="0.3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 x14ac:dyDescent="0.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 x14ac:dyDescent="0.3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 x14ac:dyDescent="0.3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 x14ac:dyDescent="0.3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 x14ac:dyDescent="0.3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 x14ac:dyDescent="0.3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 x14ac:dyDescent="0.3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 x14ac:dyDescent="0.3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 x14ac:dyDescent="0.3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 x14ac:dyDescent="0.3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 x14ac:dyDescent="0.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 x14ac:dyDescent="0.3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 x14ac:dyDescent="0.3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 x14ac:dyDescent="0.3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 x14ac:dyDescent="0.3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 x14ac:dyDescent="0.3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 x14ac:dyDescent="0.3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 x14ac:dyDescent="0.3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 x14ac:dyDescent="0.3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 x14ac:dyDescent="0.3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 x14ac:dyDescent="0.3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 x14ac:dyDescent="0.3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 x14ac:dyDescent="0.3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 x14ac:dyDescent="0.3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 x14ac:dyDescent="0.3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 x14ac:dyDescent="0.3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 x14ac:dyDescent="0.3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 x14ac:dyDescent="0.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 x14ac:dyDescent="0.3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 x14ac:dyDescent="0.3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 x14ac:dyDescent="0.3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 x14ac:dyDescent="0.3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 x14ac:dyDescent="0.3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 x14ac:dyDescent="0.3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 x14ac:dyDescent="0.3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 x14ac:dyDescent="0.3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 x14ac:dyDescent="0.3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 x14ac:dyDescent="0.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 x14ac:dyDescent="0.3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 x14ac:dyDescent="0.3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 x14ac:dyDescent="0.3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 x14ac:dyDescent="0.3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 x14ac:dyDescent="0.3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 x14ac:dyDescent="0.3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 x14ac:dyDescent="0.3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 x14ac:dyDescent="0.3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 x14ac:dyDescent="0.3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 x14ac:dyDescent="0.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 x14ac:dyDescent="0.3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 x14ac:dyDescent="0.3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 x14ac:dyDescent="0.3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 x14ac:dyDescent="0.3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 x14ac:dyDescent="0.3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 x14ac:dyDescent="0.3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 x14ac:dyDescent="0.3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 x14ac:dyDescent="0.3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 x14ac:dyDescent="0.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 x14ac:dyDescent="0.3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 x14ac:dyDescent="0.3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 x14ac:dyDescent="0.3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 x14ac:dyDescent="0.3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 x14ac:dyDescent="0.3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 x14ac:dyDescent="0.3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 x14ac:dyDescent="0.3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 x14ac:dyDescent="0.3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 x14ac:dyDescent="0.3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 x14ac:dyDescent="0.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 x14ac:dyDescent="0.3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 x14ac:dyDescent="0.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 x14ac:dyDescent="0.3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 x14ac:dyDescent="0.3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 x14ac:dyDescent="0.3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 x14ac:dyDescent="0.3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 x14ac:dyDescent="0.3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 x14ac:dyDescent="0.3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 x14ac:dyDescent="0.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 x14ac:dyDescent="0.3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 x14ac:dyDescent="0.3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/>
    <row r="224" spans="1:26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</sheetData>
  <mergeCells count="4">
    <mergeCell ref="M3:O3"/>
    <mergeCell ref="A3:C3"/>
    <mergeCell ref="E3:G3"/>
    <mergeCell ref="I3:K3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1:A1000"/>
  <sheetViews>
    <sheetView zoomScaleNormal="100" workbookViewId="0">
      <selection activeCell="A44" sqref="A44"/>
    </sheetView>
  </sheetViews>
  <sheetFormatPr defaultColWidth="14.44140625" defaultRowHeight="15" customHeight="1" x14ac:dyDescent="0.3"/>
  <cols>
    <col min="1" max="26" width="8.77734375" customWidth="1"/>
  </cols>
  <sheetData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1:A1000"/>
  <sheetViews>
    <sheetView topLeftCell="A21" workbookViewId="0"/>
  </sheetViews>
  <sheetFormatPr defaultColWidth="14.44140625" defaultRowHeight="15" customHeight="1" x14ac:dyDescent="0.3"/>
  <cols>
    <col min="1" max="26" width="8.77734375" customWidth="1"/>
  </cols>
  <sheetData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1:A1000"/>
  <sheetViews>
    <sheetView topLeftCell="A42" workbookViewId="0"/>
  </sheetViews>
  <sheetFormatPr defaultColWidth="14.44140625" defaultRowHeight="15" customHeight="1" x14ac:dyDescent="0.3"/>
  <cols>
    <col min="1" max="26" width="8.77734375" customWidth="1"/>
  </cols>
  <sheetData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8"/>
  <sheetViews>
    <sheetView workbookViewId="0">
      <selection activeCell="M10" sqref="M10"/>
    </sheetView>
  </sheetViews>
  <sheetFormatPr defaultColWidth="14.44140625" defaultRowHeight="15" customHeight="1" x14ac:dyDescent="0.3"/>
  <cols>
    <col min="1" max="1" width="13.21875" customWidth="1"/>
    <col min="2" max="4" width="10.21875" customWidth="1"/>
    <col min="5" max="5" width="13.21875" customWidth="1"/>
    <col min="6" max="6" width="14.44140625" customWidth="1"/>
  </cols>
  <sheetData>
    <row r="1" spans="1:18" ht="12.75" customHeight="1" x14ac:dyDescent="0.3">
      <c r="A1" s="1" t="s">
        <v>0</v>
      </c>
      <c r="B1" s="2" t="str">
        <f>Data!B18</f>
        <v>K663-6</v>
      </c>
      <c r="C1" s="3"/>
      <c r="D1" s="3"/>
      <c r="E1" s="3"/>
      <c r="F1" s="3"/>
      <c r="H1" s="211"/>
      <c r="I1" s="248" t="s">
        <v>336</v>
      </c>
      <c r="J1" s="249" t="s">
        <v>337</v>
      </c>
      <c r="K1" s="3"/>
      <c r="L1" s="3"/>
      <c r="M1" s="3"/>
      <c r="N1" s="3"/>
      <c r="O1" s="3"/>
      <c r="P1" s="3"/>
      <c r="Q1" s="3"/>
      <c r="R1" s="3"/>
    </row>
    <row r="2" spans="1:18" ht="12.75" customHeight="1" x14ac:dyDescent="0.3">
      <c r="A2" s="1" t="s">
        <v>1</v>
      </c>
      <c r="B2" s="4">
        <f>SUM(Data!D14:E15)/2</f>
        <v>20.206691543093182</v>
      </c>
      <c r="C2" s="5" t="str">
        <f>CONCATENATE(" ± ",ROUND(MAX(SUM(Data!D14:E14),SUM(Data!D15:E15))-MIN(SUM(Data!D14:E14),SUM(Data!D15:E15)),1))</f>
        <v xml:space="preserve"> ± 0</v>
      </c>
      <c r="D2" s="6"/>
      <c r="E2" s="7"/>
      <c r="F2" s="3"/>
      <c r="H2" s="249" t="s">
        <v>23</v>
      </c>
      <c r="I2" s="249">
        <f>Data!D14</f>
        <v>20.100000000000001</v>
      </c>
      <c r="J2" s="249">
        <f>Data!K14</f>
        <v>60</v>
      </c>
      <c r="K2" s="3"/>
      <c r="L2" s="3"/>
      <c r="M2" s="3"/>
      <c r="N2" s="3"/>
      <c r="O2" s="3"/>
      <c r="P2" s="3"/>
      <c r="Q2" s="3"/>
      <c r="R2" s="3"/>
    </row>
    <row r="3" spans="1:18" ht="12.75" customHeight="1" x14ac:dyDescent="0.3">
      <c r="A3" s="1" t="s">
        <v>2</v>
      </c>
      <c r="B3" s="4">
        <f>SUM(Data!K14:L15)/2</f>
        <v>58.388997320335307</v>
      </c>
      <c r="C3" s="5" t="str">
        <f>CONCATENATE(" ± ",ROUND(MAX(SUM(Data!K14:L14),SUM(Data!K15:L15))-MIN(SUM(Data!K14:L14),SUM(Data!K15:L15)),1))</f>
        <v xml:space="preserve"> ± 0</v>
      </c>
      <c r="D3" s="3"/>
      <c r="E3" s="7"/>
      <c r="F3" s="3"/>
      <c r="H3" s="249" t="s">
        <v>25</v>
      </c>
      <c r="I3" s="249">
        <f>Data!D15</f>
        <v>20.100000000000001</v>
      </c>
      <c r="J3" s="249">
        <f>Data!K15</f>
        <v>60</v>
      </c>
      <c r="K3" s="3"/>
      <c r="L3" s="3"/>
      <c r="M3" s="3"/>
      <c r="N3" s="3"/>
      <c r="O3" s="3"/>
      <c r="P3" s="3"/>
      <c r="Q3" s="3"/>
      <c r="R3" s="3"/>
    </row>
    <row r="4" spans="1:18" ht="12.75" customHeight="1" x14ac:dyDescent="0.3">
      <c r="A4" s="1"/>
      <c r="B4" s="251"/>
      <c r="C4" s="8"/>
      <c r="D4" s="3"/>
      <c r="E4" s="7"/>
      <c r="F4" s="3"/>
      <c r="H4" s="249" t="s">
        <v>321</v>
      </c>
      <c r="I4" s="255">
        <f>AVERAGE(I2:I3)</f>
        <v>20.100000000000001</v>
      </c>
      <c r="J4" s="249">
        <f>AVERAGE(J2:J3)</f>
        <v>60</v>
      </c>
      <c r="K4" s="3"/>
      <c r="L4" s="3"/>
      <c r="M4" s="3"/>
      <c r="N4" s="3"/>
      <c r="O4" s="3"/>
      <c r="P4" s="3"/>
      <c r="Q4" s="3"/>
      <c r="R4" s="3"/>
    </row>
    <row r="5" spans="1:18" ht="12.75" customHeight="1" x14ac:dyDescent="0.3">
      <c r="A5" s="250" t="s">
        <v>334</v>
      </c>
      <c r="B5" s="252" t="s">
        <v>23</v>
      </c>
      <c r="C5" s="252" t="s">
        <v>25</v>
      </c>
      <c r="D5" s="253"/>
      <c r="E5" s="246"/>
      <c r="F5" s="3"/>
      <c r="H5" s="248" t="s">
        <v>335</v>
      </c>
      <c r="I5" s="256">
        <f>I4+FORECAST(I4,'Koreksi Termometer '!$J$5:$J$9,'Koreksi Termometer '!$I$5:$I$9)</f>
        <v>20.206691543093182</v>
      </c>
      <c r="J5" s="256">
        <f>J4+FORECAST(J4,'Koreksi Termometer '!$N$5:$N$9,'Koreksi Termometer '!$M$5:$M$9)</f>
        <v>58.388997320335307</v>
      </c>
      <c r="K5" s="3"/>
      <c r="L5" s="3"/>
      <c r="M5" s="3"/>
      <c r="N5" s="3"/>
      <c r="O5" s="3"/>
      <c r="P5" s="3"/>
      <c r="Q5" s="3"/>
      <c r="R5" s="3"/>
    </row>
    <row r="6" spans="1:18" ht="12.75" customHeight="1" x14ac:dyDescent="0.3">
      <c r="A6" s="1" t="s">
        <v>1</v>
      </c>
      <c r="B6" s="4">
        <v>19.8</v>
      </c>
      <c r="C6" s="4">
        <v>21.8</v>
      </c>
      <c r="D6" s="254"/>
      <c r="E6" s="88"/>
      <c r="F6" s="3"/>
      <c r="H6" s="249" t="s">
        <v>338</v>
      </c>
      <c r="I6" s="256">
        <f>FORECAST(I5,'Koreksi Termometer '!$K$5:$K$9,'Koreksi Termometer '!$I$5:$I$9)</f>
        <v>2</v>
      </c>
      <c r="J6" s="256">
        <f>FORECAST(J5,'Koreksi Termometer '!O5:O9,'Koreksi Termometer '!M5:M9)</f>
        <v>2.8178891937452146</v>
      </c>
      <c r="K6" s="3"/>
      <c r="L6" s="3"/>
      <c r="M6" s="3"/>
      <c r="N6" s="3"/>
      <c r="O6" s="3"/>
      <c r="P6" s="3"/>
      <c r="Q6" s="3"/>
      <c r="R6" s="3"/>
    </row>
    <row r="7" spans="1:18" ht="12.75" customHeight="1" x14ac:dyDescent="0.3">
      <c r="A7" s="1"/>
      <c r="B7" s="1"/>
      <c r="C7" s="7"/>
      <c r="D7" s="7"/>
      <c r="E7" s="3"/>
      <c r="F7" s="3"/>
      <c r="H7" s="249" t="s">
        <v>339</v>
      </c>
      <c r="I7" s="256">
        <f>(MAX(I2:I3)-I4+I4-MIN(I2:I3))/2</f>
        <v>0</v>
      </c>
      <c r="J7" s="256">
        <f>(MAX(J2:J3)-J4+J4-MIN(J2:J3))/2</f>
        <v>0</v>
      </c>
      <c r="K7" s="3"/>
      <c r="L7" s="3"/>
      <c r="M7" s="3"/>
      <c r="N7" s="3"/>
      <c r="O7" s="3"/>
      <c r="P7" s="3"/>
      <c r="Q7" s="3"/>
      <c r="R7" s="3"/>
    </row>
    <row r="8" spans="1:18" ht="12.75" customHeight="1" x14ac:dyDescent="0.3">
      <c r="A8" s="172" t="s">
        <v>299</v>
      </c>
      <c r="B8" s="1"/>
      <c r="C8" s="10"/>
      <c r="D8" s="11"/>
      <c r="E8" s="3"/>
      <c r="F8" s="3"/>
      <c r="H8" s="249" t="s">
        <v>340</v>
      </c>
      <c r="I8" s="256">
        <f>I6+I7</f>
        <v>2</v>
      </c>
      <c r="J8" s="256">
        <f>J6+J7</f>
        <v>2.8178891937452146</v>
      </c>
      <c r="K8" s="3"/>
      <c r="L8" s="3"/>
      <c r="M8" s="3"/>
      <c r="N8" s="3"/>
      <c r="O8" s="3"/>
      <c r="P8" s="3"/>
      <c r="Q8" s="3"/>
      <c r="R8" s="3"/>
    </row>
    <row r="9" spans="1:18" ht="12.75" customHeight="1" thickBot="1" x14ac:dyDescent="0.35">
      <c r="A9" s="172" t="s">
        <v>365</v>
      </c>
      <c r="B9" s="10"/>
      <c r="C9" s="11"/>
      <c r="H9" s="257" t="s">
        <v>341</v>
      </c>
      <c r="I9" s="249" t="str">
        <f>FIXED(I5,1) &amp; " ± "&amp;FIXED(I7,1)</f>
        <v>20,2 ± 0,0</v>
      </c>
      <c r="J9" s="249" t="str">
        <f>FIXED(J5,1) &amp; " ± "&amp;FIXED(J7,1)</f>
        <v>58,4 ± 0,0</v>
      </c>
      <c r="K9" s="3"/>
      <c r="L9" s="3"/>
      <c r="M9" s="3"/>
      <c r="N9" s="3"/>
      <c r="O9" s="3"/>
      <c r="P9" s="3"/>
      <c r="Q9" s="3"/>
    </row>
    <row r="10" spans="1:18" ht="12.75" customHeight="1" x14ac:dyDescent="0.3">
      <c r="A10" s="363" t="s">
        <v>3</v>
      </c>
      <c r="B10" s="363" t="s">
        <v>4</v>
      </c>
      <c r="C10" s="365" t="s">
        <v>5</v>
      </c>
      <c r="I10" s="3"/>
      <c r="J10" s="3"/>
      <c r="K10" s="3"/>
      <c r="L10" s="3"/>
      <c r="M10" s="3"/>
      <c r="N10" s="3"/>
      <c r="O10" s="3"/>
      <c r="P10" s="3"/>
      <c r="Q10" s="3"/>
    </row>
    <row r="11" spans="1:18" ht="12.75" customHeight="1" x14ac:dyDescent="0.3">
      <c r="A11" s="364"/>
      <c r="B11" s="364"/>
      <c r="C11" s="364"/>
      <c r="H11" s="250" t="s">
        <v>334</v>
      </c>
      <c r="I11" s="3"/>
      <c r="J11" s="3"/>
      <c r="K11" s="3"/>
      <c r="L11" s="3"/>
      <c r="M11" s="3"/>
      <c r="N11" s="3"/>
      <c r="O11" s="3"/>
      <c r="P11" s="3"/>
      <c r="Q11" s="3"/>
    </row>
    <row r="12" spans="1:18" ht="12.75" customHeight="1" thickBot="1" x14ac:dyDescent="0.35">
      <c r="A12" s="367"/>
      <c r="B12" s="367"/>
      <c r="C12" s="367"/>
      <c r="H12" s="211"/>
      <c r="I12" s="248" t="s">
        <v>336</v>
      </c>
      <c r="J12" s="3"/>
      <c r="K12" s="3"/>
      <c r="L12" s="3"/>
      <c r="M12" s="3"/>
      <c r="N12" s="3"/>
      <c r="O12" s="3"/>
      <c r="P12" s="3"/>
      <c r="Q12" s="3"/>
    </row>
    <row r="13" spans="1:18" ht="12.75" customHeight="1" x14ac:dyDescent="0.3">
      <c r="A13" s="163">
        <f>'Kor&amp;U95% WVL'!B2</f>
        <v>747.61</v>
      </c>
      <c r="B13" s="164">
        <f>VLOOKUP(A13,'Kor&amp;U95% WVL'!$B$2:$F$15,3,FALSE)</f>
        <v>748</v>
      </c>
      <c r="C13" s="171">
        <f>VLOOKUP(A13,'Kor&amp;U95% WVL'!$B$2:$F$15,5,FALSE)</f>
        <v>0.58926646521228532</v>
      </c>
      <c r="H13" s="249" t="s">
        <v>23</v>
      </c>
      <c r="I13" s="249">
        <v>20.9</v>
      </c>
      <c r="J13" s="3"/>
      <c r="K13" s="3"/>
      <c r="L13" s="3"/>
      <c r="M13" s="3"/>
      <c r="N13" s="3"/>
    </row>
    <row r="14" spans="1:18" ht="12.75" customHeight="1" x14ac:dyDescent="0.3">
      <c r="A14" s="12">
        <f>'Kor&amp;U95% WVL'!B3</f>
        <v>740.51</v>
      </c>
      <c r="B14" s="161">
        <f>VLOOKUP(A14,'Kor&amp;U95% WVL'!$B$2:$F$15,3,FALSE)</f>
        <v>740</v>
      </c>
      <c r="C14" s="160">
        <f>VLOOKUP(A14,'Kor&amp;U95% WVL'!$B$2:$F$15,5,FALSE)</f>
        <v>0.58926646521228532</v>
      </c>
      <c r="H14" s="249" t="s">
        <v>25</v>
      </c>
      <c r="I14" s="256">
        <v>20.9</v>
      </c>
      <c r="J14" s="3"/>
      <c r="K14" s="3"/>
      <c r="L14" s="3"/>
      <c r="M14" s="3"/>
      <c r="N14" s="3"/>
    </row>
    <row r="15" spans="1:18" ht="12.75" customHeight="1" x14ac:dyDescent="0.3">
      <c r="A15" s="12">
        <f>'Kor&amp;U95% WVL'!B4</f>
        <v>684.7</v>
      </c>
      <c r="B15" s="161">
        <f>VLOOKUP(A15,'Kor&amp;U95% WVL'!$B$2:$F$15,3,FALSE)</f>
        <v>684</v>
      </c>
      <c r="C15" s="160">
        <f>VLOOKUP(A15,'Kor&amp;U95% WVL'!$B$2:$F$15,5,FALSE)</f>
        <v>0.58926646521228532</v>
      </c>
      <c r="H15" s="249" t="s">
        <v>321</v>
      </c>
      <c r="I15" s="255">
        <f>AVERAGE(I13:I14)</f>
        <v>20.9</v>
      </c>
      <c r="J15" s="3"/>
      <c r="K15" s="3"/>
      <c r="L15" s="3"/>
      <c r="M15" s="3"/>
      <c r="N15" s="3"/>
    </row>
    <row r="16" spans="1:18" ht="12.75" customHeight="1" x14ac:dyDescent="0.3">
      <c r="A16" s="12">
        <f>'Kor&amp;U95% WVL'!B5</f>
        <v>641.41</v>
      </c>
      <c r="B16" s="161">
        <f>VLOOKUP(A16,'Kor&amp;U95% WVL'!$B$2:$F$15,3,FALSE)</f>
        <v>640</v>
      </c>
      <c r="C16" s="160">
        <f>VLOOKUP(A16,'Kor&amp;U95% WVL'!$B$2:$F$15,5,FALSE)</f>
        <v>0.58926646521228532</v>
      </c>
      <c r="H16" s="248" t="s">
        <v>335</v>
      </c>
      <c r="I16" s="256">
        <f>I15+FORECAST(I15,'Koreksi Termometer '!$B$5:$B$9,'Koreksi Termometer '!$A$5:$A$9)</f>
        <v>21.254731624955745</v>
      </c>
      <c r="J16" s="3"/>
      <c r="K16" s="3"/>
      <c r="L16" s="3"/>
      <c r="M16" s="3"/>
      <c r="N16" s="3"/>
    </row>
    <row r="17" spans="1:18" ht="12.75" customHeight="1" x14ac:dyDescent="0.3">
      <c r="A17" s="12">
        <f>'Kor&amp;U95% WVL'!B6</f>
        <v>537.54</v>
      </c>
      <c r="B17" s="161">
        <f>VLOOKUP(A17,'Kor&amp;U95% WVL'!$B$2:$F$15,3,FALSE)</f>
        <v>536</v>
      </c>
      <c r="C17" s="160">
        <f>VLOOKUP(A17,'Kor&amp;U95% WVL'!$B$2:$F$15,5,FALSE)</f>
        <v>0.58926646521228532</v>
      </c>
      <c r="H17" s="249" t="s">
        <v>338</v>
      </c>
      <c r="I17" s="256">
        <f>FORECAST(I16,'Koreksi Termometer '!$B$14:$B$23,'Koreksi Termometer '!$A$14:$A$23)</f>
        <v>0.34585394645573297</v>
      </c>
      <c r="J17" s="3"/>
      <c r="K17" s="3"/>
      <c r="L17" s="3"/>
      <c r="M17" s="3"/>
      <c r="N17" s="3"/>
    </row>
    <row r="18" spans="1:18" ht="12.75" customHeight="1" x14ac:dyDescent="0.3">
      <c r="A18" s="12">
        <f>'Kor&amp;U95% WVL'!B7</f>
        <v>471.66</v>
      </c>
      <c r="B18" s="161">
        <f>VLOOKUP(A18,'Kor&amp;U95% WVL'!$B$2:$F$15,3,FALSE)</f>
        <v>470</v>
      </c>
      <c r="C18" s="160">
        <f>VLOOKUP(A18,'Kor&amp;U95% WVL'!$B$2:$F$15,5,FALSE)</f>
        <v>0.58926646521228532</v>
      </c>
      <c r="D18" s="96"/>
      <c r="E18" s="3"/>
      <c r="H18" s="249" t="s">
        <v>339</v>
      </c>
      <c r="I18" s="256">
        <f>(MAX(I13:I14)-I15+I15-MIN(I13:I14))/2</f>
        <v>0</v>
      </c>
      <c r="J18" s="3"/>
      <c r="K18" s="3"/>
      <c r="L18" s="3"/>
      <c r="M18" s="3"/>
      <c r="N18" s="3"/>
    </row>
    <row r="19" spans="1:18" ht="12.75" customHeight="1" x14ac:dyDescent="0.3">
      <c r="A19" s="12">
        <f>'Kor&amp;U95% WVL'!B8</f>
        <v>448.76</v>
      </c>
      <c r="B19" s="161">
        <f>VLOOKUP(A19,'Kor&amp;U95% WVL'!$B$2:$F$15,3,FALSE)</f>
        <v>447</v>
      </c>
      <c r="C19" s="160">
        <f>VLOOKUP(A19,'Kor&amp;U95% WVL'!$B$2:$F$15,5,FALSE)</f>
        <v>0.58926646521228532</v>
      </c>
      <c r="D19" s="96"/>
      <c r="E19" s="3"/>
      <c r="H19" s="249" t="s">
        <v>340</v>
      </c>
      <c r="I19" s="256">
        <f>I17+I18</f>
        <v>0.34585394645573297</v>
      </c>
      <c r="J19" s="3"/>
      <c r="K19" s="3"/>
      <c r="L19" s="3"/>
      <c r="M19" s="3"/>
      <c r="N19" s="3"/>
    </row>
    <row r="20" spans="1:18" ht="12.75" customHeight="1" x14ac:dyDescent="0.3">
      <c r="A20" s="12">
        <f>'Kor&amp;U95% WVL'!B9</f>
        <v>417.78</v>
      </c>
      <c r="B20" s="161">
        <f>VLOOKUP(A20,'Kor&amp;U95% WVL'!$B$2:$F$15,3,FALSE)</f>
        <v>416</v>
      </c>
      <c r="C20" s="160">
        <f>VLOOKUP(A20,'Kor&amp;U95% WVL'!$B$2:$F$15,5,FALSE)</f>
        <v>0.58926646521228532</v>
      </c>
      <c r="D20" s="96"/>
      <c r="E20" s="3"/>
      <c r="H20" s="257" t="s">
        <v>341</v>
      </c>
      <c r="I20" s="249" t="str">
        <f>FIXED(I16,1) &amp; " ± "&amp;FIXED(I18,1)</f>
        <v>21,3 ± 0,0</v>
      </c>
      <c r="J20" s="3"/>
      <c r="K20" s="3"/>
      <c r="L20" s="3"/>
      <c r="M20" s="3"/>
      <c r="N20" s="3"/>
    </row>
    <row r="21" spans="1:18" ht="12.75" customHeight="1" x14ac:dyDescent="0.3">
      <c r="A21" s="12">
        <f>'Kor&amp;U95% WVL'!B10</f>
        <v>360.89</v>
      </c>
      <c r="B21" s="161">
        <f>VLOOKUP(A21,'Kor&amp;U95% WVL'!$B$2:$F$15,3,FALSE)</f>
        <v>359</v>
      </c>
      <c r="C21" s="160">
        <f>VLOOKUP(A21,'Kor&amp;U95% WVL'!$B$2:$F$15,5,FALSE)</f>
        <v>0.58926646521228532</v>
      </c>
      <c r="D21" s="3"/>
      <c r="E21" s="3"/>
      <c r="I21" s="3"/>
      <c r="J21" s="3"/>
      <c r="K21" s="3"/>
      <c r="L21" s="3"/>
      <c r="M21" s="3"/>
      <c r="N21" s="3"/>
    </row>
    <row r="22" spans="1:18" ht="12.75" customHeight="1" thickBot="1" x14ac:dyDescent="0.35">
      <c r="A22" s="13">
        <f>'Kor&amp;U95% WVL'!B11</f>
        <v>0</v>
      </c>
      <c r="B22" s="162" t="e">
        <f>VLOOKUP(A22,'Kor&amp;U95% WVL'!$B$2:$F$15,3,FALSE)</f>
        <v>#DIV/0!</v>
      </c>
      <c r="C22" s="176" t="e">
        <f>VLOOKUP(A22,'Kor&amp;U95% WVL'!$B$2:$F$15,5,FALSE)</f>
        <v>#DIV/0!</v>
      </c>
      <c r="D22" s="3"/>
      <c r="E22" s="3"/>
      <c r="I22" s="3"/>
      <c r="J22" s="3"/>
      <c r="K22" s="3"/>
      <c r="L22" s="3"/>
      <c r="M22" s="3"/>
      <c r="N22" s="3"/>
      <c r="O22" s="3"/>
      <c r="P22" s="3"/>
      <c r="Q22" s="3"/>
    </row>
    <row r="23" spans="1:18" ht="12.75" customHeight="1" thickBot="1" x14ac:dyDescent="0.35">
      <c r="A23" s="13">
        <f>'Kor&amp;U95% WVL'!B12</f>
        <v>0</v>
      </c>
      <c r="B23" s="162" t="e">
        <f>VLOOKUP(A23,'Kor&amp;U95% WVL'!$B$2:$F$15,3,FALSE)</f>
        <v>#DIV/0!</v>
      </c>
      <c r="C23" s="176" t="e">
        <f>VLOOKUP(A23,'Kor&amp;U95% WVL'!$B$2:$F$15,5,FALSE)</f>
        <v>#DIV/0!</v>
      </c>
      <c r="D23" s="3"/>
      <c r="E23" s="3"/>
      <c r="I23" s="3"/>
      <c r="J23" s="3"/>
      <c r="K23" s="3"/>
      <c r="L23" s="3"/>
      <c r="M23" s="3"/>
      <c r="N23" s="3"/>
      <c r="O23" s="3"/>
      <c r="P23" s="3"/>
      <c r="Q23" s="3"/>
    </row>
    <row r="24" spans="1:18" ht="12.75" customHeight="1" thickBot="1" x14ac:dyDescent="0.35">
      <c r="A24" s="13">
        <f>'Kor&amp;U95% WVL'!B13</f>
        <v>0</v>
      </c>
      <c r="B24" s="162" t="e">
        <f>VLOOKUP(A24,'Kor&amp;U95% WVL'!$B$2:$F$15,3,FALSE)</f>
        <v>#DIV/0!</v>
      </c>
      <c r="C24" s="176" t="e">
        <f>VLOOKUP(A24,'Kor&amp;U95% WVL'!$B$2:$F$15,5,FALSE)</f>
        <v>#DIV/0!</v>
      </c>
      <c r="D24" s="3"/>
      <c r="E24" s="3"/>
      <c r="I24" s="3"/>
      <c r="J24" s="3"/>
      <c r="K24" s="3"/>
      <c r="L24" s="3"/>
      <c r="M24" s="3"/>
      <c r="N24" s="3"/>
      <c r="O24" s="3"/>
      <c r="P24" s="3"/>
      <c r="Q24" s="3"/>
    </row>
    <row r="25" spans="1:18" ht="12.75" customHeight="1" thickBot="1" x14ac:dyDescent="0.35">
      <c r="A25" s="13">
        <f>'Kor&amp;U95% WVL'!B14</f>
        <v>0</v>
      </c>
      <c r="B25" s="162" t="e">
        <f>VLOOKUP(A25,'Kor&amp;U95% WVL'!$B$2:$F$15,3,FALSE)</f>
        <v>#DIV/0!</v>
      </c>
      <c r="C25" s="176" t="e">
        <f>VLOOKUP(A25,'Kor&amp;U95% WVL'!$B$2:$F$15,5,FALSE)</f>
        <v>#DIV/0!</v>
      </c>
      <c r="D25" s="3"/>
      <c r="E25" s="3"/>
      <c r="I25" s="3"/>
      <c r="J25" s="3"/>
      <c r="K25" s="3"/>
      <c r="L25" s="3"/>
      <c r="M25" s="3"/>
      <c r="N25" s="3"/>
      <c r="O25" s="3"/>
      <c r="P25" s="3"/>
      <c r="Q25" s="3"/>
    </row>
    <row r="26" spans="1:18" ht="12.75" customHeight="1" thickBot="1" x14ac:dyDescent="0.35">
      <c r="A26" s="13">
        <f>'Kor&amp;U95% WVL'!B15</f>
        <v>0</v>
      </c>
      <c r="B26" s="162" t="e">
        <f>VLOOKUP(A26,'Kor&amp;U95% WVL'!$B$2:$F$15,3,FALSE)</f>
        <v>#DIV/0!</v>
      </c>
      <c r="C26" s="176" t="e">
        <f>VLOOKUP(A26,'Kor&amp;U95% WVL'!$B$2:$F$15,5,FALSE)</f>
        <v>#DIV/0!</v>
      </c>
      <c r="D26" s="3"/>
      <c r="E26" s="3"/>
      <c r="I26" s="3"/>
      <c r="J26" s="3"/>
      <c r="K26" s="3"/>
      <c r="L26" s="3"/>
      <c r="M26" s="3"/>
      <c r="N26" s="3"/>
      <c r="O26" s="3"/>
      <c r="P26" s="3"/>
      <c r="Q26" s="3"/>
    </row>
    <row r="27" spans="1:18" ht="12.75" customHeight="1" x14ac:dyDescent="0.3">
      <c r="C27" s="14"/>
      <c r="D27" s="88"/>
      <c r="E27" s="3"/>
      <c r="F27" s="3"/>
      <c r="J27" s="3"/>
      <c r="K27" s="3"/>
      <c r="L27" s="3"/>
      <c r="M27" s="3"/>
      <c r="N27" s="3"/>
      <c r="O27" s="3"/>
      <c r="P27" s="3"/>
      <c r="Q27" s="3"/>
      <c r="R27" s="3"/>
    </row>
    <row r="28" spans="1:18" ht="12.75" customHeight="1" x14ac:dyDescent="0.3">
      <c r="A28" s="14"/>
      <c r="B28" s="15"/>
      <c r="C28" s="16"/>
      <c r="D28" s="17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</row>
    <row r="29" spans="1:18" ht="12.75" customHeight="1" x14ac:dyDescent="0.3">
      <c r="A29" s="9" t="s">
        <v>6</v>
      </c>
      <c r="B29" s="18"/>
      <c r="C29" s="19"/>
      <c r="D29" s="20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</row>
    <row r="30" spans="1:18" ht="12.75" customHeight="1" x14ac:dyDescent="0.3">
      <c r="A30" s="363" t="s">
        <v>7</v>
      </c>
      <c r="B30" s="363" t="s">
        <v>8</v>
      </c>
      <c r="C30" s="365" t="s">
        <v>9</v>
      </c>
      <c r="D30" s="366" t="s">
        <v>10</v>
      </c>
      <c r="E30" s="1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</row>
    <row r="31" spans="1:18" ht="12.75" customHeight="1" x14ac:dyDescent="0.3">
      <c r="A31" s="364"/>
      <c r="B31" s="364"/>
      <c r="C31" s="364"/>
      <c r="D31" s="364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</row>
    <row r="32" spans="1:18" ht="12.75" customHeight="1" x14ac:dyDescent="0.3">
      <c r="A32" s="364"/>
      <c r="B32" s="364"/>
      <c r="C32" s="364"/>
      <c r="D32" s="364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</row>
    <row r="33" spans="1:18" ht="12.75" customHeight="1" x14ac:dyDescent="0.3">
      <c r="A33" s="315" t="str">
        <f>'Kor&amp;U95% ABS'!A2</f>
        <v>1N</v>
      </c>
      <c r="B33" s="316">
        <f>'Kor&amp;U95% ABS'!C2</f>
        <v>1.0011000000000001</v>
      </c>
      <c r="C33" s="316">
        <f>VLOOKUP(B33,'Kor&amp;U95% ABS'!$C$2:$G$11,3,FALSE)</f>
        <v>0.99360000000000004</v>
      </c>
      <c r="D33" s="316">
        <f>VLOOKUP(B33,'Kor&amp;U95% ABS'!$C$2:$G$11,5,FALSE)</f>
        <v>2.7974438409576483E-3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</row>
    <row r="34" spans="1:18" ht="12.75" customHeight="1" x14ac:dyDescent="0.3">
      <c r="A34" s="315" t="str">
        <f>'Kor&amp;U95% ABS'!A3</f>
        <v>1N</v>
      </c>
      <c r="B34" s="316">
        <f>'Kor&amp;U95% ABS'!C3</f>
        <v>0.94420000000000004</v>
      </c>
      <c r="C34" s="316">
        <f>VLOOKUP(B34,'Kor&amp;U95% ABS'!$C$2:$G$11,3,FALSE)</f>
        <v>0.94100000000000006</v>
      </c>
      <c r="D34" s="316">
        <f>VLOOKUP(B34,'Kor&amp;U95% ABS'!$C$2:$G$11,5,FALSE)</f>
        <v>2.7567498200827623E-3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</row>
    <row r="35" spans="1:18" ht="12.75" customHeight="1" x14ac:dyDescent="0.3">
      <c r="A35" s="315" t="str">
        <f>'Kor&amp;U95% ABS'!A4</f>
        <v>1N</v>
      </c>
      <c r="B35" s="316">
        <f>'Kor&amp;U95% ABS'!C4</f>
        <v>0.99950000000000006</v>
      </c>
      <c r="C35" s="316">
        <f>VLOOKUP(B35,'Kor&amp;U95% ABS'!$C$2:$G$11,3,FALSE)</f>
        <v>0.99399999999999999</v>
      </c>
      <c r="D35" s="316">
        <f>VLOOKUP(B35,'Kor&amp;U95% ABS'!$C$2:$G$11,5,FALSE)</f>
        <v>2.7567498200827623E-3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</row>
    <row r="36" spans="1:18" ht="12.75" customHeight="1" x14ac:dyDescent="0.3">
      <c r="A36" s="315" t="str">
        <f>'Kor&amp;U95% ABS'!A5</f>
        <v>1N</v>
      </c>
      <c r="B36" s="316">
        <f>'Kor&amp;U95% ABS'!C5</f>
        <v>1.111</v>
      </c>
      <c r="C36" s="316">
        <f>VLOOKUP(B36,'Kor&amp;U95% ABS'!$C$2:$G$11,3,FALSE)</f>
        <v>1.1080000000000001</v>
      </c>
      <c r="D36" s="316">
        <f>VLOOKUP(B36,'Kor&amp;U95% ABS'!$C$2:$G$11,5,FALSE)</f>
        <v>2.7567498200827623E-3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</row>
    <row r="37" spans="1:18" ht="12.75" customHeight="1" x14ac:dyDescent="0.3">
      <c r="A37" s="315" t="str">
        <f>'Kor&amp;U95% ABS'!A6</f>
        <v>1N</v>
      </c>
      <c r="B37" s="316">
        <f>'Kor&amp;U95% ABS'!C6</f>
        <v>1.0968</v>
      </c>
      <c r="C37" s="316">
        <f>VLOOKUP(B37,'Kor&amp;U95% ABS'!$C$2:$G$11,3,FALSE)</f>
        <v>1.093</v>
      </c>
      <c r="D37" s="316">
        <f>VLOOKUP(B37,'Kor&amp;U95% ABS'!$C$2:$G$11,5,FALSE)</f>
        <v>2.7567498200827623E-3</v>
      </c>
      <c r="E37" s="1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</row>
    <row r="38" spans="1:18" ht="12.75" customHeight="1" x14ac:dyDescent="0.3">
      <c r="A38" s="315" t="str">
        <f>'Kor&amp;U95% ABS'!A7</f>
        <v xml:space="preserve">Null </v>
      </c>
      <c r="B38" s="316">
        <f>'Kor&amp;U95% ABS'!C7</f>
        <v>0</v>
      </c>
      <c r="C38" s="316" t="e">
        <f>VLOOKUP(B38,'Kor&amp;U95% ABS'!$C$2:$G$11,3,FALSE)</f>
        <v>#DIV/0!</v>
      </c>
      <c r="D38" s="316" t="e">
        <f>VLOOKUP(B38,'Kor&amp;U95% ABS'!$C$2:$G$11,5,FALSE)</f>
        <v>#DIV/0!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</row>
    <row r="39" spans="1:18" ht="12.75" customHeight="1" x14ac:dyDescent="0.3">
      <c r="A39" s="315" t="str">
        <f>'Kor&amp;U95% ABS'!A8</f>
        <v xml:space="preserve">Null </v>
      </c>
      <c r="B39" s="316">
        <f>'Kor&amp;U95% ABS'!C8</f>
        <v>0</v>
      </c>
      <c r="C39" s="316" t="e">
        <f>VLOOKUP(B39,'Kor&amp;U95% ABS'!$C$2:$G$11,3,FALSE)</f>
        <v>#DIV/0!</v>
      </c>
      <c r="D39" s="316" t="e">
        <f>VLOOKUP(B39,'Kor&amp;U95% ABS'!$C$2:$G$11,5,FALSE)</f>
        <v>#DIV/0!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</row>
    <row r="40" spans="1:18" ht="12.75" customHeight="1" x14ac:dyDescent="0.3">
      <c r="A40" s="315" t="str">
        <f>'Kor&amp;U95% ABS'!A9</f>
        <v xml:space="preserve">Null </v>
      </c>
      <c r="B40" s="316">
        <f>'Kor&amp;U95% ABS'!C9</f>
        <v>0</v>
      </c>
      <c r="C40" s="316" t="e">
        <f>VLOOKUP(B40,'Kor&amp;U95% ABS'!$C$2:$G$11,3,FALSE)</f>
        <v>#DIV/0!</v>
      </c>
      <c r="D40" s="316" t="e">
        <f>VLOOKUP(B40,'Kor&amp;U95% ABS'!$C$2:$G$11,5,FALSE)</f>
        <v>#DIV/0!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</row>
    <row r="41" spans="1:18" ht="12.75" customHeight="1" x14ac:dyDescent="0.3">
      <c r="A41" s="315" t="str">
        <f>'Kor&amp;U95% ABS'!A10</f>
        <v xml:space="preserve">Null </v>
      </c>
      <c r="B41" s="316">
        <f>'Kor&amp;U95% ABS'!C10</f>
        <v>0</v>
      </c>
      <c r="C41" s="316" t="e">
        <f>VLOOKUP(B41,'Kor&amp;U95% ABS'!$C$2:$G$11,3,FALSE)</f>
        <v>#DIV/0!</v>
      </c>
      <c r="D41" s="316" t="e">
        <f>VLOOKUP(B41,'Kor&amp;U95% ABS'!$C$2:$G$11,5,FALSE)</f>
        <v>#DIV/0!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</row>
    <row r="42" spans="1:18" ht="12.75" customHeight="1" x14ac:dyDescent="0.3">
      <c r="A42" s="315" t="str">
        <f>'Kor&amp;U95% ABS'!A11</f>
        <v xml:space="preserve">Null </v>
      </c>
      <c r="B42" s="316">
        <f>'Kor&amp;U95% ABS'!C11</f>
        <v>0</v>
      </c>
      <c r="C42" s="316" t="e">
        <f>VLOOKUP(B42,'Kor&amp;U95% ABS'!$C$2:$G$11,3,FALSE)</f>
        <v>#DIV/0!</v>
      </c>
      <c r="D42" s="316" t="e">
        <f>VLOOKUP(B42,'Kor&amp;U95% ABS'!$C$2:$G$11,5,FALSE)</f>
        <v>#DIV/0!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</row>
    <row r="43" spans="1:18" ht="12.75" customHeight="1" x14ac:dyDescent="0.3">
      <c r="A43" s="9"/>
      <c r="B43" s="22"/>
      <c r="C43" s="22"/>
      <c r="D43" s="9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</row>
    <row r="44" spans="1:18" ht="12.75" customHeight="1" thickBot="1" x14ac:dyDescent="0.35">
      <c r="A44" s="9"/>
      <c r="B44" s="9"/>
      <c r="C44" s="23"/>
      <c r="D44" s="24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</row>
    <row r="45" spans="1:18" ht="12.75" customHeight="1" x14ac:dyDescent="0.3">
      <c r="A45" s="363" t="s">
        <v>7</v>
      </c>
      <c r="B45" s="363" t="s">
        <v>8</v>
      </c>
      <c r="C45" s="368" t="s">
        <v>9</v>
      </c>
      <c r="D45" s="361" t="s">
        <v>330</v>
      </c>
      <c r="E45" s="1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</row>
    <row r="46" spans="1:18" ht="12.75" customHeight="1" x14ac:dyDescent="0.3">
      <c r="A46" s="364"/>
      <c r="B46" s="364"/>
      <c r="C46" s="369"/>
      <c r="D46" s="362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</row>
    <row r="47" spans="1:18" ht="12.75" customHeight="1" thickBot="1" x14ac:dyDescent="0.35">
      <c r="A47" s="367"/>
      <c r="B47" s="367"/>
      <c r="C47" s="370"/>
      <c r="D47" s="362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</row>
    <row r="48" spans="1:18" ht="12.75" customHeight="1" x14ac:dyDescent="0.3">
      <c r="A48" s="173">
        <f>Database!C53</f>
        <v>440</v>
      </c>
      <c r="B48" s="235">
        <f>Data!D65</f>
        <v>1.0011000000000001</v>
      </c>
      <c r="C48" s="239">
        <f>AVERAGE(Data!F65:J65)</f>
        <v>0.99360000000000004</v>
      </c>
      <c r="D48" s="243">
        <f>B48-C48</f>
        <v>7.5000000000000622E-3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</row>
    <row r="49" spans="1:18" ht="12.75" customHeight="1" x14ac:dyDescent="0.3">
      <c r="A49" s="236"/>
      <c r="B49" s="174">
        <f>Data!D70</f>
        <v>0.70269999999999999</v>
      </c>
      <c r="C49" s="240">
        <f>AVERAGE(Data!F70:J70)</f>
        <v>0.69499999999999995</v>
      </c>
      <c r="D49" s="243">
        <f t="shared" ref="D49:D62" si="0">B49-C49</f>
        <v>7.7000000000000401E-3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</row>
    <row r="50" spans="1:18" ht="12.75" customHeight="1" x14ac:dyDescent="0.3">
      <c r="A50" s="236"/>
      <c r="B50" s="174">
        <f>Data!D75</f>
        <v>0.56130000000000002</v>
      </c>
      <c r="C50" s="240">
        <f>AVERAGE(Data!F75:J75)</f>
        <v>0.55300000000000005</v>
      </c>
      <c r="D50" s="243">
        <f t="shared" si="0"/>
        <v>8.2999999999999741E-3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</row>
    <row r="51" spans="1:18" ht="12.75" customHeight="1" x14ac:dyDescent="0.3">
      <c r="A51" s="236">
        <f>Database!C54</f>
        <v>465</v>
      </c>
      <c r="B51" s="174">
        <f>Data!D66</f>
        <v>0.94420000000000004</v>
      </c>
      <c r="C51" s="240">
        <f>AVERAGE(Data!F66:J66)</f>
        <v>0.94100000000000006</v>
      </c>
      <c r="D51" s="243">
        <f t="shared" si="0"/>
        <v>3.1999999999999806E-3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</row>
    <row r="52" spans="1:18" ht="12.75" customHeight="1" x14ac:dyDescent="0.3">
      <c r="A52" s="236"/>
      <c r="B52" s="174">
        <f>Data!D71</f>
        <v>0.66379999999999995</v>
      </c>
      <c r="C52" s="240">
        <f>AVERAGE(Data!F71:J71)</f>
        <v>0.65900000000000003</v>
      </c>
      <c r="D52" s="243">
        <f t="shared" si="0"/>
        <v>4.7999999999999154E-3</v>
      </c>
      <c r="E52" s="1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</row>
    <row r="53" spans="1:18" ht="12.75" customHeight="1" x14ac:dyDescent="0.3">
      <c r="A53" s="197"/>
      <c r="B53" s="21">
        <f>Data!D76</f>
        <v>0.52370000000000005</v>
      </c>
      <c r="C53" s="240">
        <f>AVERAGE(Data!F76:J76)</f>
        <v>0.51700000000000002</v>
      </c>
      <c r="D53" s="243">
        <f t="shared" si="0"/>
        <v>6.7000000000000393E-3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</row>
    <row r="54" spans="1:18" ht="12.75" customHeight="1" x14ac:dyDescent="0.3">
      <c r="A54" s="237">
        <f>Database!C55</f>
        <v>546</v>
      </c>
      <c r="B54" s="237">
        <f>Data!D67</f>
        <v>0.99950000000000006</v>
      </c>
      <c r="C54" s="241">
        <f>AVERAGE(Data!F67:J67)</f>
        <v>0.99399999999999999</v>
      </c>
      <c r="D54" s="243">
        <f t="shared" si="0"/>
        <v>5.5000000000000604E-3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</row>
    <row r="55" spans="1:18" ht="12.75" customHeight="1" x14ac:dyDescent="0.3">
      <c r="A55" s="237"/>
      <c r="B55" s="237">
        <f>Data!D72</f>
        <v>0.70050000000000001</v>
      </c>
      <c r="C55" s="241">
        <f>AVERAGE(Data!F72:J72)</f>
        <v>0.69399999999999995</v>
      </c>
      <c r="D55" s="243">
        <f t="shared" si="0"/>
        <v>6.5000000000000613E-3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</row>
    <row r="56" spans="1:18" ht="12.75" customHeight="1" x14ac:dyDescent="0.3">
      <c r="A56" s="237"/>
      <c r="B56" s="237">
        <f>Data!D77</f>
        <v>0.52529999999999999</v>
      </c>
      <c r="C56" s="241">
        <f>AVERAGE(Data!F77:J77)</f>
        <v>0.51880000000000004</v>
      </c>
      <c r="D56" s="243">
        <f t="shared" si="0"/>
        <v>6.4999999999999503E-3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</row>
    <row r="57" spans="1:18" ht="12.75" customHeight="1" x14ac:dyDescent="0.3">
      <c r="A57" s="237">
        <f>Database!C56</f>
        <v>590</v>
      </c>
      <c r="B57" s="237">
        <f>Data!D68</f>
        <v>1.111</v>
      </c>
      <c r="C57" s="241">
        <f>AVERAGE(Data!F68:J68)</f>
        <v>1.1080000000000001</v>
      </c>
      <c r="D57" s="243">
        <f t="shared" si="0"/>
        <v>2.9999999999998916E-3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</row>
    <row r="58" spans="1:18" ht="12.75" customHeight="1" x14ac:dyDescent="0.3">
      <c r="A58" s="237"/>
      <c r="B58" s="237">
        <f>Data!D73</f>
        <v>0.77600000000000002</v>
      </c>
      <c r="C58" s="241">
        <f>AVERAGE(Data!F73:J73)</f>
        <v>0.77200000000000002</v>
      </c>
      <c r="D58" s="243">
        <f t="shared" si="0"/>
        <v>4.0000000000000036E-3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</row>
    <row r="59" spans="1:18" ht="12.75" customHeight="1" x14ac:dyDescent="0.3">
      <c r="A59" s="237"/>
      <c r="B59" s="237">
        <f>Data!D78</f>
        <v>0.5595</v>
      </c>
      <c r="C59" s="241">
        <f>AVERAGE(Data!F78:J78)</f>
        <v>0.55400000000000005</v>
      </c>
      <c r="D59" s="243">
        <f t="shared" si="0"/>
        <v>5.4999999999999494E-3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</row>
    <row r="60" spans="1:18" ht="12.75" customHeight="1" x14ac:dyDescent="0.3">
      <c r="A60" s="237">
        <f>Database!C57</f>
        <v>635</v>
      </c>
      <c r="B60" s="237">
        <f>Data!D69</f>
        <v>1.0968</v>
      </c>
      <c r="C60" s="241">
        <f>AVERAGE(Data!F69:J69)</f>
        <v>1.093</v>
      </c>
      <c r="D60" s="243">
        <f t="shared" si="0"/>
        <v>3.8000000000000256E-3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</row>
    <row r="61" spans="1:18" ht="12.75" customHeight="1" x14ac:dyDescent="0.3">
      <c r="A61" s="237"/>
      <c r="B61" s="237">
        <f>Data!D74</f>
        <v>0.76559999999999995</v>
      </c>
      <c r="C61" s="241">
        <f>AVERAGE(Data!F74:J74)</f>
        <v>0.76</v>
      </c>
      <c r="D61" s="243">
        <f t="shared" si="0"/>
        <v>5.5999999999999384E-3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</row>
    <row r="62" spans="1:18" ht="12.75" customHeight="1" x14ac:dyDescent="0.3">
      <c r="A62" s="219"/>
      <c r="B62" s="238">
        <f>Data!D79</f>
        <v>0.56710000000000005</v>
      </c>
      <c r="C62" s="242">
        <f>AVERAGE(Data!F79:J79)</f>
        <v>0.56200000000000006</v>
      </c>
      <c r="D62" s="243">
        <f t="shared" si="0"/>
        <v>5.0999999999999934E-3</v>
      </c>
      <c r="E62" s="1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</row>
    <row r="63" spans="1:18" ht="12.75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</row>
    <row r="64" spans="1:18" ht="12.75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</row>
    <row r="65" spans="1:18" ht="12.75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</row>
    <row r="66" spans="1:18" ht="12.75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</row>
    <row r="67" spans="1:18" ht="12.75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</row>
    <row r="68" spans="1:18" ht="12.75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</row>
    <row r="69" spans="1:18" ht="12.75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</row>
    <row r="70" spans="1:18" ht="12.75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</row>
    <row r="71" spans="1:18" ht="12.75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</row>
    <row r="72" spans="1:18" ht="12.75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</row>
    <row r="73" spans="1:18" ht="12.75" customHeight="1" x14ac:dyDescent="0.3">
      <c r="A73" s="3"/>
      <c r="B73" s="3"/>
      <c r="C73" s="3"/>
      <c r="D73" s="3"/>
      <c r="E73" s="1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</row>
    <row r="74" spans="1:18" ht="12.75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</row>
    <row r="75" spans="1:18" ht="14.25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</row>
    <row r="76" spans="1:18" ht="12.75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</row>
    <row r="77" spans="1:18" ht="12.75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</row>
    <row r="78" spans="1:18" ht="12.75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</row>
    <row r="79" spans="1:18" ht="12.75" customHeight="1" x14ac:dyDescent="0.3">
      <c r="A79" s="3"/>
      <c r="B79" s="3"/>
      <c r="C79" s="3"/>
      <c r="D79" s="3"/>
      <c r="E79" s="1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</row>
    <row r="80" spans="1:18" ht="15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</row>
    <row r="81" spans="1:18" ht="15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</row>
    <row r="82" spans="1:18" ht="12.75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</row>
    <row r="83" spans="1:18" ht="12.75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</row>
    <row r="84" spans="1:18" ht="12.75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</row>
    <row r="85" spans="1:18" ht="12.75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</row>
    <row r="86" spans="1:18" ht="12.75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</row>
    <row r="87" spans="1:18" ht="12.75" customHeight="1" x14ac:dyDescent="0.3">
      <c r="A87" s="3"/>
      <c r="B87" s="3"/>
      <c r="C87" s="3"/>
      <c r="D87" s="3"/>
      <c r="E87" s="1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</row>
    <row r="88" spans="1:18" ht="15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</row>
    <row r="89" spans="1:18" ht="15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</row>
    <row r="90" spans="1:18" ht="12.75" customHeight="1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</row>
    <row r="91" spans="1:18" ht="12.75" customHeight="1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</row>
    <row r="92" spans="1:18" ht="12.75" customHeight="1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</row>
    <row r="93" spans="1:18" ht="12.75" customHeight="1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</row>
    <row r="94" spans="1:18" ht="12.75" customHeight="1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</row>
    <row r="95" spans="1:18" ht="12.75" customHeight="1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</row>
    <row r="96" spans="1:18" ht="12.75" customHeight="1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</row>
    <row r="97" spans="1:18" ht="12.75" customHeight="1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</row>
    <row r="98" spans="1:18" ht="12.75" customHeight="1" x14ac:dyDescent="0.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</row>
    <row r="99" spans="1:18" ht="12.75" customHeight="1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</row>
    <row r="100" spans="1:18" ht="12.75" customHeight="1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</row>
    <row r="101" spans="1:18" ht="12.75" customHeight="1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</row>
    <row r="102" spans="1:18" ht="12.75" customHeight="1" x14ac:dyDescent="0.3">
      <c r="A102" s="7"/>
      <c r="B102" s="7"/>
      <c r="C102" s="7"/>
      <c r="D102" s="7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</row>
    <row r="103" spans="1:18" ht="12.75" customHeight="1" x14ac:dyDescent="0.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</row>
    <row r="104" spans="1:18" ht="12.75" customHeight="1" x14ac:dyDescent="0.3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</row>
    <row r="105" spans="1:18" ht="12.75" customHeight="1" x14ac:dyDescent="0.3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</row>
    <row r="106" spans="1:18" ht="12.75" customHeight="1" x14ac:dyDescent="0.3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</row>
    <row r="107" spans="1:18" ht="12.75" customHeight="1" x14ac:dyDescent="0.3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</row>
    <row r="108" spans="1:18" ht="12.75" customHeight="1" x14ac:dyDescent="0.3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</row>
    <row r="109" spans="1:18" ht="12.75" customHeight="1" x14ac:dyDescent="0.3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</row>
    <row r="110" spans="1:18" ht="12.75" customHeight="1" x14ac:dyDescent="0.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</row>
    <row r="111" spans="1:18" ht="12.75" customHeight="1" x14ac:dyDescent="0.3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</row>
    <row r="112" spans="1:18" ht="12.75" customHeight="1" x14ac:dyDescent="0.3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</row>
    <row r="113" spans="1:18" ht="12.75" customHeight="1" x14ac:dyDescent="0.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</row>
    <row r="114" spans="1:18" ht="12.75" customHeight="1" x14ac:dyDescent="0.3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</row>
    <row r="115" spans="1:18" ht="12.75" customHeight="1" x14ac:dyDescent="0.3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</row>
    <row r="116" spans="1:18" ht="12.75" customHeight="1" x14ac:dyDescent="0.3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</row>
    <row r="117" spans="1:18" ht="12.75" customHeight="1" x14ac:dyDescent="0.3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</row>
    <row r="118" spans="1:18" ht="12.75" customHeight="1" x14ac:dyDescent="0.3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</row>
    <row r="119" spans="1:18" ht="12.75" customHeight="1" x14ac:dyDescent="0.3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</row>
    <row r="120" spans="1:18" ht="12.75" customHeight="1" x14ac:dyDescent="0.3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</row>
    <row r="121" spans="1:18" ht="12.75" customHeight="1" x14ac:dyDescent="0.3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</row>
    <row r="122" spans="1:18" ht="12.75" customHeight="1" x14ac:dyDescent="0.3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</row>
    <row r="123" spans="1:18" ht="12.75" customHeight="1" x14ac:dyDescent="0.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</row>
    <row r="124" spans="1:18" ht="12.75" customHeight="1" x14ac:dyDescent="0.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</row>
    <row r="125" spans="1:18" ht="12.75" customHeight="1" x14ac:dyDescent="0.3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</row>
    <row r="126" spans="1:18" ht="12.75" customHeight="1" x14ac:dyDescent="0.3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</row>
    <row r="127" spans="1:18" ht="12.75" customHeight="1" x14ac:dyDescent="0.3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</row>
    <row r="128" spans="1:18" ht="12.75" customHeight="1" x14ac:dyDescent="0.3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</row>
    <row r="129" spans="1:18" ht="12.75" customHeight="1" x14ac:dyDescent="0.3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</row>
    <row r="130" spans="1:18" ht="12.75" customHeight="1" x14ac:dyDescent="0.3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</row>
    <row r="131" spans="1:18" ht="12.75" customHeight="1" x14ac:dyDescent="0.3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</row>
    <row r="132" spans="1:18" ht="12.75" customHeight="1" x14ac:dyDescent="0.3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</row>
    <row r="133" spans="1:18" ht="12.75" customHeight="1" x14ac:dyDescent="0.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</row>
    <row r="134" spans="1:18" ht="12.75" customHeight="1" x14ac:dyDescent="0.3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</row>
    <row r="135" spans="1:18" ht="12.75" customHeight="1" x14ac:dyDescent="0.3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</row>
    <row r="136" spans="1:18" ht="12.75" customHeight="1" x14ac:dyDescent="0.3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</row>
    <row r="137" spans="1:18" ht="12.75" customHeight="1" x14ac:dyDescent="0.3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</row>
    <row r="138" spans="1:18" ht="12.75" customHeight="1" x14ac:dyDescent="0.3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</row>
    <row r="139" spans="1:18" ht="12.75" customHeight="1" x14ac:dyDescent="0.3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</row>
    <row r="140" spans="1:18" ht="12.75" customHeight="1" x14ac:dyDescent="0.3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</row>
    <row r="141" spans="1:18" ht="12.75" customHeight="1" x14ac:dyDescent="0.3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</row>
    <row r="142" spans="1:18" ht="12.75" customHeight="1" x14ac:dyDescent="0.3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</row>
    <row r="143" spans="1:18" ht="12.75" customHeight="1" x14ac:dyDescent="0.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</row>
    <row r="144" spans="1:18" ht="12.75" customHeight="1" x14ac:dyDescent="0.3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</row>
    <row r="145" spans="1:18" ht="12.75" customHeight="1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</row>
    <row r="146" spans="1:18" ht="12.75" customHeight="1" x14ac:dyDescent="0.3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</row>
    <row r="147" spans="1:18" ht="12.75" customHeight="1" x14ac:dyDescent="0.3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</row>
    <row r="148" spans="1:18" ht="12.75" customHeight="1" x14ac:dyDescent="0.3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</row>
    <row r="149" spans="1:18" ht="12.75" customHeight="1" x14ac:dyDescent="0.3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</row>
    <row r="150" spans="1:18" ht="12.75" customHeight="1" x14ac:dyDescent="0.3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</row>
    <row r="151" spans="1:18" ht="12.75" customHeight="1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</row>
    <row r="152" spans="1:18" ht="12.75" customHeight="1" x14ac:dyDescent="0.3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</row>
    <row r="153" spans="1:18" ht="12.75" customHeight="1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</row>
    <row r="154" spans="1:18" ht="12.75" customHeight="1" x14ac:dyDescent="0.3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</row>
    <row r="155" spans="1:18" ht="12.75" customHeight="1" x14ac:dyDescent="0.3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</row>
    <row r="156" spans="1:18" ht="12.75" customHeight="1" x14ac:dyDescent="0.3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</row>
    <row r="157" spans="1:18" ht="12.75" customHeight="1" x14ac:dyDescent="0.3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</row>
    <row r="158" spans="1:18" ht="12.75" customHeight="1" x14ac:dyDescent="0.3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</row>
    <row r="159" spans="1:18" ht="12.75" customHeight="1" x14ac:dyDescent="0.3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</row>
    <row r="160" spans="1:18" ht="12.75" customHeight="1" x14ac:dyDescent="0.3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</row>
    <row r="161" spans="1:18" ht="12.75" customHeight="1" x14ac:dyDescent="0.3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</row>
    <row r="162" spans="1:18" ht="12.75" customHeight="1" x14ac:dyDescent="0.3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</row>
    <row r="163" spans="1:18" ht="12.75" customHeight="1" x14ac:dyDescent="0.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</row>
    <row r="164" spans="1:18" ht="12.75" customHeight="1" x14ac:dyDescent="0.3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</row>
    <row r="165" spans="1:18" ht="12.75" customHeight="1" x14ac:dyDescent="0.3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</row>
    <row r="166" spans="1:18" ht="12.75" customHeight="1" x14ac:dyDescent="0.3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</row>
    <row r="167" spans="1:18" ht="12.75" customHeight="1" x14ac:dyDescent="0.3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</row>
    <row r="168" spans="1:18" ht="12.75" customHeight="1" x14ac:dyDescent="0.3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</row>
    <row r="169" spans="1:18" ht="12.75" customHeight="1" x14ac:dyDescent="0.3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</row>
    <row r="170" spans="1:18" ht="12.75" customHeight="1" x14ac:dyDescent="0.3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</row>
    <row r="171" spans="1:18" ht="12.75" customHeight="1" x14ac:dyDescent="0.3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</row>
    <row r="172" spans="1:18" ht="12.75" customHeight="1" x14ac:dyDescent="0.3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</row>
    <row r="173" spans="1:18" ht="12.75" customHeight="1" x14ac:dyDescent="0.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</row>
    <row r="174" spans="1:18" ht="12.75" customHeight="1" x14ac:dyDescent="0.3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</row>
    <row r="175" spans="1:18" ht="12.75" customHeight="1" x14ac:dyDescent="0.3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</row>
    <row r="176" spans="1:18" ht="12.75" customHeight="1" x14ac:dyDescent="0.3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</row>
    <row r="177" spans="1:18" ht="12.75" customHeight="1" x14ac:dyDescent="0.3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</row>
    <row r="178" spans="1:18" ht="12.75" customHeight="1" x14ac:dyDescent="0.3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</row>
    <row r="179" spans="1:18" ht="12.75" customHeight="1" x14ac:dyDescent="0.3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</row>
    <row r="180" spans="1:18" ht="12.75" customHeight="1" x14ac:dyDescent="0.3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</row>
    <row r="181" spans="1:18" ht="12.75" customHeight="1" x14ac:dyDescent="0.3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</row>
    <row r="182" spans="1:18" ht="12.75" customHeight="1" x14ac:dyDescent="0.3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</row>
    <row r="183" spans="1:18" ht="12.75" customHeight="1" x14ac:dyDescent="0.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</row>
    <row r="184" spans="1:18" ht="12.75" customHeight="1" x14ac:dyDescent="0.3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</row>
    <row r="185" spans="1:18" ht="12.75" customHeight="1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</row>
    <row r="186" spans="1:18" ht="12.75" customHeight="1" x14ac:dyDescent="0.3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</row>
    <row r="187" spans="1:18" ht="12.75" customHeight="1" x14ac:dyDescent="0.3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</row>
    <row r="188" spans="1:18" ht="12.75" customHeight="1" x14ac:dyDescent="0.3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</row>
    <row r="189" spans="1:18" ht="12.75" customHeight="1" x14ac:dyDescent="0.3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</row>
    <row r="190" spans="1:18" ht="12.75" customHeight="1" x14ac:dyDescent="0.3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</row>
    <row r="191" spans="1:18" ht="12.75" customHeight="1" x14ac:dyDescent="0.3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</row>
    <row r="192" spans="1:18" ht="12.75" customHeight="1" x14ac:dyDescent="0.3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</row>
    <row r="193" spans="1:18" ht="12.75" customHeight="1" x14ac:dyDescent="0.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</row>
    <row r="194" spans="1:18" ht="12.75" customHeight="1" x14ac:dyDescent="0.3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</row>
    <row r="195" spans="1:18" ht="12.75" customHeight="1" x14ac:dyDescent="0.3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</row>
    <row r="196" spans="1:18" ht="12.75" customHeight="1" x14ac:dyDescent="0.3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</row>
    <row r="197" spans="1:18" ht="12.75" customHeight="1" x14ac:dyDescent="0.3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</row>
    <row r="198" spans="1:18" ht="12.75" customHeight="1" x14ac:dyDescent="0.3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</row>
    <row r="199" spans="1:18" ht="12.75" customHeight="1" x14ac:dyDescent="0.3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</row>
    <row r="200" spans="1:18" ht="12.75" customHeight="1" x14ac:dyDescent="0.3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</row>
    <row r="201" spans="1:18" ht="12.75" customHeight="1" x14ac:dyDescent="0.3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</row>
    <row r="202" spans="1:18" ht="12.75" customHeight="1" x14ac:dyDescent="0.3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</row>
    <row r="203" spans="1:18" ht="12.75" customHeight="1" x14ac:dyDescent="0.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</row>
    <row r="204" spans="1:18" ht="12.75" customHeight="1" x14ac:dyDescent="0.3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</row>
    <row r="205" spans="1:18" ht="12.75" customHeight="1" x14ac:dyDescent="0.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</row>
    <row r="206" spans="1:18" ht="12.75" customHeight="1" x14ac:dyDescent="0.3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</row>
    <row r="207" spans="1:18" ht="12.75" customHeight="1" x14ac:dyDescent="0.3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</row>
    <row r="208" spans="1:18" ht="12.75" customHeight="1" x14ac:dyDescent="0.3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</row>
    <row r="209" spans="1:18" ht="12.75" customHeight="1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</row>
    <row r="210" spans="1:18" ht="12.75" customHeight="1" x14ac:dyDescent="0.3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</row>
    <row r="211" spans="1:18" ht="12.75" customHeight="1" x14ac:dyDescent="0.3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</row>
    <row r="212" spans="1:18" ht="12.75" customHeight="1" x14ac:dyDescent="0.3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</row>
    <row r="213" spans="1:18" ht="12.75" customHeight="1" x14ac:dyDescent="0.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</row>
    <row r="214" spans="1:18" ht="12.75" customHeight="1" x14ac:dyDescent="0.3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</row>
    <row r="215" spans="1:18" ht="12.75" customHeight="1" x14ac:dyDescent="0.3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</row>
    <row r="216" spans="1:18" ht="12.75" customHeight="1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</row>
    <row r="217" spans="1:18" ht="12.7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</row>
    <row r="218" spans="1:18" ht="12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</row>
    <row r="219" spans="1:18" ht="12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</row>
    <row r="220" spans="1:18" ht="12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</row>
    <row r="221" spans="1:18" ht="12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</row>
    <row r="222" spans="1:18" ht="12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</row>
    <row r="223" spans="1:18" ht="12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</row>
    <row r="224" spans="1:18" ht="12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</row>
    <row r="225" spans="1:18" ht="12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</row>
    <row r="226" spans="1:18" ht="12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</row>
    <row r="227" spans="1:18" ht="12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</row>
    <row r="228" spans="1:18" ht="12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</row>
    <row r="229" spans="1:18" ht="12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</row>
    <row r="230" spans="1:18" ht="12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</row>
    <row r="231" spans="1:18" ht="12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</row>
    <row r="232" spans="1:18" ht="12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</row>
    <row r="233" spans="1:18" ht="12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</row>
    <row r="234" spans="1:18" ht="12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</row>
    <row r="235" spans="1:18" ht="15.75" customHeight="1" x14ac:dyDescent="0.3"/>
    <row r="236" spans="1:18" ht="15.75" customHeight="1" x14ac:dyDescent="0.3"/>
    <row r="237" spans="1:18" ht="15.75" customHeight="1" x14ac:dyDescent="0.3"/>
    <row r="238" spans="1:18" ht="15.75" customHeight="1" x14ac:dyDescent="0.3"/>
    <row r="239" spans="1:18" ht="15.75" customHeight="1" x14ac:dyDescent="0.3"/>
    <row r="240" spans="1:18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</sheetData>
  <mergeCells count="11">
    <mergeCell ref="A10:A12"/>
    <mergeCell ref="B10:B12"/>
    <mergeCell ref="C10:C12"/>
    <mergeCell ref="A45:A47"/>
    <mergeCell ref="B45:B47"/>
    <mergeCell ref="C45:C47"/>
    <mergeCell ref="D45:D47"/>
    <mergeCell ref="A30:A32"/>
    <mergeCell ref="B30:B32"/>
    <mergeCell ref="C30:C32"/>
    <mergeCell ref="D30:D32"/>
  </mergeCells>
  <pageMargins left="0.25" right="0.25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1:A1000"/>
  <sheetViews>
    <sheetView zoomScale="115" zoomScaleNormal="115" workbookViewId="0"/>
  </sheetViews>
  <sheetFormatPr defaultColWidth="14.44140625" defaultRowHeight="15" customHeight="1" x14ac:dyDescent="0.3"/>
  <cols>
    <col min="1" max="27" width="8.77734375" customWidth="1"/>
  </cols>
  <sheetData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19401-7B44-43C0-AD48-4BFA47B7C59F}">
  <sheetPr>
    <tabColor rgb="FFFFC000"/>
  </sheetPr>
  <dimension ref="A7:L156"/>
  <sheetViews>
    <sheetView view="pageBreakPreview" topLeftCell="A84" zoomScale="91" zoomScaleNormal="100" zoomScaleSheetLayoutView="91" zoomScalePageLayoutView="85" workbookViewId="0">
      <selection activeCell="H59" sqref="H59"/>
    </sheetView>
  </sheetViews>
  <sheetFormatPr defaultColWidth="9.109375" defaultRowHeight="14.4" x14ac:dyDescent="0.3"/>
  <cols>
    <col min="1" max="1" width="11.77734375" style="134" customWidth="1"/>
    <col min="2" max="2" width="9.109375" style="134" customWidth="1"/>
    <col min="3" max="3" width="9.5546875" style="134" customWidth="1"/>
    <col min="4" max="4" width="7.88671875" style="134" customWidth="1"/>
    <col min="5" max="5" width="8.88671875" style="134" customWidth="1"/>
    <col min="6" max="6" width="9.88671875" style="134" customWidth="1"/>
    <col min="7" max="7" width="9.109375" style="134" customWidth="1"/>
    <col min="8" max="8" width="8.5546875" style="134" customWidth="1"/>
    <col min="9" max="9" width="7.88671875" style="134" customWidth="1"/>
    <col min="10" max="10" width="9.109375" style="134"/>
    <col min="11" max="11" width="9.21875" style="134" customWidth="1"/>
    <col min="12" max="12" width="3.6640625" style="134" customWidth="1"/>
    <col min="13" max="16384" width="9.109375" style="134"/>
  </cols>
  <sheetData>
    <row r="7" spans="1:12" ht="22.8" x14ac:dyDescent="0.3">
      <c r="A7" s="397" t="s">
        <v>260</v>
      </c>
      <c r="B7" s="397"/>
      <c r="C7" s="397"/>
      <c r="D7" s="397"/>
      <c r="E7" s="397"/>
      <c r="F7" s="397"/>
      <c r="G7" s="397"/>
      <c r="H7" s="397"/>
      <c r="I7" s="397"/>
      <c r="J7" s="397"/>
      <c r="K7" s="397"/>
      <c r="L7" s="397"/>
    </row>
    <row r="8" spans="1:12" ht="18" x14ac:dyDescent="0.3">
      <c r="A8" s="398" t="s">
        <v>261</v>
      </c>
      <c r="B8" s="398"/>
      <c r="C8" s="398"/>
      <c r="D8" s="398"/>
      <c r="E8" s="398"/>
      <c r="F8" s="398"/>
      <c r="G8" s="398"/>
      <c r="H8" s="398"/>
      <c r="I8" s="398"/>
      <c r="J8" s="398"/>
      <c r="K8" s="398"/>
      <c r="L8" s="398"/>
    </row>
    <row r="9" spans="1:12" x14ac:dyDescent="0.3">
      <c r="A9" s="399" t="s">
        <v>381</v>
      </c>
      <c r="B9" s="399"/>
      <c r="C9" s="399"/>
      <c r="D9" s="399"/>
      <c r="E9" s="399"/>
      <c r="F9" s="399"/>
      <c r="G9" s="399"/>
      <c r="H9" s="399"/>
      <c r="I9" s="399"/>
      <c r="J9" s="399"/>
      <c r="K9" s="399"/>
      <c r="L9" s="399"/>
    </row>
    <row r="13" spans="1:12" x14ac:dyDescent="0.3">
      <c r="B13" s="136" t="s">
        <v>262</v>
      </c>
      <c r="C13" s="137"/>
      <c r="D13" s="137"/>
    </row>
    <row r="14" spans="1:12" x14ac:dyDescent="0.3">
      <c r="B14" s="138" t="s">
        <v>263</v>
      </c>
    </row>
    <row r="16" spans="1:12" x14ac:dyDescent="0.3">
      <c r="B16" s="139" t="s">
        <v>264</v>
      </c>
      <c r="D16" s="140" t="s">
        <v>58</v>
      </c>
      <c r="E16" s="139" t="s">
        <v>300</v>
      </c>
      <c r="F16" s="139"/>
    </row>
    <row r="17" spans="2:7" x14ac:dyDescent="0.3">
      <c r="B17" s="141" t="s">
        <v>265</v>
      </c>
      <c r="E17" s="139"/>
      <c r="F17" s="139"/>
    </row>
    <row r="18" spans="2:7" x14ac:dyDescent="0.3">
      <c r="B18" s="142" t="s">
        <v>266</v>
      </c>
      <c r="D18" s="140" t="s">
        <v>58</v>
      </c>
      <c r="E18" s="139" t="str">
        <f>Data!C8</f>
        <v>Hatch</v>
      </c>
      <c r="F18" s="139"/>
    </row>
    <row r="19" spans="2:7" x14ac:dyDescent="0.3">
      <c r="B19" s="143" t="s">
        <v>267</v>
      </c>
      <c r="E19" s="139"/>
      <c r="F19" s="139"/>
    </row>
    <row r="20" spans="2:7" x14ac:dyDescent="0.3">
      <c r="B20" s="142" t="s">
        <v>15</v>
      </c>
      <c r="D20" s="140" t="s">
        <v>58</v>
      </c>
      <c r="E20" s="139" t="str">
        <f>Data!I8</f>
        <v>DR 1900</v>
      </c>
      <c r="F20" s="139"/>
    </row>
    <row r="21" spans="2:7" x14ac:dyDescent="0.3">
      <c r="B21" s="143" t="s">
        <v>268</v>
      </c>
      <c r="E21" s="139"/>
      <c r="F21" s="139"/>
    </row>
    <row r="22" spans="2:7" x14ac:dyDescent="0.3">
      <c r="B22" s="139" t="s">
        <v>269</v>
      </c>
      <c r="D22" s="140" t="s">
        <v>58</v>
      </c>
      <c r="E22" s="139" t="str">
        <f>Data!I12</f>
        <v>-</v>
      </c>
      <c r="F22" s="139"/>
    </row>
    <row r="23" spans="2:7" x14ac:dyDescent="0.3">
      <c r="B23" s="141" t="s">
        <v>270</v>
      </c>
      <c r="E23" s="139"/>
      <c r="F23" s="139"/>
    </row>
    <row r="24" spans="2:7" x14ac:dyDescent="0.3">
      <c r="B24" s="139" t="s">
        <v>271</v>
      </c>
      <c r="D24" s="140" t="s">
        <v>58</v>
      </c>
      <c r="E24" s="139" t="str">
        <f>Data!C12</f>
        <v>152650001031</v>
      </c>
      <c r="F24" s="139"/>
    </row>
    <row r="25" spans="2:7" x14ac:dyDescent="0.3">
      <c r="B25" s="141" t="s">
        <v>272</v>
      </c>
      <c r="E25" s="139"/>
      <c r="F25" s="139"/>
    </row>
    <row r="26" spans="2:7" x14ac:dyDescent="0.3">
      <c r="B26" s="139" t="s">
        <v>273</v>
      </c>
      <c r="D26" s="140" t="s">
        <v>58</v>
      </c>
      <c r="E26" s="139" t="s">
        <v>303</v>
      </c>
      <c r="F26" s="144"/>
      <c r="G26" s="139" t="str">
        <f>CONCATENATE(": ",Data!C9," nm")</f>
        <v>: 340-800 nm</v>
      </c>
    </row>
    <row r="27" spans="2:7" x14ac:dyDescent="0.3">
      <c r="B27" s="143" t="s">
        <v>274</v>
      </c>
      <c r="E27" s="139" t="s">
        <v>304</v>
      </c>
      <c r="F27" s="144"/>
      <c r="G27" s="139" t="str">
        <f>CONCATENATE(": ",Data!I9," nm")</f>
        <v>: 1 nm</v>
      </c>
    </row>
    <row r="28" spans="2:7" x14ac:dyDescent="0.3">
      <c r="E28" s="139" t="s">
        <v>305</v>
      </c>
      <c r="F28" s="144"/>
      <c r="G28" s="139" t="str">
        <f>CONCATENATE(": ",Data!C11," A")</f>
        <v>: ± 3,0 A</v>
      </c>
    </row>
    <row r="29" spans="2:7" x14ac:dyDescent="0.3">
      <c r="E29" s="139" t="s">
        <v>306</v>
      </c>
      <c r="F29" s="144"/>
      <c r="G29" s="139" t="str">
        <f>CONCATENATE(": ",Data!I11," A")</f>
        <v>: 0,001 A</v>
      </c>
    </row>
    <row r="30" spans="2:7" x14ac:dyDescent="0.3">
      <c r="B30" s="145" t="s">
        <v>275</v>
      </c>
      <c r="C30" s="145"/>
      <c r="D30" s="145"/>
    </row>
    <row r="31" spans="2:7" x14ac:dyDescent="0.3">
      <c r="B31" s="146" t="s">
        <v>276</v>
      </c>
      <c r="C31" s="146"/>
      <c r="D31" s="146"/>
    </row>
    <row r="32" spans="2:7" x14ac:dyDescent="0.3">
      <c r="B32" s="147"/>
      <c r="C32" s="147"/>
      <c r="D32" s="147"/>
    </row>
    <row r="33" spans="2:12" x14ac:dyDescent="0.3">
      <c r="B33" s="139" t="s">
        <v>277</v>
      </c>
      <c r="D33" s="140" t="s">
        <v>58</v>
      </c>
      <c r="E33" s="403" t="s">
        <v>318</v>
      </c>
      <c r="F33" s="403"/>
      <c r="G33" s="403"/>
      <c r="H33" s="403"/>
      <c r="I33" s="403"/>
      <c r="J33" s="403"/>
      <c r="K33" s="403"/>
      <c r="L33" s="403"/>
    </row>
    <row r="34" spans="2:12" ht="15.6" x14ac:dyDescent="0.3">
      <c r="B34" s="141" t="s">
        <v>278</v>
      </c>
      <c r="D34" s="148"/>
      <c r="E34" s="403"/>
      <c r="F34" s="403"/>
      <c r="G34" s="403"/>
      <c r="H34" s="403"/>
      <c r="I34" s="403"/>
      <c r="J34" s="403"/>
      <c r="K34" s="403"/>
      <c r="L34" s="403"/>
    </row>
    <row r="35" spans="2:12" ht="15.6" x14ac:dyDescent="0.3">
      <c r="B35" s="141"/>
      <c r="D35" s="148"/>
      <c r="E35" s="195"/>
      <c r="F35" s="195"/>
      <c r="G35" s="195"/>
      <c r="H35" s="195"/>
      <c r="I35" s="195"/>
      <c r="J35" s="195"/>
      <c r="K35" s="195"/>
      <c r="L35" s="195"/>
    </row>
    <row r="36" spans="2:12" ht="14.7" customHeight="1" x14ac:dyDescent="0.3">
      <c r="B36" s="139" t="s">
        <v>279</v>
      </c>
      <c r="D36" s="140" t="s">
        <v>58</v>
      </c>
      <c r="E36" s="394" t="s">
        <v>319</v>
      </c>
      <c r="F36" s="394"/>
      <c r="G36" s="394"/>
      <c r="H36" s="394"/>
      <c r="I36" s="394"/>
      <c r="J36" s="394"/>
      <c r="K36" s="394"/>
      <c r="L36" s="394"/>
    </row>
    <row r="37" spans="2:12" ht="12" customHeight="1" x14ac:dyDescent="0.3">
      <c r="B37" s="141" t="s">
        <v>280</v>
      </c>
      <c r="C37" s="139"/>
      <c r="D37" s="148"/>
      <c r="E37" s="394"/>
      <c r="F37" s="394"/>
      <c r="G37" s="394"/>
      <c r="H37" s="394"/>
      <c r="I37" s="394"/>
      <c r="J37" s="394"/>
      <c r="K37" s="394"/>
      <c r="L37" s="394"/>
    </row>
    <row r="38" spans="2:12" x14ac:dyDescent="0.3">
      <c r="E38" s="394"/>
      <c r="F38" s="394"/>
      <c r="G38" s="394"/>
      <c r="H38" s="394"/>
      <c r="I38" s="394"/>
      <c r="J38" s="394"/>
      <c r="K38" s="394"/>
      <c r="L38" s="394"/>
    </row>
    <row r="40" spans="2:12" x14ac:dyDescent="0.3">
      <c r="H40" s="135" t="s">
        <v>322</v>
      </c>
    </row>
    <row r="41" spans="2:12" x14ac:dyDescent="0.3">
      <c r="H41" s="149" t="s">
        <v>281</v>
      </c>
    </row>
    <row r="42" spans="2:12" x14ac:dyDescent="0.3">
      <c r="H42" s="150"/>
    </row>
    <row r="43" spans="2:12" x14ac:dyDescent="0.3">
      <c r="H43" s="135" t="s">
        <v>382</v>
      </c>
    </row>
    <row r="44" spans="2:12" x14ac:dyDescent="0.3">
      <c r="H44" s="149" t="s">
        <v>282</v>
      </c>
    </row>
    <row r="45" spans="2:12" x14ac:dyDescent="0.3">
      <c r="B45" s="151"/>
    </row>
    <row r="46" spans="2:12" x14ac:dyDescent="0.3">
      <c r="C46"/>
      <c r="E46" s="152" t="s">
        <v>378</v>
      </c>
    </row>
    <row r="47" spans="2:12" x14ac:dyDescent="0.3">
      <c r="C47"/>
      <c r="D47"/>
      <c r="E47" s="145" t="s">
        <v>350</v>
      </c>
      <c r="G47" s="153"/>
    </row>
    <row r="48" spans="2:12" x14ac:dyDescent="0.3">
      <c r="C48"/>
      <c r="E48" s="154" t="s">
        <v>379</v>
      </c>
      <c r="G48" s="153"/>
    </row>
    <row r="62" spans="6:7" x14ac:dyDescent="0.3">
      <c r="F62" s="155" t="s">
        <v>283</v>
      </c>
      <c r="G62" s="155" t="str">
        <f>CONCATENATE(MID(A9,16,36))</f>
        <v>: 0057-7.3/KALIBRASI BBLM/XII/2025</v>
      </c>
    </row>
    <row r="63" spans="6:7" x14ac:dyDescent="0.3">
      <c r="F63" s="155" t="s">
        <v>0</v>
      </c>
      <c r="G63" s="155" t="str">
        <f>CONCATENATE(": ",Data!B18)</f>
        <v>: K663-6</v>
      </c>
    </row>
    <row r="64" spans="6:7" x14ac:dyDescent="0.3">
      <c r="F64" s="155" t="s">
        <v>284</v>
      </c>
      <c r="G64" s="155" t="s">
        <v>323</v>
      </c>
    </row>
    <row r="66" spans="1:12" x14ac:dyDescent="0.3">
      <c r="B66" s="156" t="s">
        <v>285</v>
      </c>
      <c r="C66" s="156"/>
      <c r="D66" s="156"/>
      <c r="E66" s="156"/>
      <c r="F66" s="156"/>
    </row>
    <row r="67" spans="1:12" x14ac:dyDescent="0.3">
      <c r="B67" s="139" t="s">
        <v>286</v>
      </c>
      <c r="E67" s="139" t="str">
        <f>CONCATENATE(": ",E16)</f>
        <v>: Spektrofotometer UV-Vis</v>
      </c>
      <c r="G67" s="139"/>
    </row>
    <row r="68" spans="1:12" x14ac:dyDescent="0.3">
      <c r="B68" s="139" t="s">
        <v>287</v>
      </c>
      <c r="E68" s="139" t="str">
        <f>CONCATENATE(":"," ",E18," ","/"," ",E20)</f>
        <v>: Hatch / DR 1900</v>
      </c>
      <c r="G68" s="139"/>
    </row>
    <row r="69" spans="1:12" x14ac:dyDescent="0.3">
      <c r="B69" s="139" t="s">
        <v>288</v>
      </c>
      <c r="E69" s="139" t="str">
        <f>CONCATENATE(": ",E22," / ",E24)</f>
        <v>: - / 152650001031</v>
      </c>
      <c r="G69" s="139"/>
    </row>
    <row r="70" spans="1:12" x14ac:dyDescent="0.3">
      <c r="B70" s="139" t="s">
        <v>303</v>
      </c>
      <c r="E70" s="139" t="str">
        <f>G26</f>
        <v>: 340-800 nm</v>
      </c>
    </row>
    <row r="71" spans="1:12" x14ac:dyDescent="0.3">
      <c r="B71" s="139" t="s">
        <v>304</v>
      </c>
      <c r="E71" s="139" t="str">
        <f>G27</f>
        <v>: 1 nm</v>
      </c>
    </row>
    <row r="72" spans="1:12" x14ac:dyDescent="0.3">
      <c r="B72" s="139" t="s">
        <v>305</v>
      </c>
      <c r="E72" s="139" t="str">
        <f>G28</f>
        <v>: ± 3,0 A</v>
      </c>
    </row>
    <row r="73" spans="1:12" x14ac:dyDescent="0.3">
      <c r="B73" s="139" t="s">
        <v>306</v>
      </c>
      <c r="E73" s="139" t="str">
        <f>G29</f>
        <v>: 0,001 A</v>
      </c>
    </row>
    <row r="74" spans="1:12" x14ac:dyDescent="0.3">
      <c r="B74" s="139" t="s">
        <v>289</v>
      </c>
      <c r="E74" s="139" t="s">
        <v>307</v>
      </c>
      <c r="H74" s="139" t="s">
        <v>290</v>
      </c>
    </row>
    <row r="75" spans="1:12" x14ac:dyDescent="0.3">
      <c r="B75" s="139" t="s">
        <v>291</v>
      </c>
      <c r="E75" s="139" t="str">
        <f>CONCATENATE(": ",Data!B19)</f>
        <v>: 13 November 2025</v>
      </c>
      <c r="H75" s="139" t="s">
        <v>292</v>
      </c>
      <c r="J75" s="139" t="str">
        <f>CONCATENATE(": ","(",FIXED(Data!D16,1)," ± ",FIXED(Data!E16,1),")"," °C")</f>
        <v>: (20,2 ± 0,0) °C</v>
      </c>
    </row>
    <row r="76" spans="1:12" x14ac:dyDescent="0.3">
      <c r="B76" s="139" t="s">
        <v>293</v>
      </c>
      <c r="E76" s="139" t="str">
        <f>CONCATENATE(": ",Data!B20)</f>
        <v>: 13 November 2025</v>
      </c>
      <c r="H76" s="139" t="s">
        <v>294</v>
      </c>
      <c r="J76" s="139" t="str">
        <f>CONCATENATE(": ","(",FIXED(Data!K16,1)," ± ",FIXED(Data!L16,1),")"," %RH")</f>
        <v>: (58,4 ± 0,0) %RH</v>
      </c>
    </row>
    <row r="77" spans="1:12" x14ac:dyDescent="0.3">
      <c r="B77" s="139" t="s">
        <v>295</v>
      </c>
      <c r="E77" s="139" t="s">
        <v>320</v>
      </c>
    </row>
    <row r="78" spans="1:12" x14ac:dyDescent="0.3">
      <c r="B78" s="139"/>
      <c r="D78" s="139"/>
      <c r="E78" s="139"/>
      <c r="F78" s="139"/>
      <c r="G78" s="139"/>
    </row>
    <row r="79" spans="1:12" x14ac:dyDescent="0.3">
      <c r="A79" s="400" t="s">
        <v>296</v>
      </c>
      <c r="B79" s="400"/>
      <c r="C79" s="400"/>
      <c r="D79" s="400"/>
      <c r="E79" s="400"/>
      <c r="F79" s="400"/>
      <c r="G79" s="400"/>
      <c r="H79" s="400"/>
      <c r="I79" s="400"/>
      <c r="J79" s="400"/>
      <c r="K79" s="400"/>
      <c r="L79" s="400"/>
    </row>
    <row r="80" spans="1:12" x14ac:dyDescent="0.3">
      <c r="A80" s="198"/>
      <c r="B80" s="198"/>
      <c r="C80" s="198"/>
      <c r="D80" s="198"/>
      <c r="E80" s="198"/>
      <c r="F80" s="198"/>
      <c r="G80" s="198"/>
      <c r="H80" s="198"/>
      <c r="I80" s="198"/>
      <c r="J80" s="198"/>
      <c r="K80" s="198"/>
      <c r="L80" s="198"/>
    </row>
    <row r="81" spans="1:12" x14ac:dyDescent="0.3">
      <c r="A81" s="198"/>
      <c r="B81" s="154" t="str">
        <f>CONCATENATE("Kalibrasi dilakukan pada temperatur kompartemen spektrofotometer ","(",Lap!I20,")"," °C")</f>
        <v>Kalibrasi dilakukan pada temperatur kompartemen spektrofotometer (21,3 ± 0,0) °C</v>
      </c>
      <c r="C81" s="198"/>
      <c r="D81" s="198"/>
      <c r="E81" s="198"/>
      <c r="F81" s="198"/>
      <c r="G81" s="198"/>
      <c r="H81" s="198"/>
      <c r="I81" s="198"/>
      <c r="J81" s="198"/>
      <c r="K81" s="198"/>
      <c r="L81" s="198"/>
    </row>
    <row r="82" spans="1:12" ht="10.95" customHeight="1" x14ac:dyDescent="0.3">
      <c r="E82" s="157"/>
    </row>
    <row r="83" spans="1:12" x14ac:dyDescent="0.3">
      <c r="B83" s="156" t="s">
        <v>310</v>
      </c>
      <c r="E83" s="157"/>
    </row>
    <row r="84" spans="1:12" ht="9" customHeight="1" x14ac:dyDescent="0.3">
      <c r="B84" s="156"/>
      <c r="E84" s="157"/>
    </row>
    <row r="85" spans="1:12" ht="29.25" customHeight="1" x14ac:dyDescent="0.3">
      <c r="B85" s="371" t="s">
        <v>102</v>
      </c>
      <c r="C85" s="371"/>
      <c r="D85" s="395" t="s">
        <v>309</v>
      </c>
      <c r="E85" s="396"/>
      <c r="F85" s="401" t="s">
        <v>316</v>
      </c>
      <c r="G85" s="402"/>
      <c r="K85" s="214"/>
    </row>
    <row r="86" spans="1:12" x14ac:dyDescent="0.3">
      <c r="B86" s="372" t="s">
        <v>308</v>
      </c>
      <c r="C86" s="372"/>
      <c r="D86" s="372" t="s">
        <v>308</v>
      </c>
      <c r="E86" s="372"/>
      <c r="F86" s="372" t="s">
        <v>308</v>
      </c>
      <c r="G86" s="372"/>
      <c r="K86" s="213"/>
    </row>
    <row r="87" spans="1:12" x14ac:dyDescent="0.3">
      <c r="B87" s="373">
        <f>Lap!A13</f>
        <v>747.61</v>
      </c>
      <c r="C87" s="373"/>
      <c r="D87" s="393">
        <f>VLOOKUP(B87,'Kor&amp;U95% WVL'!$B$2:$F$15,3,FALSE)</f>
        <v>748</v>
      </c>
      <c r="E87" s="393"/>
      <c r="F87" s="392">
        <f>VLOOKUP(B87,'Kor&amp;U95% WVL'!$B$2:$F$15,5,FALSE)</f>
        <v>0.58926646521228532</v>
      </c>
      <c r="G87" s="392"/>
      <c r="K87" s="184"/>
    </row>
    <row r="88" spans="1:12" x14ac:dyDescent="0.3">
      <c r="B88" s="373">
        <f>Lap!A14</f>
        <v>740.51</v>
      </c>
      <c r="C88" s="373"/>
      <c r="D88" s="393">
        <f>VLOOKUP(B88,'Kor&amp;U95% WVL'!$B$2:$F$15,3,FALSE)</f>
        <v>740</v>
      </c>
      <c r="E88" s="393"/>
      <c r="F88" s="392">
        <f>VLOOKUP(B88,'Kor&amp;U95% WVL'!$B$2:$F$15,5,FALSE)</f>
        <v>0.58926646521228532</v>
      </c>
      <c r="G88" s="392"/>
      <c r="K88" s="184"/>
    </row>
    <row r="89" spans="1:12" x14ac:dyDescent="0.3">
      <c r="B89" s="373">
        <f>Lap!A15</f>
        <v>684.7</v>
      </c>
      <c r="C89" s="373"/>
      <c r="D89" s="393">
        <f>VLOOKUP(B89,'Kor&amp;U95% WVL'!$B$2:$F$15,3,FALSE)</f>
        <v>684</v>
      </c>
      <c r="E89" s="393"/>
      <c r="F89" s="392">
        <f>VLOOKUP(B89,'Kor&amp;U95% WVL'!$B$2:$F$15,5,FALSE)</f>
        <v>0.58926646521228532</v>
      </c>
      <c r="G89" s="392"/>
      <c r="K89" s="184"/>
    </row>
    <row r="90" spans="1:12" x14ac:dyDescent="0.3">
      <c r="B90" s="373">
        <f>Lap!A16</f>
        <v>641.41</v>
      </c>
      <c r="C90" s="373"/>
      <c r="D90" s="393">
        <f>VLOOKUP(B90,'Kor&amp;U95% WVL'!$B$2:$F$15,3,FALSE)</f>
        <v>640</v>
      </c>
      <c r="E90" s="393"/>
      <c r="F90" s="392">
        <f>VLOOKUP(B90,'Kor&amp;U95% WVL'!$B$2:$F$15,5,FALSE)</f>
        <v>0.58926646521228532</v>
      </c>
      <c r="G90" s="392"/>
      <c r="K90" s="184"/>
    </row>
    <row r="91" spans="1:12" x14ac:dyDescent="0.3">
      <c r="B91" s="373">
        <f>Lap!A17</f>
        <v>537.54</v>
      </c>
      <c r="C91" s="373"/>
      <c r="D91" s="393">
        <f>VLOOKUP(B91,'Kor&amp;U95% WVL'!$B$2:$F$15,3,FALSE)</f>
        <v>536</v>
      </c>
      <c r="E91" s="393"/>
      <c r="F91" s="392">
        <f>VLOOKUP(B91,'Kor&amp;U95% WVL'!$B$2:$F$15,5,FALSE)</f>
        <v>0.58926646521228532</v>
      </c>
      <c r="G91" s="392"/>
      <c r="K91" s="184"/>
    </row>
    <row r="92" spans="1:12" x14ac:dyDescent="0.3">
      <c r="B92" s="373">
        <f>Lap!A18</f>
        <v>471.66</v>
      </c>
      <c r="C92" s="373"/>
      <c r="D92" s="393">
        <f>VLOOKUP(B92,'Kor&amp;U95% WVL'!$B$2:$F$15,3,FALSE)</f>
        <v>470</v>
      </c>
      <c r="E92" s="393"/>
      <c r="F92" s="392">
        <f>VLOOKUP(B92,'Kor&amp;U95% WVL'!$B$2:$F$15,5,FALSE)</f>
        <v>0.58926646521228532</v>
      </c>
      <c r="G92" s="392"/>
    </row>
    <row r="93" spans="1:12" x14ac:dyDescent="0.3">
      <c r="B93" s="373">
        <f>Lap!A19</f>
        <v>448.76</v>
      </c>
      <c r="C93" s="373"/>
      <c r="D93" s="393">
        <f>VLOOKUP(B93,'Kor&amp;U95% WVL'!$B$2:$F$15,3,FALSE)</f>
        <v>447</v>
      </c>
      <c r="E93" s="393"/>
      <c r="F93" s="392">
        <f>VLOOKUP(B93,'Kor&amp;U95% WVL'!$B$2:$F$15,5,FALSE)</f>
        <v>0.58926646521228532</v>
      </c>
      <c r="G93" s="392"/>
    </row>
    <row r="94" spans="1:12" x14ac:dyDescent="0.3">
      <c r="B94" s="373">
        <f>Lap!A20</f>
        <v>417.78</v>
      </c>
      <c r="C94" s="373"/>
      <c r="D94" s="393">
        <f>VLOOKUP(B94,'Kor&amp;U95% WVL'!$B$2:$F$15,3,FALSE)</f>
        <v>416</v>
      </c>
      <c r="E94" s="393"/>
      <c r="F94" s="392">
        <f>VLOOKUP(B94,'Kor&amp;U95% WVL'!$B$2:$F$15,5,FALSE)</f>
        <v>0.58926646521228532</v>
      </c>
      <c r="G94" s="392"/>
    </row>
    <row r="95" spans="1:12" x14ac:dyDescent="0.3">
      <c r="B95" s="373">
        <f>Lap!A21</f>
        <v>360.89</v>
      </c>
      <c r="C95" s="373"/>
      <c r="D95" s="393">
        <f>VLOOKUP(B95,'Kor&amp;U95% WVL'!$B$2:$F$15,3,FALSE)</f>
        <v>359</v>
      </c>
      <c r="E95" s="393"/>
      <c r="F95" s="392">
        <f>VLOOKUP(B95,'Kor&amp;U95% WVL'!$B$2:$F$15,5,FALSE)</f>
        <v>0.58926646521228532</v>
      </c>
      <c r="G95" s="392"/>
    </row>
    <row r="97" spans="2:10" x14ac:dyDescent="0.3">
      <c r="G97" s="184"/>
      <c r="J97" s="184"/>
    </row>
    <row r="98" spans="2:10" ht="16.2" customHeight="1" x14ac:dyDescent="0.3">
      <c r="B98" s="184"/>
    </row>
    <row r="99" spans="2:10" ht="9" customHeight="1" x14ac:dyDescent="0.3">
      <c r="B99" s="184"/>
    </row>
    <row r="100" spans="2:10" ht="28.95" customHeight="1" x14ac:dyDescent="0.3">
      <c r="B100" s="184"/>
    </row>
    <row r="107" spans="2:10" x14ac:dyDescent="0.25">
      <c r="B107" s="196"/>
      <c r="C107" s="189"/>
      <c r="D107" s="189"/>
      <c r="E107" s="190"/>
      <c r="F107" s="190"/>
      <c r="G107" s="190"/>
      <c r="H107" s="190"/>
    </row>
    <row r="108" spans="2:10" x14ac:dyDescent="0.25">
      <c r="B108" s="196"/>
      <c r="C108" s="189"/>
      <c r="D108" s="189"/>
      <c r="E108" s="190"/>
      <c r="F108" s="190"/>
      <c r="G108" s="190"/>
      <c r="H108" s="190"/>
    </row>
    <row r="109" spans="2:10" x14ac:dyDescent="0.25">
      <c r="B109" s="196"/>
      <c r="C109" s="189"/>
      <c r="D109" s="189"/>
      <c r="E109" s="190"/>
      <c r="F109" s="190"/>
      <c r="G109" s="190"/>
      <c r="H109" s="190"/>
    </row>
    <row r="110" spans="2:10" x14ac:dyDescent="0.25">
      <c r="B110" s="196"/>
      <c r="C110" s="189"/>
      <c r="D110" s="189"/>
      <c r="E110" s="190"/>
      <c r="F110" s="190"/>
      <c r="G110" s="190"/>
      <c r="H110" s="190"/>
    </row>
    <row r="111" spans="2:10" x14ac:dyDescent="0.25">
      <c r="B111" s="196"/>
      <c r="C111" s="189"/>
      <c r="D111" s="189"/>
      <c r="E111" s="190"/>
      <c r="F111" s="190"/>
      <c r="G111" s="190"/>
      <c r="H111" s="190"/>
    </row>
    <row r="112" spans="2:10" x14ac:dyDescent="0.25">
      <c r="B112" s="196"/>
      <c r="C112" s="189"/>
      <c r="D112" s="189"/>
      <c r="E112" s="190"/>
      <c r="F112" s="190"/>
      <c r="G112" s="190"/>
      <c r="H112" s="190"/>
    </row>
    <row r="113" spans="2:8" x14ac:dyDescent="0.25">
      <c r="B113" s="196"/>
      <c r="C113" s="189"/>
      <c r="D113" s="189"/>
      <c r="E113" s="190"/>
      <c r="F113" s="190"/>
      <c r="G113" s="190"/>
      <c r="H113" s="190"/>
    </row>
    <row r="114" spans="2:8" x14ac:dyDescent="0.25">
      <c r="B114" s="196"/>
      <c r="C114" s="189"/>
      <c r="D114" s="189"/>
      <c r="E114" s="190"/>
      <c r="F114" s="190"/>
      <c r="G114" s="190"/>
      <c r="H114" s="190"/>
    </row>
    <row r="115" spans="2:8" x14ac:dyDescent="0.25">
      <c r="B115" s="196"/>
      <c r="C115" s="189"/>
      <c r="D115" s="189"/>
      <c r="E115" s="190"/>
      <c r="F115" s="190"/>
      <c r="G115" s="190"/>
      <c r="H115" s="190"/>
    </row>
    <row r="116" spans="2:8" x14ac:dyDescent="0.25">
      <c r="B116" s="196"/>
      <c r="C116" s="189"/>
      <c r="D116" s="189"/>
      <c r="E116" s="190"/>
      <c r="F116" s="155" t="s">
        <v>283</v>
      </c>
      <c r="G116" s="155" t="str">
        <f>G62</f>
        <v>: 0057-7.3/KALIBRASI BBLM/XII/2025</v>
      </c>
      <c r="H116" s="190"/>
    </row>
    <row r="117" spans="2:8" x14ac:dyDescent="0.25">
      <c r="B117" s="196"/>
      <c r="C117" s="189"/>
      <c r="D117" s="189"/>
      <c r="E117" s="190"/>
      <c r="F117" s="155" t="s">
        <v>0</v>
      </c>
      <c r="G117" s="155" t="str">
        <f>G63</f>
        <v>: K663-6</v>
      </c>
      <c r="H117" s="190"/>
    </row>
    <row r="118" spans="2:8" x14ac:dyDescent="0.25">
      <c r="B118" s="196"/>
      <c r="C118" s="189"/>
      <c r="D118" s="189"/>
      <c r="E118" s="190"/>
      <c r="F118" s="155" t="s">
        <v>284</v>
      </c>
      <c r="G118" s="155" t="s">
        <v>324</v>
      </c>
      <c r="H118" s="190"/>
    </row>
    <row r="119" spans="2:8" x14ac:dyDescent="0.25">
      <c r="B119" s="196"/>
      <c r="C119" s="189"/>
      <c r="D119" s="189"/>
      <c r="E119" s="190"/>
      <c r="H119" s="190"/>
    </row>
    <row r="120" spans="2:8" ht="16.5" customHeight="1" x14ac:dyDescent="0.3">
      <c r="B120" s="156" t="s">
        <v>370</v>
      </c>
      <c r="C120" s="189"/>
      <c r="D120" s="189"/>
      <c r="E120" s="190"/>
      <c r="H120" s="190"/>
    </row>
    <row r="121" spans="2:8" ht="9" customHeight="1" x14ac:dyDescent="0.25">
      <c r="B121" s="188"/>
      <c r="C121" s="189"/>
      <c r="D121" s="189"/>
      <c r="E121" s="190"/>
      <c r="H121" s="190"/>
    </row>
    <row r="122" spans="2:8" ht="28.95" customHeight="1" x14ac:dyDescent="0.25">
      <c r="B122" s="193" t="s">
        <v>311</v>
      </c>
      <c r="C122" s="380" t="s">
        <v>102</v>
      </c>
      <c r="D122" s="380"/>
      <c r="E122" s="381" t="s">
        <v>313</v>
      </c>
      <c r="F122" s="381"/>
      <c r="G122" s="382" t="s">
        <v>315</v>
      </c>
      <c r="H122" s="382"/>
    </row>
    <row r="123" spans="2:8" x14ac:dyDescent="0.25">
      <c r="B123" s="192" t="s">
        <v>308</v>
      </c>
      <c r="C123" s="383" t="s">
        <v>312</v>
      </c>
      <c r="D123" s="383"/>
      <c r="E123" s="383" t="s">
        <v>314</v>
      </c>
      <c r="F123" s="383"/>
      <c r="G123" s="383" t="s">
        <v>314</v>
      </c>
      <c r="H123" s="383"/>
    </row>
    <row r="124" spans="2:8" x14ac:dyDescent="0.25">
      <c r="B124" s="185" t="str">
        <f>'Kor&amp;U95% ABS'!B2</f>
        <v>440</v>
      </c>
      <c r="C124" s="386">
        <f>Lap!B33</f>
        <v>1.0011000000000001</v>
      </c>
      <c r="D124" s="387"/>
      <c r="E124" s="388">
        <f>Lap!C33</f>
        <v>0.99360000000000004</v>
      </c>
      <c r="F124" s="389"/>
      <c r="G124" s="388">
        <f>Lap!D33</f>
        <v>2.7974438409576483E-3</v>
      </c>
      <c r="H124" s="389"/>
    </row>
    <row r="125" spans="2:8" x14ac:dyDescent="0.25">
      <c r="B125" s="185" t="str">
        <f>'Kor&amp;U95% ABS'!B3</f>
        <v>465</v>
      </c>
      <c r="C125" s="386">
        <f>Lap!B34</f>
        <v>0.94420000000000004</v>
      </c>
      <c r="D125" s="387"/>
      <c r="E125" s="388">
        <f>Lap!C34</f>
        <v>0.94100000000000006</v>
      </c>
      <c r="F125" s="389"/>
      <c r="G125" s="388">
        <f>Lap!D34</f>
        <v>2.7567498200827623E-3</v>
      </c>
      <c r="H125" s="389"/>
    </row>
    <row r="126" spans="2:8" x14ac:dyDescent="0.25">
      <c r="B126" s="185" t="str">
        <f>'Kor&amp;U95% ABS'!B4</f>
        <v>546</v>
      </c>
      <c r="C126" s="386">
        <f>Lap!B35</f>
        <v>0.99950000000000006</v>
      </c>
      <c r="D126" s="387"/>
      <c r="E126" s="388">
        <f>Lap!C35</f>
        <v>0.99399999999999999</v>
      </c>
      <c r="F126" s="389"/>
      <c r="G126" s="388">
        <f>Lap!D35</f>
        <v>2.7567498200827623E-3</v>
      </c>
      <c r="H126" s="389"/>
    </row>
    <row r="127" spans="2:8" x14ac:dyDescent="0.25">
      <c r="B127" s="185" t="str">
        <f>'Kor&amp;U95% ABS'!B5</f>
        <v>590</v>
      </c>
      <c r="C127" s="386">
        <f>Lap!B36</f>
        <v>1.111</v>
      </c>
      <c r="D127" s="387"/>
      <c r="E127" s="388">
        <f>Lap!C36</f>
        <v>1.1080000000000001</v>
      </c>
      <c r="F127" s="389"/>
      <c r="G127" s="388">
        <f>Lap!D36</f>
        <v>2.7567498200827623E-3</v>
      </c>
      <c r="H127" s="389"/>
    </row>
    <row r="128" spans="2:8" x14ac:dyDescent="0.25">
      <c r="B128" s="185" t="str">
        <f>'Kor&amp;U95% ABS'!B6</f>
        <v>635</v>
      </c>
      <c r="C128" s="386">
        <f>Lap!B37</f>
        <v>1.0968</v>
      </c>
      <c r="D128" s="387"/>
      <c r="E128" s="388">
        <f>Lap!C37</f>
        <v>1.093</v>
      </c>
      <c r="F128" s="389"/>
      <c r="G128" s="388">
        <f>Lap!D37</f>
        <v>2.7567498200827623E-3</v>
      </c>
      <c r="H128" s="389"/>
    </row>
    <row r="129" spans="2:8" x14ac:dyDescent="0.25">
      <c r="B129" s="196"/>
      <c r="C129" s="189"/>
      <c r="D129" s="189"/>
      <c r="E129" s="190"/>
      <c r="F129" s="190"/>
      <c r="G129" s="190"/>
      <c r="H129" s="190"/>
    </row>
    <row r="130" spans="2:8" x14ac:dyDescent="0.25">
      <c r="B130" s="194" t="s">
        <v>317</v>
      </c>
      <c r="C130" s="189"/>
      <c r="D130" s="189"/>
      <c r="E130" s="190"/>
      <c r="F130" s="190"/>
      <c r="G130" s="190"/>
      <c r="H130" s="190"/>
    </row>
    <row r="131" spans="2:8" ht="9" customHeight="1" x14ac:dyDescent="0.25">
      <c r="B131" s="191"/>
      <c r="C131" s="186"/>
      <c r="D131" s="186"/>
      <c r="E131" s="187"/>
      <c r="F131" s="187"/>
      <c r="G131" s="187"/>
      <c r="H131" s="187"/>
    </row>
    <row r="132" spans="2:8" ht="32.700000000000003" customHeight="1" x14ac:dyDescent="0.3">
      <c r="B132" s="193" t="s">
        <v>311</v>
      </c>
      <c r="C132" s="380" t="s">
        <v>102</v>
      </c>
      <c r="D132" s="380"/>
      <c r="E132" s="381" t="s">
        <v>313</v>
      </c>
      <c r="F132" s="381"/>
      <c r="G132" s="384" t="s">
        <v>256</v>
      </c>
      <c r="H132" s="385"/>
    </row>
    <row r="133" spans="2:8" x14ac:dyDescent="0.25">
      <c r="B133" s="192" t="s">
        <v>308</v>
      </c>
      <c r="C133" s="383" t="s">
        <v>312</v>
      </c>
      <c r="D133" s="383"/>
      <c r="E133" s="383" t="s">
        <v>314</v>
      </c>
      <c r="F133" s="383"/>
      <c r="G133" s="390" t="s">
        <v>314</v>
      </c>
      <c r="H133" s="391"/>
    </row>
    <row r="134" spans="2:8" x14ac:dyDescent="0.3">
      <c r="B134" s="378">
        <f>Lap!A48</f>
        <v>440</v>
      </c>
      <c r="C134" s="375">
        <f>Lap!B48</f>
        <v>1.0011000000000001</v>
      </c>
      <c r="D134" s="375"/>
      <c r="E134" s="374">
        <f>Lap!C48</f>
        <v>0.99360000000000004</v>
      </c>
      <c r="F134" s="374"/>
      <c r="G134" s="374">
        <f>Lap!D48</f>
        <v>7.5000000000000622E-3</v>
      </c>
      <c r="H134" s="374"/>
    </row>
    <row r="135" spans="2:8" x14ac:dyDescent="0.3">
      <c r="B135" s="379"/>
      <c r="C135" s="375">
        <f>Lap!B49</f>
        <v>0.70269999999999999</v>
      </c>
      <c r="D135" s="375"/>
      <c r="E135" s="374">
        <f>Lap!C49</f>
        <v>0.69499999999999995</v>
      </c>
      <c r="F135" s="374"/>
      <c r="G135" s="374">
        <f>Lap!D49</f>
        <v>7.7000000000000401E-3</v>
      </c>
      <c r="H135" s="374"/>
    </row>
    <row r="136" spans="2:8" x14ac:dyDescent="0.3">
      <c r="B136" s="379"/>
      <c r="C136" s="375">
        <f>Lap!B50</f>
        <v>0.56130000000000002</v>
      </c>
      <c r="D136" s="375"/>
      <c r="E136" s="374">
        <f>Lap!C50</f>
        <v>0.55300000000000005</v>
      </c>
      <c r="F136" s="374"/>
      <c r="G136" s="374">
        <f>Lap!D50</f>
        <v>8.2999999999999741E-3</v>
      </c>
      <c r="H136" s="374"/>
    </row>
    <row r="137" spans="2:8" x14ac:dyDescent="0.3">
      <c r="B137" s="376">
        <f>Lap!A51</f>
        <v>465</v>
      </c>
      <c r="C137" s="375">
        <f>Lap!B51</f>
        <v>0.94420000000000004</v>
      </c>
      <c r="D137" s="375"/>
      <c r="E137" s="374">
        <f>Lap!C51</f>
        <v>0.94100000000000006</v>
      </c>
      <c r="F137" s="374"/>
      <c r="G137" s="374">
        <f>Lap!D51</f>
        <v>3.1999999999999806E-3</v>
      </c>
      <c r="H137" s="374"/>
    </row>
    <row r="138" spans="2:8" x14ac:dyDescent="0.3">
      <c r="B138" s="376"/>
      <c r="C138" s="375">
        <f>Lap!B52</f>
        <v>0.66379999999999995</v>
      </c>
      <c r="D138" s="375"/>
      <c r="E138" s="374">
        <f>Lap!C52</f>
        <v>0.65900000000000003</v>
      </c>
      <c r="F138" s="374"/>
      <c r="G138" s="374">
        <f>Lap!D52</f>
        <v>4.7999999999999154E-3</v>
      </c>
      <c r="H138" s="374"/>
    </row>
    <row r="139" spans="2:8" x14ac:dyDescent="0.3">
      <c r="B139" s="376"/>
      <c r="C139" s="375">
        <f>Lap!B53</f>
        <v>0.52370000000000005</v>
      </c>
      <c r="D139" s="375"/>
      <c r="E139" s="374">
        <f>Lap!C53</f>
        <v>0.51700000000000002</v>
      </c>
      <c r="F139" s="374"/>
      <c r="G139" s="374">
        <f>Lap!D53</f>
        <v>6.7000000000000393E-3</v>
      </c>
      <c r="H139" s="374"/>
    </row>
    <row r="140" spans="2:8" x14ac:dyDescent="0.3">
      <c r="B140" s="377">
        <f>Lap!A54</f>
        <v>546</v>
      </c>
      <c r="C140" s="375">
        <f>Lap!B54</f>
        <v>0.99950000000000006</v>
      </c>
      <c r="D140" s="375"/>
      <c r="E140" s="374">
        <f>Lap!C54</f>
        <v>0.99399999999999999</v>
      </c>
      <c r="F140" s="374"/>
      <c r="G140" s="374">
        <f>Lap!D54</f>
        <v>5.5000000000000604E-3</v>
      </c>
      <c r="H140" s="374"/>
    </row>
    <row r="141" spans="2:8" x14ac:dyDescent="0.3">
      <c r="B141" s="377"/>
      <c r="C141" s="375">
        <f>Lap!B55</f>
        <v>0.70050000000000001</v>
      </c>
      <c r="D141" s="375"/>
      <c r="E141" s="374">
        <f>Lap!C55</f>
        <v>0.69399999999999995</v>
      </c>
      <c r="F141" s="374"/>
      <c r="G141" s="374">
        <f>Lap!D55</f>
        <v>6.5000000000000613E-3</v>
      </c>
      <c r="H141" s="374"/>
    </row>
    <row r="142" spans="2:8" x14ac:dyDescent="0.3">
      <c r="B142" s="377"/>
      <c r="C142" s="375">
        <f>Lap!B56</f>
        <v>0.52529999999999999</v>
      </c>
      <c r="D142" s="375"/>
      <c r="E142" s="374">
        <f>Lap!C56</f>
        <v>0.51880000000000004</v>
      </c>
      <c r="F142" s="374"/>
      <c r="G142" s="374">
        <f>Lap!D56</f>
        <v>6.4999999999999503E-3</v>
      </c>
      <c r="H142" s="374"/>
    </row>
    <row r="143" spans="2:8" x14ac:dyDescent="0.3">
      <c r="B143" s="376">
        <f>Lap!A57</f>
        <v>590</v>
      </c>
      <c r="C143" s="375">
        <f>Lap!B57</f>
        <v>1.111</v>
      </c>
      <c r="D143" s="375"/>
      <c r="E143" s="374">
        <f>Lap!C57</f>
        <v>1.1080000000000001</v>
      </c>
      <c r="F143" s="374"/>
      <c r="G143" s="374">
        <f>Lap!D57</f>
        <v>2.9999999999998916E-3</v>
      </c>
      <c r="H143" s="374"/>
    </row>
    <row r="144" spans="2:8" x14ac:dyDescent="0.3">
      <c r="B144" s="376"/>
      <c r="C144" s="375">
        <f>Lap!B58</f>
        <v>0.77600000000000002</v>
      </c>
      <c r="D144" s="375"/>
      <c r="E144" s="374">
        <f>Lap!C58</f>
        <v>0.77200000000000002</v>
      </c>
      <c r="F144" s="374"/>
      <c r="G144" s="374">
        <f>Lap!D58</f>
        <v>4.0000000000000036E-3</v>
      </c>
      <c r="H144" s="374"/>
    </row>
    <row r="145" spans="2:8" x14ac:dyDescent="0.3">
      <c r="B145" s="376"/>
      <c r="C145" s="375">
        <f>Lap!B59</f>
        <v>0.5595</v>
      </c>
      <c r="D145" s="375"/>
      <c r="E145" s="374">
        <f>Lap!C59</f>
        <v>0.55400000000000005</v>
      </c>
      <c r="F145" s="374"/>
      <c r="G145" s="374">
        <f>Lap!D59</f>
        <v>5.4999999999999494E-3</v>
      </c>
      <c r="H145" s="374"/>
    </row>
    <row r="146" spans="2:8" x14ac:dyDescent="0.3">
      <c r="B146" s="376">
        <f>Lap!A60</f>
        <v>635</v>
      </c>
      <c r="C146" s="375">
        <f>Lap!B60</f>
        <v>1.0968</v>
      </c>
      <c r="D146" s="375"/>
      <c r="E146" s="374">
        <f>Lap!C60</f>
        <v>1.093</v>
      </c>
      <c r="F146" s="374"/>
      <c r="G146" s="374">
        <f>Lap!D60</f>
        <v>3.8000000000000256E-3</v>
      </c>
      <c r="H146" s="374"/>
    </row>
    <row r="147" spans="2:8" x14ac:dyDescent="0.3">
      <c r="B147" s="376"/>
      <c r="C147" s="375">
        <f>Lap!B61</f>
        <v>0.76559999999999995</v>
      </c>
      <c r="D147" s="375"/>
      <c r="E147" s="374">
        <f>Lap!C61</f>
        <v>0.76</v>
      </c>
      <c r="F147" s="374"/>
      <c r="G147" s="374">
        <f>Lap!D61</f>
        <v>5.5999999999999384E-3</v>
      </c>
      <c r="H147" s="374"/>
    </row>
    <row r="148" spans="2:8" x14ac:dyDescent="0.3">
      <c r="B148" s="376"/>
      <c r="C148" s="375">
        <f>Lap!B62</f>
        <v>0.56710000000000005</v>
      </c>
      <c r="D148" s="375"/>
      <c r="E148" s="374">
        <f>Lap!C62</f>
        <v>0.56200000000000006</v>
      </c>
      <c r="F148" s="374"/>
      <c r="G148" s="374">
        <f>Lap!D62</f>
        <v>5.0999999999999934E-3</v>
      </c>
      <c r="H148" s="374"/>
    </row>
    <row r="149" spans="2:8" x14ac:dyDescent="0.3">
      <c r="B149" s="158"/>
      <c r="C149" s="139"/>
      <c r="D149" s="139"/>
      <c r="E149" s="139"/>
      <c r="F149" s="139"/>
      <c r="G149" s="139"/>
    </row>
    <row r="150" spans="2:8" x14ac:dyDescent="0.3">
      <c r="B150" s="155" t="s">
        <v>297</v>
      </c>
    </row>
    <row r="151" spans="2:8" ht="14.25" customHeight="1" x14ac:dyDescent="0.3">
      <c r="B151" s="244" t="s">
        <v>342</v>
      </c>
    </row>
    <row r="152" spans="2:8" x14ac:dyDescent="0.3">
      <c r="B152" s="139" t="s">
        <v>343</v>
      </c>
    </row>
    <row r="153" spans="2:8" x14ac:dyDescent="0.3">
      <c r="B153" s="139" t="s">
        <v>344</v>
      </c>
    </row>
    <row r="154" spans="2:8" x14ac:dyDescent="0.3">
      <c r="B154" s="139" t="s">
        <v>345</v>
      </c>
    </row>
    <row r="155" spans="2:8" x14ac:dyDescent="0.3">
      <c r="B155" s="244"/>
    </row>
    <row r="156" spans="2:8" x14ac:dyDescent="0.3">
      <c r="B156" s="244"/>
    </row>
  </sheetData>
  <mergeCells count="116">
    <mergeCell ref="C134:D134"/>
    <mergeCell ref="G124:H124"/>
    <mergeCell ref="G125:H125"/>
    <mergeCell ref="G126:H126"/>
    <mergeCell ref="F86:G86"/>
    <mergeCell ref="E127:F127"/>
    <mergeCell ref="E128:F128"/>
    <mergeCell ref="G128:H128"/>
    <mergeCell ref="G134:H134"/>
    <mergeCell ref="D86:E86"/>
    <mergeCell ref="C128:D128"/>
    <mergeCell ref="C133:D133"/>
    <mergeCell ref="E133:F133"/>
    <mergeCell ref="C127:D127"/>
    <mergeCell ref="C132:D132"/>
    <mergeCell ref="E132:F132"/>
    <mergeCell ref="F87:G87"/>
    <mergeCell ref="F89:G89"/>
    <mergeCell ref="D87:E87"/>
    <mergeCell ref="D89:E89"/>
    <mergeCell ref="D92:E92"/>
    <mergeCell ref="D93:E93"/>
    <mergeCell ref="E36:L38"/>
    <mergeCell ref="D88:E88"/>
    <mergeCell ref="D85:E85"/>
    <mergeCell ref="F88:G88"/>
    <mergeCell ref="A7:L7"/>
    <mergeCell ref="A8:L8"/>
    <mergeCell ref="A9:L9"/>
    <mergeCell ref="A79:L79"/>
    <mergeCell ref="F85:G85"/>
    <mergeCell ref="E33:L34"/>
    <mergeCell ref="F95:G95"/>
    <mergeCell ref="B90:C90"/>
    <mergeCell ref="B91:C91"/>
    <mergeCell ref="B92:C92"/>
    <mergeCell ref="B93:C93"/>
    <mergeCell ref="B94:C94"/>
    <mergeCell ref="B95:C95"/>
    <mergeCell ref="D90:E90"/>
    <mergeCell ref="F90:G90"/>
    <mergeCell ref="D91:E91"/>
    <mergeCell ref="F91:G91"/>
    <mergeCell ref="D95:E95"/>
    <mergeCell ref="F92:G92"/>
    <mergeCell ref="F93:G93"/>
    <mergeCell ref="D94:E94"/>
    <mergeCell ref="F94:G94"/>
    <mergeCell ref="B134:B136"/>
    <mergeCell ref="C136:D136"/>
    <mergeCell ref="C137:D137"/>
    <mergeCell ref="E136:F136"/>
    <mergeCell ref="E137:F137"/>
    <mergeCell ref="C122:D122"/>
    <mergeCell ref="E122:F122"/>
    <mergeCell ref="G122:H122"/>
    <mergeCell ref="C123:D123"/>
    <mergeCell ref="E123:F123"/>
    <mergeCell ref="G123:H123"/>
    <mergeCell ref="G132:H132"/>
    <mergeCell ref="C124:D124"/>
    <mergeCell ref="C125:D125"/>
    <mergeCell ref="C126:D126"/>
    <mergeCell ref="E124:F124"/>
    <mergeCell ref="E125:F125"/>
    <mergeCell ref="E126:F126"/>
    <mergeCell ref="C135:D135"/>
    <mergeCell ref="E134:F134"/>
    <mergeCell ref="E135:F135"/>
    <mergeCell ref="G133:H133"/>
    <mergeCell ref="G135:H135"/>
    <mergeCell ref="G127:H127"/>
    <mergeCell ref="E138:F138"/>
    <mergeCell ref="E139:F139"/>
    <mergeCell ref="E140:F140"/>
    <mergeCell ref="E141:F141"/>
    <mergeCell ref="E142:F142"/>
    <mergeCell ref="C148:D148"/>
    <mergeCell ref="B137:B139"/>
    <mergeCell ref="B140:B142"/>
    <mergeCell ref="B143:B145"/>
    <mergeCell ref="B146:B148"/>
    <mergeCell ref="C143:D143"/>
    <mergeCell ref="C144:D144"/>
    <mergeCell ref="C145:D145"/>
    <mergeCell ref="C146:D146"/>
    <mergeCell ref="C147:D147"/>
    <mergeCell ref="C138:D138"/>
    <mergeCell ref="C139:D139"/>
    <mergeCell ref="C140:D140"/>
    <mergeCell ref="C141:D141"/>
    <mergeCell ref="C142:D142"/>
    <mergeCell ref="B85:C85"/>
    <mergeCell ref="B86:C86"/>
    <mergeCell ref="B87:C87"/>
    <mergeCell ref="B88:C88"/>
    <mergeCell ref="B89:C89"/>
    <mergeCell ref="E148:F148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6"/>
    <mergeCell ref="G147:H147"/>
    <mergeCell ref="G148:H148"/>
    <mergeCell ref="E143:F143"/>
    <mergeCell ref="E144:F144"/>
    <mergeCell ref="E145:F145"/>
    <mergeCell ref="E146:F146"/>
    <mergeCell ref="E147:F147"/>
  </mergeCells>
  <pageMargins left="0" right="0" top="0.35433070866141736" bottom="3.937007874015748E-2" header="0" footer="0"/>
  <pageSetup paperSize="9" orientation="portrait" horizontalDpi="360" verticalDpi="36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674A3-7096-4704-8532-F416DAD47344}">
  <dimension ref="B1:Y58"/>
  <sheetViews>
    <sheetView topLeftCell="E1" workbookViewId="0">
      <selection activeCell="N17" sqref="N17"/>
    </sheetView>
  </sheetViews>
  <sheetFormatPr defaultRowHeight="14.4" x14ac:dyDescent="0.3"/>
  <cols>
    <col min="2" max="2" width="18" bestFit="1" customWidth="1"/>
    <col min="20" max="20" width="11.5546875" bestFit="1" customWidth="1"/>
    <col min="25" max="25" width="20" customWidth="1"/>
  </cols>
  <sheetData>
    <row r="1" spans="2:25" x14ac:dyDescent="0.3">
      <c r="B1" t="s">
        <v>357</v>
      </c>
      <c r="C1" t="s">
        <v>358</v>
      </c>
    </row>
    <row r="2" spans="2:25" x14ac:dyDescent="0.3">
      <c r="B2" t="s">
        <v>325</v>
      </c>
      <c r="X2" t="s">
        <v>362</v>
      </c>
      <c r="Y2" t="s">
        <v>361</v>
      </c>
    </row>
    <row r="3" spans="2:25" x14ac:dyDescent="0.3">
      <c r="B3" t="s">
        <v>346</v>
      </c>
      <c r="X3">
        <v>1</v>
      </c>
      <c r="Y3">
        <v>219</v>
      </c>
    </row>
    <row r="4" spans="2:25" x14ac:dyDescent="0.3">
      <c r="B4" t="s">
        <v>355</v>
      </c>
      <c r="S4" t="s">
        <v>325</v>
      </c>
      <c r="X4">
        <f>X3+1</f>
        <v>2</v>
      </c>
      <c r="Y4">
        <v>241</v>
      </c>
    </row>
    <row r="5" spans="2:25" x14ac:dyDescent="0.3">
      <c r="B5" t="s">
        <v>327</v>
      </c>
      <c r="S5" s="283" t="s">
        <v>360</v>
      </c>
      <c r="T5" s="283" t="s">
        <v>359</v>
      </c>
      <c r="U5" s="283" t="s">
        <v>352</v>
      </c>
      <c r="X5">
        <f t="shared" ref="X5:X26" si="0">X4+1</f>
        <v>3</v>
      </c>
      <c r="Y5">
        <v>260</v>
      </c>
    </row>
    <row r="6" spans="2:25" x14ac:dyDescent="0.3">
      <c r="B6" t="s">
        <v>328</v>
      </c>
      <c r="S6">
        <v>2</v>
      </c>
      <c r="T6" s="282">
        <v>641</v>
      </c>
      <c r="U6">
        <f>VLOOKUP(Data!$C$10,Database!$B$11:$P$20,Database!S6,FALSE)</f>
        <v>641.41</v>
      </c>
      <c r="X6">
        <f t="shared" si="0"/>
        <v>4</v>
      </c>
      <c r="Y6">
        <v>278</v>
      </c>
    </row>
    <row r="7" spans="2:25" x14ac:dyDescent="0.3">
      <c r="B7" t="s">
        <v>326</v>
      </c>
      <c r="S7">
        <v>3</v>
      </c>
      <c r="T7" s="282">
        <v>537</v>
      </c>
      <c r="U7">
        <f>VLOOKUP(Data!$C$10,Database!$B$11:$P$20,Database!S7,FALSE)</f>
        <v>537.54</v>
      </c>
      <c r="X7">
        <f t="shared" si="0"/>
        <v>5</v>
      </c>
      <c r="Y7">
        <v>287</v>
      </c>
    </row>
    <row r="8" spans="2:25" x14ac:dyDescent="0.3">
      <c r="B8" t="s">
        <v>363</v>
      </c>
      <c r="S8">
        <v>4</v>
      </c>
      <c r="T8" s="282">
        <v>472</v>
      </c>
      <c r="U8">
        <f>VLOOKUP(Data!$C$10,Database!$B$11:$P$20,Database!S8,FALSE)</f>
        <v>471.66</v>
      </c>
      <c r="X8">
        <f t="shared" si="0"/>
        <v>6</v>
      </c>
      <c r="Y8">
        <v>334</v>
      </c>
    </row>
    <row r="9" spans="2:25" x14ac:dyDescent="0.3">
      <c r="S9">
        <v>5</v>
      </c>
      <c r="T9" s="282">
        <v>457</v>
      </c>
      <c r="U9">
        <f>VLOOKUP(Data!$C$10,Database!$B$11:$P$20,Database!S9,FALSE)</f>
        <v>0</v>
      </c>
      <c r="X9">
        <f t="shared" si="0"/>
        <v>7</v>
      </c>
      <c r="Y9">
        <v>360</v>
      </c>
    </row>
    <row r="10" spans="2:25" x14ac:dyDescent="0.3">
      <c r="B10" t="s">
        <v>353</v>
      </c>
      <c r="D10" t="s">
        <v>325</v>
      </c>
      <c r="S10">
        <v>6</v>
      </c>
      <c r="T10" s="282">
        <v>452</v>
      </c>
      <c r="U10">
        <f>VLOOKUP(Data!$C$10,Database!$B$11:$P$20,Database!S10,FALSE)</f>
        <v>0</v>
      </c>
      <c r="X10">
        <f t="shared" si="0"/>
        <v>8</v>
      </c>
      <c r="Y10">
        <v>418</v>
      </c>
    </row>
    <row r="11" spans="2:25" x14ac:dyDescent="0.3">
      <c r="B11" s="282" t="s">
        <v>352</v>
      </c>
      <c r="C11" s="282">
        <v>641</v>
      </c>
      <c r="D11" s="282">
        <v>537</v>
      </c>
      <c r="E11" s="282">
        <v>472</v>
      </c>
      <c r="F11" s="282">
        <v>457</v>
      </c>
      <c r="G11" s="282">
        <v>452</v>
      </c>
      <c r="H11" s="282">
        <v>447</v>
      </c>
      <c r="I11" s="282">
        <v>418</v>
      </c>
      <c r="J11" s="282">
        <v>360</v>
      </c>
      <c r="K11" s="282">
        <v>334</v>
      </c>
      <c r="L11" s="282">
        <v>287</v>
      </c>
      <c r="M11" s="282">
        <v>278</v>
      </c>
      <c r="N11" s="282">
        <v>260</v>
      </c>
      <c r="O11" s="282">
        <v>241</v>
      </c>
      <c r="P11" s="282">
        <v>219</v>
      </c>
      <c r="S11">
        <v>7</v>
      </c>
      <c r="T11" s="282">
        <v>447</v>
      </c>
      <c r="U11">
        <f>VLOOKUP(Data!$C$10,Database!$B$11:$P$20,Database!S11,FALSE)</f>
        <v>448.76</v>
      </c>
      <c r="X11">
        <f t="shared" si="0"/>
        <v>9</v>
      </c>
      <c r="Y11">
        <v>431</v>
      </c>
    </row>
    <row r="12" spans="2:25" x14ac:dyDescent="0.3">
      <c r="B12">
        <v>0.1</v>
      </c>
      <c r="C12">
        <v>640.98</v>
      </c>
      <c r="D12">
        <v>537.1</v>
      </c>
      <c r="E12">
        <v>472.78</v>
      </c>
      <c r="F12">
        <v>457.56</v>
      </c>
      <c r="G12">
        <v>452.54</v>
      </c>
      <c r="H12">
        <v>446.84</v>
      </c>
      <c r="I12">
        <v>417.6</v>
      </c>
      <c r="J12">
        <v>360.11</v>
      </c>
      <c r="K12">
        <v>333.5</v>
      </c>
      <c r="L12">
        <v>287.04000000000002</v>
      </c>
      <c r="M12">
        <v>278.5</v>
      </c>
      <c r="N12">
        <v>260.32</v>
      </c>
      <c r="O12">
        <v>241.06</v>
      </c>
      <c r="P12">
        <v>219.41</v>
      </c>
      <c r="S12">
        <v>8</v>
      </c>
      <c r="T12" s="282">
        <v>418</v>
      </c>
      <c r="U12">
        <f>VLOOKUP(Data!$C$10,Database!$B$11:$P$20,Database!S12,FALSE)</f>
        <v>417.78</v>
      </c>
      <c r="X12">
        <f t="shared" si="0"/>
        <v>10</v>
      </c>
      <c r="Y12">
        <v>447</v>
      </c>
    </row>
    <row r="13" spans="2:25" x14ac:dyDescent="0.3">
      <c r="B13">
        <v>0.25</v>
      </c>
      <c r="C13">
        <v>640.92999999999995</v>
      </c>
      <c r="D13">
        <v>537.14</v>
      </c>
      <c r="E13">
        <v>472.79</v>
      </c>
      <c r="F13">
        <v>457.52</v>
      </c>
      <c r="G13">
        <v>452.54</v>
      </c>
      <c r="H13">
        <v>446.82</v>
      </c>
      <c r="I13">
        <v>417.58</v>
      </c>
      <c r="J13">
        <v>360.12</v>
      </c>
      <c r="K13">
        <v>333.48</v>
      </c>
      <c r="L13">
        <v>287.06</v>
      </c>
      <c r="M13">
        <v>278.5</v>
      </c>
      <c r="N13">
        <v>260.24</v>
      </c>
      <c r="O13">
        <v>241.07</v>
      </c>
      <c r="P13">
        <v>219.42</v>
      </c>
      <c r="S13">
        <v>9</v>
      </c>
      <c r="T13" s="282">
        <v>360</v>
      </c>
      <c r="U13">
        <f>VLOOKUP(Data!$C$10,Database!$B$11:$P$20,Database!S13,FALSE)</f>
        <v>360.89</v>
      </c>
      <c r="X13">
        <f t="shared" si="0"/>
        <v>11</v>
      </c>
      <c r="Y13">
        <v>452</v>
      </c>
    </row>
    <row r="14" spans="2:25" x14ac:dyDescent="0.3">
      <c r="B14">
        <v>0.5</v>
      </c>
      <c r="C14">
        <v>640.92999999999995</v>
      </c>
      <c r="D14">
        <v>537.15</v>
      </c>
      <c r="E14">
        <v>472.83</v>
      </c>
      <c r="F14">
        <v>457.56</v>
      </c>
      <c r="G14">
        <v>452.5</v>
      </c>
      <c r="H14">
        <v>446.82</v>
      </c>
      <c r="I14">
        <v>417.59</v>
      </c>
      <c r="J14">
        <v>360.12</v>
      </c>
      <c r="K14">
        <v>333.59</v>
      </c>
      <c r="L14">
        <v>287.08999999999997</v>
      </c>
      <c r="M14">
        <v>278.51</v>
      </c>
      <c r="N14">
        <v>260.27</v>
      </c>
      <c r="O14">
        <v>241.1</v>
      </c>
      <c r="P14">
        <v>219.4</v>
      </c>
      <c r="S14">
        <v>10</v>
      </c>
      <c r="T14" s="282">
        <v>334</v>
      </c>
      <c r="U14">
        <f>VLOOKUP(Data!$C$10,Database!$B$11:$P$20,Database!S14,FALSE)</f>
        <v>333.93</v>
      </c>
      <c r="X14">
        <f t="shared" si="0"/>
        <v>12</v>
      </c>
      <c r="Y14">
        <v>457</v>
      </c>
    </row>
    <row r="15" spans="2:25" x14ac:dyDescent="0.3">
      <c r="B15">
        <v>1</v>
      </c>
      <c r="C15">
        <v>640.9</v>
      </c>
      <c r="D15">
        <v>537.12</v>
      </c>
      <c r="E15">
        <v>472.85</v>
      </c>
      <c r="F15">
        <v>457.55</v>
      </c>
      <c r="G15">
        <v>452.48</v>
      </c>
      <c r="H15">
        <v>446.74</v>
      </c>
      <c r="I15">
        <v>417.6</v>
      </c>
      <c r="J15">
        <v>360.21</v>
      </c>
      <c r="K15">
        <v>333.6</v>
      </c>
      <c r="L15">
        <v>287.2</v>
      </c>
      <c r="M15">
        <v>278.51</v>
      </c>
      <c r="N15">
        <v>260.48</v>
      </c>
      <c r="O15">
        <v>241.19</v>
      </c>
      <c r="P15">
        <v>219.39</v>
      </c>
      <c r="S15">
        <v>11</v>
      </c>
      <c r="T15" s="282">
        <v>287</v>
      </c>
      <c r="U15">
        <f>VLOOKUP(Data!$C$10,Database!$B$11:$P$20,Database!S15,FALSE)</f>
        <v>288.33999999999997</v>
      </c>
      <c r="X15">
        <f t="shared" si="0"/>
        <v>13</v>
      </c>
      <c r="Y15">
        <v>472</v>
      </c>
    </row>
    <row r="16" spans="2:25" x14ac:dyDescent="0.3">
      <c r="B16">
        <v>1.5</v>
      </c>
      <c r="C16">
        <v>640.91999999999996</v>
      </c>
      <c r="D16">
        <v>537.13</v>
      </c>
      <c r="E16">
        <v>472.86</v>
      </c>
      <c r="F16">
        <v>457.51</v>
      </c>
      <c r="G16">
        <v>452.44</v>
      </c>
      <c r="H16">
        <v>446.72</v>
      </c>
      <c r="I16">
        <v>417.64</v>
      </c>
      <c r="J16">
        <v>360.32</v>
      </c>
      <c r="K16">
        <v>333.65</v>
      </c>
      <c r="L16">
        <v>287.39</v>
      </c>
      <c r="M16">
        <v>278.51</v>
      </c>
      <c r="N16">
        <v>260.77999999999997</v>
      </c>
      <c r="O16">
        <v>241.27</v>
      </c>
      <c r="P16">
        <v>219.39</v>
      </c>
      <c r="S16">
        <v>12</v>
      </c>
      <c r="T16" s="282">
        <v>278</v>
      </c>
      <c r="U16">
        <f>VLOOKUP(Data!$C$10,Database!$B$11:$P$20,Database!S16,FALSE)</f>
        <v>278.32</v>
      </c>
      <c r="X16">
        <f t="shared" si="0"/>
        <v>14</v>
      </c>
      <c r="Y16">
        <v>513</v>
      </c>
    </row>
    <row r="17" spans="2:25" x14ac:dyDescent="0.3">
      <c r="B17">
        <v>2</v>
      </c>
      <c r="C17">
        <v>640.94000000000005</v>
      </c>
      <c r="D17">
        <v>537.14</v>
      </c>
      <c r="E17">
        <v>472.86</v>
      </c>
      <c r="F17">
        <v>457.42</v>
      </c>
      <c r="G17">
        <v>452.38</v>
      </c>
      <c r="H17">
        <v>446.75</v>
      </c>
      <c r="I17">
        <v>417.72</v>
      </c>
      <c r="J17">
        <v>360.43</v>
      </c>
      <c r="K17">
        <v>333.66</v>
      </c>
      <c r="L17">
        <v>287.62</v>
      </c>
      <c r="M17">
        <v>278.47000000000003</v>
      </c>
      <c r="N17">
        <v>260.79000000000002</v>
      </c>
      <c r="O17">
        <v>241.29</v>
      </c>
      <c r="P17">
        <v>219.3</v>
      </c>
      <c r="S17">
        <v>13</v>
      </c>
      <c r="T17" s="282">
        <v>260</v>
      </c>
      <c r="U17">
        <f>VLOOKUP(Data!$C$10,Database!$B$11:$P$20,Database!S17,FALSE)</f>
        <v>260.60000000000002</v>
      </c>
      <c r="X17">
        <f t="shared" si="0"/>
        <v>15</v>
      </c>
      <c r="Y17">
        <v>528</v>
      </c>
    </row>
    <row r="18" spans="2:25" x14ac:dyDescent="0.3">
      <c r="B18">
        <v>3</v>
      </c>
      <c r="C18">
        <v>641.03</v>
      </c>
      <c r="D18">
        <v>537.16999999999996</v>
      </c>
      <c r="E18">
        <v>472.71</v>
      </c>
      <c r="F18">
        <v>456.79</v>
      </c>
      <c r="G18">
        <v>452.01</v>
      </c>
      <c r="H18">
        <v>447.08</v>
      </c>
      <c r="I18">
        <v>417.72</v>
      </c>
      <c r="J18">
        <v>360.7</v>
      </c>
      <c r="K18">
        <v>333.69</v>
      </c>
      <c r="L18">
        <v>287.8</v>
      </c>
      <c r="M18">
        <v>278.45</v>
      </c>
      <c r="N18">
        <v>260.77999999999997</v>
      </c>
      <c r="O18">
        <v>241.2</v>
      </c>
      <c r="P18">
        <v>0</v>
      </c>
      <c r="S18">
        <v>14</v>
      </c>
      <c r="T18" s="282">
        <v>241</v>
      </c>
      <c r="U18">
        <f>VLOOKUP(Data!$C$10,Database!$B$11:$P$20,Database!S18,FALSE)</f>
        <v>241.18</v>
      </c>
      <c r="X18">
        <f t="shared" si="0"/>
        <v>16</v>
      </c>
      <c r="Y18">
        <v>537</v>
      </c>
    </row>
    <row r="19" spans="2:25" x14ac:dyDescent="0.3">
      <c r="B19">
        <v>4</v>
      </c>
      <c r="C19">
        <v>641.30999999999995</v>
      </c>
      <c r="D19">
        <v>537.35</v>
      </c>
      <c r="E19">
        <v>472.36</v>
      </c>
      <c r="F19">
        <v>0</v>
      </c>
      <c r="G19">
        <v>0</v>
      </c>
      <c r="H19">
        <v>447.78</v>
      </c>
      <c r="I19">
        <v>417.73</v>
      </c>
      <c r="J19">
        <v>360.78</v>
      </c>
      <c r="K19">
        <v>333.82</v>
      </c>
      <c r="L19">
        <v>288.04000000000002</v>
      </c>
      <c r="M19">
        <v>278.42</v>
      </c>
      <c r="N19">
        <v>260.77999999999997</v>
      </c>
      <c r="O19">
        <v>241.19</v>
      </c>
      <c r="P19">
        <v>0</v>
      </c>
      <c r="S19">
        <v>15</v>
      </c>
      <c r="T19" s="282">
        <v>219</v>
      </c>
      <c r="U19">
        <f>VLOOKUP(Data!$C$10,Database!$B$11:$P$20,Database!S19,FALSE)</f>
        <v>0</v>
      </c>
      <c r="X19">
        <f t="shared" si="0"/>
        <v>17</v>
      </c>
      <c r="Y19">
        <v>572</v>
      </c>
    </row>
    <row r="20" spans="2:25" x14ac:dyDescent="0.3">
      <c r="B20">
        <v>5</v>
      </c>
      <c r="C20">
        <v>641.41</v>
      </c>
      <c r="D20">
        <v>537.54</v>
      </c>
      <c r="E20">
        <v>471.66</v>
      </c>
      <c r="F20">
        <v>0</v>
      </c>
      <c r="G20">
        <v>0</v>
      </c>
      <c r="H20">
        <v>448.76</v>
      </c>
      <c r="I20">
        <v>417.78</v>
      </c>
      <c r="J20">
        <v>360.89</v>
      </c>
      <c r="K20">
        <v>333.93</v>
      </c>
      <c r="L20">
        <v>288.33999999999997</v>
      </c>
      <c r="M20">
        <v>278.32</v>
      </c>
      <c r="N20">
        <v>260.60000000000002</v>
      </c>
      <c r="O20">
        <v>241.18</v>
      </c>
      <c r="P20">
        <v>0</v>
      </c>
      <c r="X20">
        <f t="shared" si="0"/>
        <v>18</v>
      </c>
      <c r="Y20">
        <v>585</v>
      </c>
    </row>
    <row r="21" spans="2:25" x14ac:dyDescent="0.3">
      <c r="X21">
        <f t="shared" si="0"/>
        <v>19</v>
      </c>
      <c r="Y21">
        <v>641</v>
      </c>
    </row>
    <row r="22" spans="2:25" x14ac:dyDescent="0.3">
      <c r="X22">
        <f t="shared" si="0"/>
        <v>20</v>
      </c>
      <c r="Y22">
        <v>684</v>
      </c>
    </row>
    <row r="23" spans="2:25" x14ac:dyDescent="0.3">
      <c r="B23" t="s">
        <v>354</v>
      </c>
      <c r="D23" t="s">
        <v>346</v>
      </c>
      <c r="X23">
        <f t="shared" si="0"/>
        <v>21</v>
      </c>
      <c r="Y23">
        <v>741</v>
      </c>
    </row>
    <row r="24" spans="2:25" x14ac:dyDescent="0.3">
      <c r="B24" s="282" t="s">
        <v>352</v>
      </c>
      <c r="C24" s="282">
        <v>879</v>
      </c>
      <c r="D24" s="282">
        <v>807</v>
      </c>
      <c r="E24" s="282">
        <v>748</v>
      </c>
      <c r="F24" s="282">
        <v>741</v>
      </c>
      <c r="G24" s="282">
        <v>684</v>
      </c>
      <c r="H24" s="282">
        <v>585</v>
      </c>
      <c r="I24" s="282">
        <v>572</v>
      </c>
      <c r="J24" s="282">
        <v>528</v>
      </c>
      <c r="K24" s="282">
        <v>513</v>
      </c>
      <c r="L24" s="282">
        <v>472</v>
      </c>
      <c r="M24" s="282">
        <v>431</v>
      </c>
      <c r="S24" t="s">
        <v>346</v>
      </c>
      <c r="X24">
        <f t="shared" si="0"/>
        <v>22</v>
      </c>
      <c r="Y24">
        <v>748</v>
      </c>
    </row>
    <row r="25" spans="2:25" x14ac:dyDescent="0.3">
      <c r="B25">
        <v>0.1</v>
      </c>
      <c r="C25">
        <v>879.22</v>
      </c>
      <c r="D25">
        <v>806.96</v>
      </c>
      <c r="E25">
        <v>748.56</v>
      </c>
      <c r="F25">
        <v>741.21</v>
      </c>
      <c r="G25">
        <v>684.52</v>
      </c>
      <c r="H25">
        <v>585.25</v>
      </c>
      <c r="I25">
        <v>572.89</v>
      </c>
      <c r="J25">
        <v>528.89</v>
      </c>
      <c r="K25">
        <v>513.44000000000005</v>
      </c>
      <c r="L25">
        <v>472.75</v>
      </c>
      <c r="M25">
        <v>431.04</v>
      </c>
      <c r="S25" s="283" t="s">
        <v>360</v>
      </c>
      <c r="T25" s="283" t="s">
        <v>359</v>
      </c>
      <c r="U25" s="283" t="s">
        <v>352</v>
      </c>
      <c r="X25">
        <f t="shared" si="0"/>
        <v>23</v>
      </c>
      <c r="Y25">
        <v>807</v>
      </c>
    </row>
    <row r="26" spans="2:25" x14ac:dyDescent="0.3">
      <c r="B26">
        <v>0.25</v>
      </c>
      <c r="C26">
        <v>879.44</v>
      </c>
      <c r="D26">
        <v>807.07</v>
      </c>
      <c r="E26">
        <v>748.49</v>
      </c>
      <c r="F26">
        <v>741.22</v>
      </c>
      <c r="G26">
        <v>684.51</v>
      </c>
      <c r="H26">
        <v>585.15</v>
      </c>
      <c r="I26">
        <v>573.01</v>
      </c>
      <c r="J26">
        <v>528.89</v>
      </c>
      <c r="K26">
        <v>513.41999999999996</v>
      </c>
      <c r="L26">
        <v>472.71</v>
      </c>
      <c r="M26">
        <v>431.07</v>
      </c>
      <c r="S26">
        <v>2</v>
      </c>
      <c r="T26" s="282">
        <v>879</v>
      </c>
      <c r="U26">
        <f>VLOOKUP(Data!$C$10,$B$24:$M$33,Database!S26,FALSE)</f>
        <v>879.68</v>
      </c>
      <c r="X26">
        <f t="shared" si="0"/>
        <v>24</v>
      </c>
      <c r="Y26">
        <v>879</v>
      </c>
    </row>
    <row r="27" spans="2:25" x14ac:dyDescent="0.3">
      <c r="B27">
        <v>0.5</v>
      </c>
      <c r="C27">
        <v>879.45</v>
      </c>
      <c r="D27">
        <v>807.1</v>
      </c>
      <c r="E27">
        <v>748.58</v>
      </c>
      <c r="F27">
        <v>741.04</v>
      </c>
      <c r="G27">
        <v>684.48</v>
      </c>
      <c r="H27">
        <v>585.27</v>
      </c>
      <c r="I27">
        <v>572.97</v>
      </c>
      <c r="J27">
        <v>528.89</v>
      </c>
      <c r="K27">
        <v>513.41</v>
      </c>
      <c r="L27">
        <v>472.61</v>
      </c>
      <c r="M27">
        <v>431.12</v>
      </c>
      <c r="S27">
        <v>3</v>
      </c>
      <c r="T27" s="282">
        <v>807</v>
      </c>
      <c r="U27">
        <f>VLOOKUP(Data!$C$10,$B$24:$M$33,Database!S27,FALSE)</f>
        <v>807.04</v>
      </c>
      <c r="X27">
        <v>25</v>
      </c>
      <c r="Y27" t="s">
        <v>363</v>
      </c>
    </row>
    <row r="28" spans="2:25" x14ac:dyDescent="0.3">
      <c r="B28">
        <v>1</v>
      </c>
      <c r="C28">
        <v>879.41</v>
      </c>
      <c r="D28">
        <v>807.02</v>
      </c>
      <c r="E28">
        <v>748.56</v>
      </c>
      <c r="F28">
        <v>741.02</v>
      </c>
      <c r="G28">
        <v>684.5</v>
      </c>
      <c r="H28">
        <v>585.19000000000005</v>
      </c>
      <c r="I28">
        <v>572.99</v>
      </c>
      <c r="J28">
        <v>528.9</v>
      </c>
      <c r="K28">
        <v>513.39</v>
      </c>
      <c r="L28">
        <v>472.66</v>
      </c>
      <c r="M28">
        <v>431.22</v>
      </c>
      <c r="S28">
        <v>4</v>
      </c>
      <c r="T28" s="282">
        <v>748</v>
      </c>
      <c r="U28">
        <f>VLOOKUP(Data!$C$10,$B$24:$M$33,Database!S28,FALSE)</f>
        <v>747.61</v>
      </c>
    </row>
    <row r="29" spans="2:25" x14ac:dyDescent="0.3">
      <c r="B29">
        <v>1.5</v>
      </c>
      <c r="C29">
        <v>879.28</v>
      </c>
      <c r="D29">
        <v>807.03</v>
      </c>
      <c r="E29">
        <v>748.55</v>
      </c>
      <c r="F29">
        <v>740.72</v>
      </c>
      <c r="G29">
        <v>684.4</v>
      </c>
      <c r="H29">
        <v>585.35</v>
      </c>
      <c r="I29">
        <v>573.16999999999996</v>
      </c>
      <c r="J29">
        <v>528.88</v>
      </c>
      <c r="K29">
        <v>513.47</v>
      </c>
      <c r="L29">
        <v>472.5</v>
      </c>
      <c r="M29">
        <v>431.38</v>
      </c>
      <c r="S29">
        <v>5</v>
      </c>
      <c r="T29" s="282">
        <v>741</v>
      </c>
      <c r="U29">
        <f>VLOOKUP(Data!$C$10,$B$24:$M$33,Database!S29,FALSE)</f>
        <v>740.51</v>
      </c>
    </row>
    <row r="30" spans="2:25" x14ac:dyDescent="0.3">
      <c r="B30">
        <v>2</v>
      </c>
      <c r="C30">
        <v>879.27</v>
      </c>
      <c r="D30">
        <v>807.03</v>
      </c>
      <c r="E30">
        <v>748.48</v>
      </c>
      <c r="F30">
        <v>740.18</v>
      </c>
      <c r="G30">
        <v>684.49</v>
      </c>
      <c r="H30">
        <v>585.29</v>
      </c>
      <c r="I30">
        <v>573.33000000000004</v>
      </c>
      <c r="J30">
        <v>528.83000000000004</v>
      </c>
      <c r="K30">
        <v>513.41</v>
      </c>
      <c r="L30">
        <v>472.47</v>
      </c>
      <c r="M30">
        <v>431.57</v>
      </c>
      <c r="S30">
        <v>6</v>
      </c>
      <c r="T30" s="282">
        <v>684</v>
      </c>
      <c r="U30">
        <f>VLOOKUP(Data!$C$10,$B$24:$M$33,Database!S30,FALSE)</f>
        <v>684.7</v>
      </c>
    </row>
    <row r="31" spans="2:25" x14ac:dyDescent="0.3">
      <c r="B31">
        <v>3</v>
      </c>
      <c r="C31">
        <v>879.4</v>
      </c>
      <c r="D31">
        <v>807.02</v>
      </c>
      <c r="E31">
        <v>748.37</v>
      </c>
      <c r="F31">
        <v>740.15</v>
      </c>
      <c r="G31">
        <v>684.31</v>
      </c>
      <c r="H31">
        <v>585.42999999999995</v>
      </c>
      <c r="I31">
        <v>573.92999999999995</v>
      </c>
      <c r="J31">
        <v>528.69000000000005</v>
      </c>
      <c r="K31">
        <v>513.23</v>
      </c>
      <c r="L31">
        <v>472.16</v>
      </c>
      <c r="M31">
        <v>431.9</v>
      </c>
      <c r="S31">
        <v>7</v>
      </c>
      <c r="T31" s="282">
        <v>585</v>
      </c>
      <c r="U31">
        <f>VLOOKUP(Data!$C$10,$B$24:$M$33,Database!S31,FALSE)</f>
        <v>585.55999999999995</v>
      </c>
    </row>
    <row r="32" spans="2:25" x14ac:dyDescent="0.3">
      <c r="B32">
        <v>4</v>
      </c>
      <c r="C32">
        <v>879.7</v>
      </c>
      <c r="D32">
        <v>807.16</v>
      </c>
      <c r="E32">
        <v>748.28</v>
      </c>
      <c r="F32">
        <v>740.27</v>
      </c>
      <c r="G32">
        <v>684.63</v>
      </c>
      <c r="H32">
        <v>585.48</v>
      </c>
      <c r="I32">
        <v>574.6</v>
      </c>
      <c r="J32">
        <v>528.72</v>
      </c>
      <c r="K32">
        <v>513.70000000000005</v>
      </c>
      <c r="L32">
        <v>472.22</v>
      </c>
      <c r="M32">
        <v>440.74</v>
      </c>
      <c r="S32">
        <v>8</v>
      </c>
      <c r="T32" s="282">
        <v>572</v>
      </c>
      <c r="U32">
        <f>VLOOKUP(Data!$C$10,$B$24:$M$33,Database!S32,FALSE)</f>
        <v>575.1</v>
      </c>
    </row>
    <row r="33" spans="2:21" x14ac:dyDescent="0.3">
      <c r="B33">
        <v>5</v>
      </c>
      <c r="C33">
        <v>879.68</v>
      </c>
      <c r="D33">
        <v>807.04</v>
      </c>
      <c r="E33">
        <v>747.61</v>
      </c>
      <c r="F33">
        <v>740.51</v>
      </c>
      <c r="G33">
        <v>684.7</v>
      </c>
      <c r="H33">
        <v>585.55999999999995</v>
      </c>
      <c r="I33">
        <v>575.1</v>
      </c>
      <c r="J33">
        <v>528.59</v>
      </c>
      <c r="K33">
        <v>513.75</v>
      </c>
      <c r="L33">
        <v>479.88</v>
      </c>
      <c r="M33">
        <v>441.29</v>
      </c>
      <c r="S33">
        <v>9</v>
      </c>
      <c r="T33" s="282">
        <v>528</v>
      </c>
      <c r="U33">
        <f>VLOOKUP(Data!$C$10,$B$24:$M$33,Database!S33,FALSE)</f>
        <v>528.59</v>
      </c>
    </row>
    <row r="34" spans="2:21" x14ac:dyDescent="0.3">
      <c r="S34">
        <v>10</v>
      </c>
      <c r="T34" s="282">
        <v>513</v>
      </c>
      <c r="U34">
        <f>VLOOKUP(Data!$C$10,$B$24:$M$33,Database!S34,FALSE)</f>
        <v>513.75</v>
      </c>
    </row>
    <row r="35" spans="2:21" x14ac:dyDescent="0.3">
      <c r="S35">
        <v>11</v>
      </c>
      <c r="T35" s="282">
        <v>472</v>
      </c>
      <c r="U35">
        <f>VLOOKUP(Data!$C$10,$B$24:$M$33,Database!S35,FALSE)</f>
        <v>479.88</v>
      </c>
    </row>
    <row r="36" spans="2:21" x14ac:dyDescent="0.3">
      <c r="S36">
        <v>12</v>
      </c>
      <c r="T36" s="282">
        <v>431</v>
      </c>
      <c r="U36">
        <f>VLOOKUP(Data!$C$10,$B$24:$M$33,Database!S36,FALSE)</f>
        <v>441.29</v>
      </c>
    </row>
    <row r="37" spans="2:21" x14ac:dyDescent="0.3">
      <c r="C37" t="s">
        <v>327</v>
      </c>
      <c r="F37" t="s">
        <v>328</v>
      </c>
      <c r="I37" t="s">
        <v>326</v>
      </c>
    </row>
    <row r="38" spans="2:21" x14ac:dyDescent="0.3">
      <c r="C38" t="s">
        <v>369</v>
      </c>
      <c r="D38" t="s">
        <v>368</v>
      </c>
      <c r="F38" t="s">
        <v>369</v>
      </c>
      <c r="G38" t="s">
        <v>368</v>
      </c>
      <c r="I38" t="s">
        <v>369</v>
      </c>
      <c r="J38" t="s">
        <v>368</v>
      </c>
    </row>
    <row r="39" spans="2:21" x14ac:dyDescent="0.3">
      <c r="C39">
        <v>440</v>
      </c>
      <c r="D39">
        <v>1.0011000000000001</v>
      </c>
      <c r="F39">
        <v>440</v>
      </c>
      <c r="G39">
        <v>0.70269999999999999</v>
      </c>
      <c r="I39">
        <v>440</v>
      </c>
      <c r="J39">
        <v>0.56130000000000002</v>
      </c>
    </row>
    <row r="40" spans="2:21" x14ac:dyDescent="0.3">
      <c r="C40">
        <v>465</v>
      </c>
      <c r="D40">
        <v>0.94420000000000004</v>
      </c>
      <c r="F40">
        <v>465</v>
      </c>
      <c r="G40">
        <v>0.66379999999999995</v>
      </c>
      <c r="I40">
        <v>465</v>
      </c>
      <c r="J40">
        <v>0.52370000000000005</v>
      </c>
    </row>
    <row r="41" spans="2:21" x14ac:dyDescent="0.3">
      <c r="C41">
        <v>546</v>
      </c>
      <c r="D41">
        <v>0.99950000000000006</v>
      </c>
      <c r="F41">
        <v>546</v>
      </c>
      <c r="G41">
        <v>0.70050000000000001</v>
      </c>
      <c r="I41">
        <v>546</v>
      </c>
      <c r="J41">
        <v>0.52529999999999999</v>
      </c>
    </row>
    <row r="42" spans="2:21" x14ac:dyDescent="0.3">
      <c r="C42">
        <v>590</v>
      </c>
      <c r="D42">
        <v>1.111</v>
      </c>
      <c r="F42">
        <v>590</v>
      </c>
      <c r="G42">
        <v>0.77600000000000002</v>
      </c>
      <c r="I42">
        <v>590</v>
      </c>
      <c r="J42">
        <v>0.5595</v>
      </c>
    </row>
    <row r="43" spans="2:21" x14ac:dyDescent="0.3">
      <c r="C43">
        <v>635</v>
      </c>
      <c r="D43">
        <v>1.0968</v>
      </c>
      <c r="F43">
        <v>635</v>
      </c>
      <c r="G43">
        <v>0.76559999999999995</v>
      </c>
      <c r="I43">
        <v>635</v>
      </c>
      <c r="J43">
        <v>0.56710000000000005</v>
      </c>
    </row>
    <row r="47" spans="2:21" x14ac:dyDescent="0.3">
      <c r="C47" s="305" t="s">
        <v>373</v>
      </c>
    </row>
    <row r="48" spans="2:21" x14ac:dyDescent="0.3">
      <c r="C48" s="124">
        <v>270</v>
      </c>
    </row>
    <row r="49" spans="3:3" x14ac:dyDescent="0.3">
      <c r="C49" s="126">
        <v>280</v>
      </c>
    </row>
    <row r="50" spans="3:3" x14ac:dyDescent="0.3">
      <c r="C50" s="126">
        <v>297</v>
      </c>
    </row>
    <row r="51" spans="3:3" x14ac:dyDescent="0.3">
      <c r="C51" s="126">
        <v>320</v>
      </c>
    </row>
    <row r="52" spans="3:3" x14ac:dyDescent="0.3">
      <c r="C52" s="129">
        <v>340</v>
      </c>
    </row>
    <row r="53" spans="3:3" x14ac:dyDescent="0.3">
      <c r="C53" s="212">
        <v>440</v>
      </c>
    </row>
    <row r="54" spans="3:3" x14ac:dyDescent="0.3">
      <c r="C54" s="212">
        <v>465</v>
      </c>
    </row>
    <row r="55" spans="3:3" x14ac:dyDescent="0.3">
      <c r="C55" s="212">
        <v>546</v>
      </c>
    </row>
    <row r="56" spans="3:3" x14ac:dyDescent="0.3">
      <c r="C56" s="212">
        <v>590</v>
      </c>
    </row>
    <row r="57" spans="3:3" x14ac:dyDescent="0.3">
      <c r="C57" s="212">
        <v>635</v>
      </c>
    </row>
    <row r="58" spans="3:3" x14ac:dyDescent="0.3">
      <c r="C58" s="305" t="s">
        <v>374</v>
      </c>
    </row>
  </sheetData>
  <phoneticPr fontId="5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Kor&amp;U95% WVL</vt:lpstr>
      <vt:lpstr>Kor&amp;U95% ABS</vt:lpstr>
      <vt:lpstr>Koreksi Termometer </vt:lpstr>
      <vt:lpstr>SS F1</vt:lpstr>
      <vt:lpstr>SS F4</vt:lpstr>
      <vt:lpstr>SS F3</vt:lpstr>
      <vt:lpstr>Lap</vt:lpstr>
      <vt:lpstr>SS F7</vt:lpstr>
      <vt:lpstr>Sertifikat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Athalla Abhiyoga</cp:lastModifiedBy>
  <cp:lastPrinted>2025-12-12T06:56:31Z</cp:lastPrinted>
  <dcterms:created xsi:type="dcterms:W3CDTF">2021-10-05T08:53:01Z</dcterms:created>
  <dcterms:modified xsi:type="dcterms:W3CDTF">2026-01-09T06:19:00Z</dcterms:modified>
</cp:coreProperties>
</file>