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hartsheets/sheet1.xml" ContentType="application/vnd.openxmlformats-officedocument.spreadsheetml.chart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9.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10.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11.xml" ContentType="application/vnd.openxmlformats-officedocument.drawingml.chartshapes+xml"/>
  <Override PartName="/xl/drawings/drawing1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1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14.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15.xml" ContentType="application/vnd.openxmlformats-officedocument.drawing+xml"/>
  <Override PartName="/xl/drawings/drawing16.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455 FINAL\"/>
    </mc:Choice>
  </mc:AlternateContent>
  <bookViews>
    <workbookView xWindow="0" yWindow="0" windowWidth="17985" windowHeight="7305" firstSheet="6" activeTab="8"/>
  </bookViews>
  <sheets>
    <sheet name="Cover Page" sheetId="15" r:id="rId1"/>
    <sheet name="Table of Contents" sheetId="16" r:id="rId2"/>
    <sheet name="Company Overviews" sheetId="17" r:id="rId3"/>
    <sheet name="Price Data" sheetId="1" r:id="rId4"/>
    <sheet name="Continuous Return" sheetId="2" r:id="rId5"/>
    <sheet name="Inferential Statistics" sheetId="3" r:id="rId6"/>
    <sheet name="Weighted Stats &amp; Excess Returns" sheetId="4" r:id="rId7"/>
    <sheet name="Variance-Covariance Matrix " sheetId="5" r:id="rId8"/>
    <sheet name="Markowitz Model" sheetId="6" r:id="rId9"/>
    <sheet name="Capm-Adjusted (CML)" sheetId="7" r:id="rId10"/>
    <sheet name="Capm-Adjusted (CML) Chart1" sheetId="14" r:id="rId11"/>
    <sheet name="CAPM 2ndAdjustment (SML)" sheetId="8" r:id="rId12"/>
    <sheet name="Capm-3rdAdjusted (using capm)" sheetId="9" r:id="rId13"/>
    <sheet name="BLM" sheetId="10" r:id="rId14"/>
    <sheet name="BLM PIE" sheetId="11" r:id="rId15"/>
    <sheet name="Final Portfolio" sheetId="12" r:id="rId16"/>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18" roundtripDataSignature="AMtx7mgUvISqZ3jTlXWE0JN74tOxtZMWSw=="/>
    </ext>
  </extLst>
</workbook>
</file>

<file path=xl/calcChain.xml><?xml version="1.0" encoding="utf-8"?>
<calcChain xmlns="http://schemas.openxmlformats.org/spreadsheetml/2006/main">
  <c r="G10" i="12" l="1"/>
  <c r="H10" i="12"/>
  <c r="I10" i="12"/>
  <c r="J10" i="12"/>
  <c r="K10" i="12"/>
  <c r="L10" i="12"/>
  <c r="F10" i="12"/>
  <c r="I28" i="10"/>
  <c r="I29" i="10"/>
  <c r="I30" i="10"/>
  <c r="I31" i="10"/>
  <c r="I25" i="10"/>
  <c r="I26" i="10"/>
  <c r="I27" i="10"/>
  <c r="C8" i="10"/>
  <c r="C7" i="10"/>
  <c r="G42" i="8" l="1"/>
  <c r="H42" i="8"/>
  <c r="I42" i="8"/>
  <c r="J42" i="8"/>
  <c r="J44" i="8" s="1"/>
  <c r="K42" i="8"/>
  <c r="L42" i="8"/>
  <c r="F42" i="8"/>
  <c r="D40" i="8"/>
  <c r="J43" i="8" s="1"/>
  <c r="D39" i="8"/>
  <c r="H43" i="8" l="1"/>
  <c r="H44" i="8" s="1"/>
  <c r="I43" i="8"/>
  <c r="I44" i="8" s="1"/>
  <c r="G43" i="8"/>
  <c r="G44" i="8" s="1"/>
  <c r="L43" i="8"/>
  <c r="L44" i="8" s="1"/>
  <c r="F43" i="8"/>
  <c r="F44" i="8" s="1"/>
  <c r="K43" i="8"/>
  <c r="K44" i="8" s="1"/>
  <c r="L43" i="9"/>
  <c r="G42" i="9"/>
  <c r="H42" i="9"/>
  <c r="I42" i="9"/>
  <c r="J42" i="9"/>
  <c r="K42" i="9"/>
  <c r="L42" i="9"/>
  <c r="F42" i="9"/>
  <c r="D41" i="9"/>
  <c r="G43" i="9" s="1"/>
  <c r="D10" i="7"/>
  <c r="D11" i="7"/>
  <c r="D12" i="7"/>
  <c r="D13" i="7"/>
  <c r="D14" i="7"/>
  <c r="D15" i="7"/>
  <c r="D16" i="7"/>
  <c r="D17" i="7"/>
  <c r="D18" i="7"/>
  <c r="D19" i="7"/>
  <c r="D20" i="7"/>
  <c r="D21" i="7"/>
  <c r="D22" i="7"/>
  <c r="D23" i="7"/>
  <c r="D24" i="7"/>
  <c r="D25" i="7"/>
  <c r="D26" i="7"/>
  <c r="D27" i="7"/>
  <c r="D28" i="7"/>
  <c r="D29" i="7"/>
  <c r="D30" i="7"/>
  <c r="C11" i="7"/>
  <c r="C12" i="7"/>
  <c r="C13" i="7"/>
  <c r="C14" i="7"/>
  <c r="C15" i="7"/>
  <c r="C16" i="7"/>
  <c r="C17" i="7"/>
  <c r="C18" i="7"/>
  <c r="C19" i="7"/>
  <c r="C20" i="7"/>
  <c r="C21" i="7"/>
  <c r="C22" i="7"/>
  <c r="C23" i="7"/>
  <c r="C24" i="7"/>
  <c r="C25" i="7"/>
  <c r="C26" i="7"/>
  <c r="C27" i="7"/>
  <c r="C28" i="7"/>
  <c r="C29" i="7"/>
  <c r="C30" i="7"/>
  <c r="C10" i="7"/>
  <c r="K7" i="9"/>
  <c r="K6" i="9"/>
  <c r="G44" i="9" l="1"/>
  <c r="G11" i="12" s="1"/>
  <c r="F43" i="9"/>
  <c r="F44" i="9"/>
  <c r="F11" i="12" s="1"/>
  <c r="L44" i="9"/>
  <c r="L11" i="12" s="1"/>
  <c r="K43" i="9"/>
  <c r="K44" i="9"/>
  <c r="K11" i="12" s="1"/>
  <c r="J43" i="9"/>
  <c r="J44" i="9"/>
  <c r="J11" i="12" s="1"/>
  <c r="I43" i="9"/>
  <c r="I44" i="9" s="1"/>
  <c r="I11" i="12" s="1"/>
  <c r="H43" i="9"/>
  <c r="H44" i="9" s="1"/>
  <c r="H11" i="12" s="1"/>
  <c r="B16" i="8"/>
  <c r="B17" i="8"/>
  <c r="B18" i="8"/>
  <c r="B19" i="8"/>
  <c r="B20" i="8"/>
  <c r="B21" i="8"/>
  <c r="B22" i="8"/>
  <c r="B23" i="8"/>
  <c r="B24" i="8"/>
  <c r="B25" i="8"/>
  <c r="B26" i="8"/>
  <c r="B27" i="8"/>
  <c r="B28" i="8"/>
  <c r="B29" i="8"/>
  <c r="B30" i="8"/>
  <c r="B31" i="8"/>
  <c r="B32" i="8"/>
  <c r="B33" i="8"/>
  <c r="D11" i="11"/>
  <c r="E11" i="11"/>
  <c r="F11" i="11"/>
  <c r="G11" i="11"/>
  <c r="H11" i="11"/>
  <c r="I11" i="11"/>
  <c r="C11" i="11"/>
  <c r="I4" i="10"/>
  <c r="I6" i="11" s="1"/>
  <c r="H4" i="10"/>
  <c r="H6" i="11" s="1"/>
  <c r="G4" i="10"/>
  <c r="G6" i="11" s="1"/>
  <c r="F4" i="10"/>
  <c r="F6" i="11" s="1"/>
  <c r="E4" i="10"/>
  <c r="E6" i="11" s="1"/>
  <c r="D4" i="10"/>
  <c r="D6" i="11" s="1"/>
  <c r="C4" i="10"/>
  <c r="C6" i="11" s="1"/>
  <c r="B30" i="9"/>
  <c r="B29" i="9"/>
  <c r="B28" i="9"/>
  <c r="B27" i="9"/>
  <c r="B26" i="9"/>
  <c r="B25" i="9"/>
  <c r="B24" i="9"/>
  <c r="B23" i="9"/>
  <c r="B22" i="9"/>
  <c r="B21" i="9"/>
  <c r="B20" i="9"/>
  <c r="B19" i="9"/>
  <c r="B18" i="9"/>
  <c r="B17" i="9"/>
  <c r="B16" i="9"/>
  <c r="B15" i="9"/>
  <c r="B14" i="9"/>
  <c r="B13" i="9"/>
  <c r="B11" i="9"/>
  <c r="B1" i="9"/>
  <c r="H24" i="8"/>
  <c r="G24" i="8"/>
  <c r="G15" i="8" s="1"/>
  <c r="C12" i="8" s="1"/>
  <c r="B11" i="8"/>
  <c r="B1" i="8"/>
  <c r="B30" i="7"/>
  <c r="B29" i="7"/>
  <c r="B28" i="7"/>
  <c r="B27" i="7"/>
  <c r="B26" i="7"/>
  <c r="B25" i="7"/>
  <c r="B24" i="7"/>
  <c r="B23" i="7"/>
  <c r="B22" i="7"/>
  <c r="B21" i="7"/>
  <c r="B20" i="7"/>
  <c r="B19" i="7"/>
  <c r="B18" i="7"/>
  <c r="B17" i="7"/>
  <c r="B16" i="7"/>
  <c r="B15" i="7"/>
  <c r="B14" i="7"/>
  <c r="B13" i="7"/>
  <c r="B12" i="7"/>
  <c r="B11" i="7"/>
  <c r="B10" i="7"/>
  <c r="C51" i="6"/>
  <c r="D56" i="6" s="1"/>
  <c r="K20" i="3"/>
  <c r="J20" i="3"/>
  <c r="I20" i="3"/>
  <c r="H20" i="3"/>
  <c r="G20" i="3"/>
  <c r="F20" i="3"/>
  <c r="E20" i="3"/>
  <c r="D20" i="3"/>
  <c r="J53" i="2"/>
  <c r="I53" i="2"/>
  <c r="H53" i="2"/>
  <c r="G53" i="2"/>
  <c r="F53" i="2"/>
  <c r="E53" i="2"/>
  <c r="D53" i="2"/>
  <c r="C53" i="2"/>
  <c r="J52" i="2"/>
  <c r="I52" i="2"/>
  <c r="H52" i="2"/>
  <c r="G52" i="2"/>
  <c r="F52" i="2"/>
  <c r="E52" i="2"/>
  <c r="D52" i="2"/>
  <c r="C52" i="2"/>
  <c r="J51" i="2"/>
  <c r="I51" i="2"/>
  <c r="J39" i="3" s="1"/>
  <c r="H51" i="2"/>
  <c r="I39" i="3" s="1"/>
  <c r="G51" i="2"/>
  <c r="F51" i="2"/>
  <c r="E51" i="2"/>
  <c r="D51" i="2"/>
  <c r="C51" i="2"/>
  <c r="J50" i="2"/>
  <c r="I50" i="2"/>
  <c r="H50" i="2"/>
  <c r="G50" i="2"/>
  <c r="F50" i="2"/>
  <c r="E50" i="2"/>
  <c r="D50" i="2"/>
  <c r="C50" i="2"/>
  <c r="J49" i="2"/>
  <c r="I49" i="2"/>
  <c r="H49" i="2"/>
  <c r="G49" i="2"/>
  <c r="F49" i="2"/>
  <c r="E49" i="2"/>
  <c r="D49" i="2"/>
  <c r="C49" i="2"/>
  <c r="J48" i="2"/>
  <c r="I48" i="2"/>
  <c r="J38" i="3" s="1"/>
  <c r="H48" i="2"/>
  <c r="I38" i="3" s="1"/>
  <c r="G48" i="2"/>
  <c r="F48" i="2"/>
  <c r="E48" i="2"/>
  <c r="D48" i="2"/>
  <c r="E38" i="3" s="1"/>
  <c r="C48" i="2"/>
  <c r="J47" i="2"/>
  <c r="I47" i="2"/>
  <c r="H47" i="2"/>
  <c r="G47" i="2"/>
  <c r="F47" i="2"/>
  <c r="E47" i="2"/>
  <c r="D47" i="2"/>
  <c r="C47" i="2"/>
  <c r="J46" i="2"/>
  <c r="I46" i="2"/>
  <c r="H46" i="2"/>
  <c r="G46" i="2"/>
  <c r="F46" i="2"/>
  <c r="E46" i="2"/>
  <c r="D46" i="2"/>
  <c r="C46" i="2"/>
  <c r="J45" i="2"/>
  <c r="I45" i="2"/>
  <c r="H45" i="2"/>
  <c r="G45" i="2"/>
  <c r="F45" i="2"/>
  <c r="E45" i="2"/>
  <c r="D45" i="2"/>
  <c r="C45" i="2"/>
  <c r="J44" i="2"/>
  <c r="I44" i="2"/>
  <c r="H44" i="2"/>
  <c r="G44" i="2"/>
  <c r="F44" i="2"/>
  <c r="E44" i="2"/>
  <c r="D44" i="2"/>
  <c r="C44" i="2"/>
  <c r="J43" i="2"/>
  <c r="I43" i="2"/>
  <c r="H43" i="2"/>
  <c r="G43" i="2"/>
  <c r="F43" i="2"/>
  <c r="E43" i="2"/>
  <c r="D43" i="2"/>
  <c r="C43" i="2"/>
  <c r="J42" i="2"/>
  <c r="I42" i="2"/>
  <c r="H42" i="2"/>
  <c r="I56" i="3" s="1"/>
  <c r="I77" i="3" s="1"/>
  <c r="G42" i="2"/>
  <c r="F42" i="2"/>
  <c r="E42" i="2"/>
  <c r="D42" i="2"/>
  <c r="C42" i="2"/>
  <c r="J41" i="2"/>
  <c r="I41" i="2"/>
  <c r="H41" i="2"/>
  <c r="G41" i="2"/>
  <c r="F41" i="2"/>
  <c r="E41" i="2"/>
  <c r="D41" i="2"/>
  <c r="C41" i="2"/>
  <c r="J40" i="2"/>
  <c r="I40" i="2"/>
  <c r="H40" i="2"/>
  <c r="G40" i="2"/>
  <c r="F40" i="2"/>
  <c r="E40" i="2"/>
  <c r="D40" i="2"/>
  <c r="C40" i="2"/>
  <c r="J39" i="2"/>
  <c r="I39" i="2"/>
  <c r="H39" i="2"/>
  <c r="I55" i="3" s="1"/>
  <c r="I76" i="3" s="1"/>
  <c r="G39" i="2"/>
  <c r="F39" i="2"/>
  <c r="G35" i="3" s="1"/>
  <c r="E39" i="2"/>
  <c r="F35" i="3" s="1"/>
  <c r="D39" i="2"/>
  <c r="C39" i="2"/>
  <c r="J38" i="2"/>
  <c r="I38" i="2"/>
  <c r="H38" i="2"/>
  <c r="G38" i="2"/>
  <c r="F38" i="2"/>
  <c r="E38" i="2"/>
  <c r="D38" i="2"/>
  <c r="C38" i="2"/>
  <c r="J37" i="2"/>
  <c r="I37" i="2"/>
  <c r="H37" i="2"/>
  <c r="G37" i="2"/>
  <c r="F37" i="2"/>
  <c r="E37" i="2"/>
  <c r="D37" i="2"/>
  <c r="C37" i="2"/>
  <c r="J36" i="2"/>
  <c r="I36" i="2"/>
  <c r="H36" i="2"/>
  <c r="G36" i="2"/>
  <c r="F36" i="2"/>
  <c r="E36" i="2"/>
  <c r="D36" i="2"/>
  <c r="C36" i="2"/>
  <c r="J35" i="2"/>
  <c r="I35" i="2"/>
  <c r="H35" i="2"/>
  <c r="G35" i="2"/>
  <c r="F35" i="2"/>
  <c r="E35" i="2"/>
  <c r="D35" i="2"/>
  <c r="C35" i="2"/>
  <c r="J34" i="2"/>
  <c r="I34" i="2"/>
  <c r="H34" i="2"/>
  <c r="G34" i="2"/>
  <c r="F34" i="2"/>
  <c r="E34" i="2"/>
  <c r="D34" i="2"/>
  <c r="C34" i="2"/>
  <c r="J33" i="2"/>
  <c r="I33" i="2"/>
  <c r="J53" i="3" s="1"/>
  <c r="J74" i="3" s="1"/>
  <c r="H33" i="2"/>
  <c r="I53" i="3" s="1"/>
  <c r="I74" i="3" s="1"/>
  <c r="G33" i="2"/>
  <c r="F33" i="2"/>
  <c r="E33" i="2"/>
  <c r="D33" i="2"/>
  <c r="C33" i="2"/>
  <c r="J32" i="2"/>
  <c r="I32" i="2"/>
  <c r="H32" i="2"/>
  <c r="G32" i="2"/>
  <c r="F32" i="2"/>
  <c r="E32" i="2"/>
  <c r="D32" i="2"/>
  <c r="C32" i="2"/>
  <c r="J31" i="2"/>
  <c r="I31" i="2"/>
  <c r="H31" i="2"/>
  <c r="G31" i="2"/>
  <c r="F31" i="2"/>
  <c r="E31" i="2"/>
  <c r="D31" i="2"/>
  <c r="C31" i="2"/>
  <c r="J30" i="2"/>
  <c r="I30" i="2"/>
  <c r="J32" i="3" s="1"/>
  <c r="H30" i="2"/>
  <c r="I52" i="3" s="1"/>
  <c r="I73" i="3" s="1"/>
  <c r="G30" i="2"/>
  <c r="F30" i="2"/>
  <c r="E30" i="2"/>
  <c r="D30" i="2"/>
  <c r="C30" i="2"/>
  <c r="J29" i="2"/>
  <c r="I29" i="2"/>
  <c r="H29" i="2"/>
  <c r="G29" i="2"/>
  <c r="F29" i="2"/>
  <c r="E29" i="2"/>
  <c r="D29" i="2"/>
  <c r="C29" i="2"/>
  <c r="J28" i="2"/>
  <c r="I28" i="2"/>
  <c r="H28" i="2"/>
  <c r="G28" i="2"/>
  <c r="F28" i="2"/>
  <c r="E28" i="2"/>
  <c r="D28" i="2"/>
  <c r="C28" i="2"/>
  <c r="J27" i="2"/>
  <c r="I27" i="2"/>
  <c r="H27" i="2"/>
  <c r="G27" i="2"/>
  <c r="F27" i="2"/>
  <c r="E27" i="2"/>
  <c r="D27" i="2"/>
  <c r="C27" i="2"/>
  <c r="J26" i="2"/>
  <c r="I26" i="2"/>
  <c r="H26" i="2"/>
  <c r="G26" i="2"/>
  <c r="F26" i="2"/>
  <c r="E26" i="2"/>
  <c r="D26" i="2"/>
  <c r="C26" i="2"/>
  <c r="J25" i="2"/>
  <c r="I25" i="2"/>
  <c r="H25" i="2"/>
  <c r="G25" i="2"/>
  <c r="F25" i="2"/>
  <c r="E25" i="2"/>
  <c r="D25" i="2"/>
  <c r="C25" i="2"/>
  <c r="J24" i="2"/>
  <c r="I24" i="2"/>
  <c r="J50" i="3" s="1"/>
  <c r="J71" i="3" s="1"/>
  <c r="H24" i="2"/>
  <c r="I50" i="3" s="1"/>
  <c r="I71" i="3" s="1"/>
  <c r="G24" i="2"/>
  <c r="F24" i="2"/>
  <c r="E24" i="2"/>
  <c r="D24" i="2"/>
  <c r="C24" i="2"/>
  <c r="J23" i="2"/>
  <c r="I23" i="2"/>
  <c r="H23" i="2"/>
  <c r="G23" i="2"/>
  <c r="F23" i="2"/>
  <c r="E23" i="2"/>
  <c r="D23" i="2"/>
  <c r="C23" i="2"/>
  <c r="J22" i="2"/>
  <c r="I22" i="2"/>
  <c r="H22" i="2"/>
  <c r="G22" i="2"/>
  <c r="F22" i="2"/>
  <c r="E22" i="2"/>
  <c r="D22" i="2"/>
  <c r="C22" i="2"/>
  <c r="J21" i="2"/>
  <c r="I21" i="2"/>
  <c r="H21" i="2"/>
  <c r="I49" i="3" s="1"/>
  <c r="I70" i="3" s="1"/>
  <c r="G21" i="2"/>
  <c r="F21" i="2"/>
  <c r="E21" i="2"/>
  <c r="D21" i="2"/>
  <c r="C21" i="2"/>
  <c r="J20" i="2"/>
  <c r="I20" i="2"/>
  <c r="H20" i="2"/>
  <c r="G20" i="2"/>
  <c r="F20" i="2"/>
  <c r="E20" i="2"/>
  <c r="D20" i="2"/>
  <c r="C20" i="2"/>
  <c r="J19" i="2"/>
  <c r="I19" i="2"/>
  <c r="H19" i="2"/>
  <c r="G19" i="2"/>
  <c r="F19" i="2"/>
  <c r="E19" i="2"/>
  <c r="D19" i="2"/>
  <c r="C19" i="2"/>
  <c r="J18" i="2"/>
  <c r="I18" i="2"/>
  <c r="H18" i="2"/>
  <c r="G18" i="2"/>
  <c r="F18" i="2"/>
  <c r="E18" i="2"/>
  <c r="D18" i="2"/>
  <c r="C18" i="2"/>
  <c r="J17" i="2"/>
  <c r="I17" i="2"/>
  <c r="H17" i="2"/>
  <c r="G17" i="2"/>
  <c r="F17" i="2"/>
  <c r="E17" i="2"/>
  <c r="D17" i="2"/>
  <c r="C17" i="2"/>
  <c r="J16" i="2"/>
  <c r="I16" i="2"/>
  <c r="H16" i="2"/>
  <c r="G16" i="2"/>
  <c r="F16" i="2"/>
  <c r="E16" i="2"/>
  <c r="D16" i="2"/>
  <c r="C16" i="2"/>
  <c r="J15" i="2"/>
  <c r="I15" i="2"/>
  <c r="H15" i="2"/>
  <c r="G15" i="2"/>
  <c r="F15" i="2"/>
  <c r="E15" i="2"/>
  <c r="D15" i="2"/>
  <c r="C15" i="2"/>
  <c r="J14" i="2"/>
  <c r="I14" i="2"/>
  <c r="H14" i="2"/>
  <c r="G14" i="2"/>
  <c r="F14" i="2"/>
  <c r="E14" i="2"/>
  <c r="D14" i="2"/>
  <c r="C14" i="2"/>
  <c r="J13" i="2"/>
  <c r="I13" i="2"/>
  <c r="H13" i="2"/>
  <c r="G13" i="2"/>
  <c r="F13" i="2"/>
  <c r="E13" i="2"/>
  <c r="D13" i="2"/>
  <c r="C13" i="2"/>
  <c r="J12" i="2"/>
  <c r="I12" i="2"/>
  <c r="H12" i="2"/>
  <c r="G12" i="2"/>
  <c r="F12" i="2"/>
  <c r="G26" i="3" s="1"/>
  <c r="E12" i="2"/>
  <c r="D12" i="2"/>
  <c r="C12" i="2"/>
  <c r="J11" i="2"/>
  <c r="I11" i="2"/>
  <c r="H11" i="2"/>
  <c r="G11" i="2"/>
  <c r="F11" i="2"/>
  <c r="E11" i="2"/>
  <c r="D11" i="2"/>
  <c r="C11" i="2"/>
  <c r="J10" i="2"/>
  <c r="I10" i="2"/>
  <c r="H10" i="2"/>
  <c r="G10" i="2"/>
  <c r="F10" i="2"/>
  <c r="E10" i="2"/>
  <c r="F25" i="3" s="1"/>
  <c r="D10" i="2"/>
  <c r="C10" i="2"/>
  <c r="J9" i="2"/>
  <c r="I9" i="2"/>
  <c r="H9" i="2"/>
  <c r="G9" i="2"/>
  <c r="F9" i="2"/>
  <c r="G25" i="3" s="1"/>
  <c r="E9" i="2"/>
  <c r="D9" i="2"/>
  <c r="C9" i="2"/>
  <c r="J8" i="2"/>
  <c r="I8" i="2"/>
  <c r="H8" i="2"/>
  <c r="G8" i="2"/>
  <c r="F8" i="2"/>
  <c r="E8" i="2"/>
  <c r="D8" i="2"/>
  <c r="C8" i="2"/>
  <c r="J7" i="2"/>
  <c r="I7" i="2"/>
  <c r="H7" i="2"/>
  <c r="G7" i="2"/>
  <c r="F7" i="2"/>
  <c r="E7" i="2"/>
  <c r="D7" i="2"/>
  <c r="C7" i="2"/>
  <c r="J6" i="2"/>
  <c r="I6" i="2"/>
  <c r="H6" i="2"/>
  <c r="G6" i="2"/>
  <c r="F6" i="2"/>
  <c r="G44" i="3" s="1"/>
  <c r="G65" i="3" s="1"/>
  <c r="E6" i="2"/>
  <c r="D6" i="2"/>
  <c r="C6" i="2"/>
  <c r="J5" i="2"/>
  <c r="I5" i="2"/>
  <c r="H5" i="2"/>
  <c r="G5" i="2"/>
  <c r="F5" i="2"/>
  <c r="E5" i="2"/>
  <c r="D5" i="2"/>
  <c r="C5" i="2"/>
  <c r="J4" i="2"/>
  <c r="I4" i="2"/>
  <c r="H4" i="2"/>
  <c r="G4" i="2"/>
  <c r="F4" i="2"/>
  <c r="E4" i="2"/>
  <c r="D4" i="2"/>
  <c r="C4" i="2"/>
  <c r="J3" i="2"/>
  <c r="I3" i="2"/>
  <c r="H3" i="2"/>
  <c r="G3" i="2"/>
  <c r="F3" i="2"/>
  <c r="G23" i="3" s="1"/>
  <c r="E3" i="2"/>
  <c r="D3" i="2"/>
  <c r="C3" i="2"/>
  <c r="D33" i="5" l="1" a="1"/>
  <c r="F44" i="3"/>
  <c r="F65" i="3" s="1"/>
  <c r="F28" i="3"/>
  <c r="F49" i="3"/>
  <c r="F70" i="3" s="1"/>
  <c r="F50" i="3"/>
  <c r="F71" i="3" s="1"/>
  <c r="F31" i="3"/>
  <c r="F34" i="3"/>
  <c r="F55" i="3"/>
  <c r="F76" i="3" s="1"/>
  <c r="F37" i="3"/>
  <c r="J35" i="3"/>
  <c r="F30" i="3"/>
  <c r="F51" i="3"/>
  <c r="F72" i="3" s="1"/>
  <c r="F32" i="3"/>
  <c r="F33" i="3"/>
  <c r="F54" i="3"/>
  <c r="F75" i="3" s="1"/>
  <c r="F36" i="3"/>
  <c r="F57" i="3"/>
  <c r="F78" i="3" s="1"/>
  <c r="F38" i="3"/>
  <c r="G27" i="3"/>
  <c r="G50" i="3"/>
  <c r="G71" i="3" s="1"/>
  <c r="G52" i="3"/>
  <c r="G73" i="3" s="1"/>
  <c r="G33" i="3"/>
  <c r="G34" i="3"/>
  <c r="G55" i="3"/>
  <c r="G76" i="3" s="1"/>
  <c r="G56" i="3"/>
  <c r="G77" i="3" s="1"/>
  <c r="G37" i="3"/>
  <c r="G58" i="3"/>
  <c r="G79" i="3" s="1"/>
  <c r="G59" i="3"/>
  <c r="G80" i="3" s="1"/>
  <c r="G49" i="3"/>
  <c r="G70" i="3" s="1"/>
  <c r="G31" i="3"/>
  <c r="F53" i="3"/>
  <c r="F74" i="3" s="1"/>
  <c r="G53" i="3"/>
  <c r="G74" i="3" s="1"/>
  <c r="J30" i="3"/>
  <c r="J51" i="3"/>
  <c r="J72" i="3" s="1"/>
  <c r="J54" i="3"/>
  <c r="J75" i="3" s="1"/>
  <c r="J56" i="3"/>
  <c r="J77" i="3" s="1"/>
  <c r="J48" i="3"/>
  <c r="J69" i="3" s="1"/>
  <c r="J29" i="3"/>
  <c r="E29" i="3"/>
  <c r="F48" i="3"/>
  <c r="F69" i="3" s="1"/>
  <c r="G48" i="3"/>
  <c r="G69" i="3" s="1"/>
  <c r="H10" i="4"/>
  <c r="H17" i="4" s="1"/>
  <c r="J23" i="3"/>
  <c r="J27" i="3"/>
  <c r="J26" i="3"/>
  <c r="J45" i="3"/>
  <c r="J66" i="3" s="1"/>
  <c r="J24" i="3"/>
  <c r="F43" i="3"/>
  <c r="F64" i="3" s="1"/>
  <c r="D33" i="5"/>
  <c r="G27" i="7"/>
  <c r="G26" i="7"/>
  <c r="D11" i="4"/>
  <c r="D12" i="4" s="1"/>
  <c r="D19" i="4" s="1"/>
  <c r="E58" i="3"/>
  <c r="E79" i="3" s="1"/>
  <c r="F37" i="5"/>
  <c r="H51" i="3"/>
  <c r="H72" i="3" s="1"/>
  <c r="H33" i="3"/>
  <c r="H36" i="3"/>
  <c r="G29" i="3"/>
  <c r="J36" i="3"/>
  <c r="J44" i="3"/>
  <c r="J65" i="3" s="1"/>
  <c r="F56" i="3"/>
  <c r="F77" i="3" s="1"/>
  <c r="F46" i="3"/>
  <c r="F67" i="3" s="1"/>
  <c r="F52" i="3"/>
  <c r="F73" i="3" s="1"/>
  <c r="D36" i="5"/>
  <c r="I45" i="3"/>
  <c r="I66" i="3" s="1"/>
  <c r="I27" i="3"/>
  <c r="I48" i="3"/>
  <c r="I69" i="3" s="1"/>
  <c r="I51" i="3"/>
  <c r="I72" i="3" s="1"/>
  <c r="I33" i="3"/>
  <c r="I34" i="3"/>
  <c r="I37" i="3"/>
  <c r="I59" i="3"/>
  <c r="I80" i="3" s="1"/>
  <c r="G47" i="3"/>
  <c r="G68" i="3" s="1"/>
  <c r="F47" i="3"/>
  <c r="F68" i="3" s="1"/>
  <c r="J33" i="3"/>
  <c r="J47" i="3"/>
  <c r="J68" i="3" s="1"/>
  <c r="E47" i="3"/>
  <c r="E68" i="3" s="1"/>
  <c r="F58" i="3"/>
  <c r="F79" i="3" s="1"/>
  <c r="K43" i="3"/>
  <c r="K64" i="3" s="1"/>
  <c r="K24" i="3"/>
  <c r="K25" i="3"/>
  <c r="K26" i="3"/>
  <c r="K27" i="3"/>
  <c r="K29" i="3"/>
  <c r="K31" i="3"/>
  <c r="K33" i="3"/>
  <c r="K34" i="3"/>
  <c r="K36" i="3"/>
  <c r="K57" i="3"/>
  <c r="K78" i="3" s="1"/>
  <c r="K39" i="3"/>
  <c r="G32" i="3"/>
  <c r="G38" i="3"/>
  <c r="D18" i="4"/>
  <c r="D24" i="3"/>
  <c r="D51" i="3"/>
  <c r="D72" i="3" s="1"/>
  <c r="D31" i="3"/>
  <c r="D54" i="3"/>
  <c r="D75" i="3" s="1"/>
  <c r="D34" i="3"/>
  <c r="D55" i="3"/>
  <c r="D76" i="3" s="1"/>
  <c r="D59" i="3"/>
  <c r="D80" i="3" s="1"/>
  <c r="D39" i="3"/>
  <c r="E45" i="3"/>
  <c r="E66" i="3" s="1"/>
  <c r="E25" i="3"/>
  <c r="F23" i="3"/>
  <c r="F26" i="3"/>
  <c r="F29" i="3"/>
  <c r="K59" i="3"/>
  <c r="K80" i="3" s="1"/>
  <c r="F10" i="4"/>
  <c r="F17" i="4" s="1"/>
  <c r="D45" i="3"/>
  <c r="D66" i="3" s="1"/>
  <c r="D25" i="3"/>
  <c r="D58" i="3"/>
  <c r="D79" i="3" s="1"/>
  <c r="F24" i="3"/>
  <c r="F45" i="3"/>
  <c r="F66" i="3" s="1"/>
  <c r="F27" i="3"/>
  <c r="G24" i="3"/>
  <c r="G30" i="3"/>
  <c r="G36" i="3"/>
  <c r="G39" i="3"/>
  <c r="G45" i="3"/>
  <c r="G66" i="3" s="1"/>
  <c r="G51" i="3"/>
  <c r="G72" i="3" s="1"/>
  <c r="G54" i="3"/>
  <c r="G75" i="3" s="1"/>
  <c r="G57" i="3"/>
  <c r="G78" i="3" s="1"/>
  <c r="D49" i="3"/>
  <c r="D70" i="3" s="1"/>
  <c r="D33" i="3"/>
  <c r="I34" i="5"/>
  <c r="H34" i="5"/>
  <c r="G34" i="5"/>
  <c r="E34" i="5"/>
  <c r="F34" i="5"/>
  <c r="D34" i="5"/>
  <c r="C34" i="5"/>
  <c r="E43" i="3"/>
  <c r="D36" i="3"/>
  <c r="I36" i="5"/>
  <c r="H36" i="5"/>
  <c r="G36" i="5"/>
  <c r="F36" i="5"/>
  <c r="E36" i="5"/>
  <c r="C36" i="5"/>
  <c r="F11" i="4"/>
  <c r="G43" i="3"/>
  <c r="G46" i="3"/>
  <c r="G67" i="3" s="1"/>
  <c r="K38" i="3"/>
  <c r="H39" i="3"/>
  <c r="H25" i="3"/>
  <c r="H46" i="3"/>
  <c r="H67" i="3" s="1"/>
  <c r="H26" i="3"/>
  <c r="H47" i="3"/>
  <c r="H68" i="3" s="1"/>
  <c r="H28" i="3"/>
  <c r="H49" i="3"/>
  <c r="H70" i="3" s="1"/>
  <c r="H29" i="3"/>
  <c r="H50" i="3"/>
  <c r="H71" i="3" s="1"/>
  <c r="H31" i="3"/>
  <c r="H52" i="3"/>
  <c r="H73" i="3" s="1"/>
  <c r="H32" i="3"/>
  <c r="H53" i="3"/>
  <c r="H74" i="3" s="1"/>
  <c r="H34" i="3"/>
  <c r="H55" i="3"/>
  <c r="H76" i="3" s="1"/>
  <c r="H35" i="3"/>
  <c r="H56" i="3"/>
  <c r="H77" i="3" s="1"/>
  <c r="H37" i="3"/>
  <c r="H38" i="3"/>
  <c r="H59" i="3"/>
  <c r="H80" i="3" s="1"/>
  <c r="I24" i="3"/>
  <c r="I30" i="3"/>
  <c r="I36" i="3"/>
  <c r="I54" i="3"/>
  <c r="I75" i="3" s="1"/>
  <c r="I57" i="3"/>
  <c r="I78" i="3" s="1"/>
  <c r="K32" i="3"/>
  <c r="H54" i="3"/>
  <c r="H75" i="3" s="1"/>
  <c r="D46" i="3"/>
  <c r="D67" i="3" s="1"/>
  <c r="D30" i="3"/>
  <c r="H24" i="3"/>
  <c r="H45" i="3"/>
  <c r="H66" i="3" s="1"/>
  <c r="I46" i="3"/>
  <c r="I67" i="3" s="1"/>
  <c r="J46" i="3"/>
  <c r="J67" i="3" s="1"/>
  <c r="J28" i="3"/>
  <c r="J49" i="3"/>
  <c r="J70" i="3" s="1"/>
  <c r="J52" i="3"/>
  <c r="J73" i="3" s="1"/>
  <c r="J34" i="3"/>
  <c r="J55" i="3"/>
  <c r="J76" i="3" s="1"/>
  <c r="J57" i="3"/>
  <c r="J78" i="3" s="1"/>
  <c r="J37" i="3"/>
  <c r="J58" i="3"/>
  <c r="J79" i="3" s="1"/>
  <c r="K30" i="3"/>
  <c r="K45" i="3"/>
  <c r="K66" i="3" s="1"/>
  <c r="K48" i="3"/>
  <c r="K69" i="3" s="1"/>
  <c r="K51" i="3"/>
  <c r="K72" i="3" s="1"/>
  <c r="K54" i="3"/>
  <c r="K75" i="3" s="1"/>
  <c r="G37" i="5"/>
  <c r="E37" i="5"/>
  <c r="D37" i="5"/>
  <c r="C37" i="5"/>
  <c r="G10" i="4"/>
  <c r="G17" i="4" s="1"/>
  <c r="G11" i="4"/>
  <c r="H37" i="5"/>
  <c r="H43" i="3"/>
  <c r="H23" i="3"/>
  <c r="I37" i="5"/>
  <c r="I23" i="3"/>
  <c r="I25" i="3"/>
  <c r="C39" i="5"/>
  <c r="I10" i="4"/>
  <c r="I17" i="4" s="1"/>
  <c r="I39" i="5"/>
  <c r="H39" i="5"/>
  <c r="F39" i="5"/>
  <c r="J43" i="3"/>
  <c r="I11" i="4"/>
  <c r="G39" i="5"/>
  <c r="E39" i="5"/>
  <c r="D39" i="5"/>
  <c r="J25" i="3"/>
  <c r="J31" i="3"/>
  <c r="J11" i="4"/>
  <c r="K44" i="3"/>
  <c r="K65" i="3" s="1"/>
  <c r="K50" i="3"/>
  <c r="K71" i="3" s="1"/>
  <c r="K53" i="3"/>
  <c r="K74" i="3" s="1"/>
  <c r="K56" i="3"/>
  <c r="K77" i="3" s="1"/>
  <c r="K58" i="3"/>
  <c r="K79" i="3" s="1"/>
  <c r="H58" i="3"/>
  <c r="H79" i="3" s="1"/>
  <c r="I33" i="5" a="1"/>
  <c r="I33" i="5" s="1"/>
  <c r="C33" i="5" a="1"/>
  <c r="C33" i="5" s="1"/>
  <c r="H33" i="5" a="1"/>
  <c r="H33" i="5" s="1"/>
  <c r="G33" i="5" a="1"/>
  <c r="G33" i="5" s="1"/>
  <c r="F33" i="5" a="1"/>
  <c r="F33" i="5" s="1"/>
  <c r="C10" i="4"/>
  <c r="C17" i="4" s="1"/>
  <c r="C11" i="4"/>
  <c r="E33" i="5" a="1"/>
  <c r="E33" i="5" s="1"/>
  <c r="D43" i="3"/>
  <c r="D48" i="3"/>
  <c r="D69" i="3" s="1"/>
  <c r="D28" i="3"/>
  <c r="D57" i="3"/>
  <c r="D78" i="3" s="1"/>
  <c r="D37" i="3"/>
  <c r="E24" i="3"/>
  <c r="K35" i="3"/>
  <c r="H44" i="3"/>
  <c r="H65" i="3" s="1"/>
  <c r="I44" i="3"/>
  <c r="I65" i="3" s="1"/>
  <c r="K28" i="3"/>
  <c r="K37" i="3"/>
  <c r="K46" i="3"/>
  <c r="K67" i="3" s="1"/>
  <c r="K49" i="3"/>
  <c r="K70" i="3" s="1"/>
  <c r="K52" i="3"/>
  <c r="K73" i="3" s="1"/>
  <c r="K55" i="3"/>
  <c r="K76" i="3" s="1"/>
  <c r="D27" i="3"/>
  <c r="D52" i="3"/>
  <c r="D73" i="3" s="1"/>
  <c r="E46" i="3"/>
  <c r="E67" i="3" s="1"/>
  <c r="G28" i="3"/>
  <c r="H30" i="3"/>
  <c r="H48" i="3"/>
  <c r="H69" i="3" s="1"/>
  <c r="E36" i="3"/>
  <c r="E39" i="3"/>
  <c r="D23" i="3"/>
  <c r="D26" i="3"/>
  <c r="D29" i="3"/>
  <c r="D32" i="3"/>
  <c r="D35" i="3"/>
  <c r="D38" i="3"/>
  <c r="D44" i="3"/>
  <c r="D65" i="3" s="1"/>
  <c r="D47" i="3"/>
  <c r="D68" i="3" s="1"/>
  <c r="D50" i="3"/>
  <c r="D71" i="3" s="1"/>
  <c r="D53" i="3"/>
  <c r="D74" i="3" s="1"/>
  <c r="D56" i="3"/>
  <c r="D77" i="3" s="1"/>
  <c r="D10" i="4"/>
  <c r="D17" i="4" s="1"/>
  <c r="H27" i="3"/>
  <c r="H57" i="3"/>
  <c r="H78" i="3" s="1"/>
  <c r="E23" i="3"/>
  <c r="E26" i="3"/>
  <c r="E32" i="3"/>
  <c r="E35" i="3"/>
  <c r="E44" i="3"/>
  <c r="E65" i="3" s="1"/>
  <c r="E50" i="3"/>
  <c r="E71" i="3" s="1"/>
  <c r="E53" i="3"/>
  <c r="E74" i="3" s="1"/>
  <c r="E56" i="3"/>
  <c r="E77" i="3" s="1"/>
  <c r="J59" i="3"/>
  <c r="J80" i="3" s="1"/>
  <c r="E10" i="4"/>
  <c r="E17" i="4" s="1"/>
  <c r="J10" i="4"/>
  <c r="J17" i="4" s="1"/>
  <c r="G35" i="5"/>
  <c r="F35" i="5"/>
  <c r="E35" i="5"/>
  <c r="D35" i="5"/>
  <c r="C35" i="5"/>
  <c r="E11" i="4"/>
  <c r="F59" i="3"/>
  <c r="F80" i="3" s="1"/>
  <c r="I26" i="3"/>
  <c r="E28" i="3"/>
  <c r="I29" i="3"/>
  <c r="E31" i="3"/>
  <c r="I32" i="3"/>
  <c r="E34" i="3"/>
  <c r="I35" i="3"/>
  <c r="E37" i="3"/>
  <c r="I47" i="3"/>
  <c r="I68" i="3" s="1"/>
  <c r="E49" i="3"/>
  <c r="E70" i="3" s="1"/>
  <c r="E52" i="3"/>
  <c r="E73" i="3" s="1"/>
  <c r="E55" i="3"/>
  <c r="E76" i="3" s="1"/>
  <c r="K23" i="3"/>
  <c r="K47" i="3"/>
  <c r="K68" i="3" s="1"/>
  <c r="I58" i="3"/>
  <c r="I79" i="3" s="1"/>
  <c r="I38" i="5"/>
  <c r="H38" i="5"/>
  <c r="G38" i="5"/>
  <c r="F38" i="5"/>
  <c r="E38" i="5"/>
  <c r="D38" i="5"/>
  <c r="C38" i="5"/>
  <c r="H11" i="4"/>
  <c r="E27" i="3"/>
  <c r="I28" i="3"/>
  <c r="E30" i="3"/>
  <c r="I31" i="3"/>
  <c r="E33" i="3"/>
  <c r="I43" i="3"/>
  <c r="E48" i="3"/>
  <c r="E69" i="3" s="1"/>
  <c r="E51" i="3"/>
  <c r="E72" i="3" s="1"/>
  <c r="E54" i="3"/>
  <c r="E75" i="3" s="1"/>
  <c r="E57" i="3"/>
  <c r="E78" i="3" s="1"/>
  <c r="H35" i="5"/>
  <c r="I56" i="6"/>
  <c r="H56" i="6"/>
  <c r="G56" i="6"/>
  <c r="F56" i="6"/>
  <c r="E56" i="6"/>
  <c r="C56" i="6"/>
  <c r="F39" i="3"/>
  <c r="E59" i="3"/>
  <c r="E80" i="3" s="1"/>
  <c r="I35" i="5"/>
  <c r="C52" i="6"/>
  <c r="C58" i="6" l="1"/>
  <c r="F8" i="12" s="1"/>
  <c r="O29" i="7"/>
  <c r="N29" i="7"/>
  <c r="I29" i="7"/>
  <c r="J29" i="7"/>
  <c r="K29" i="7"/>
  <c r="L29" i="7"/>
  <c r="M29" i="7"/>
  <c r="I28" i="7"/>
  <c r="J28" i="7"/>
  <c r="N28" i="7"/>
  <c r="N30" i="7" s="1"/>
  <c r="K9" i="12" s="1"/>
  <c r="K28" i="7"/>
  <c r="L28" i="7"/>
  <c r="M28" i="7"/>
  <c r="O28" i="7"/>
  <c r="O30" i="7" s="1"/>
  <c r="L9" i="12" s="1"/>
  <c r="F4" i="4" a="1"/>
  <c r="F4" i="4" s="1"/>
  <c r="G72" i="4" s="1"/>
  <c r="I4" i="4" a="1"/>
  <c r="I4" i="4" s="1"/>
  <c r="J36" i="4" s="1"/>
  <c r="G4" i="4" a="1"/>
  <c r="G4" i="4" s="1"/>
  <c r="H64" i="3"/>
  <c r="G5" i="4" a="1"/>
  <c r="G5" i="4" s="1"/>
  <c r="G6" i="4" s="1"/>
  <c r="D5" i="4" a="1"/>
  <c r="D5" i="4" s="1"/>
  <c r="D6" i="4" s="1"/>
  <c r="E64" i="3"/>
  <c r="E5" i="4" a="1"/>
  <c r="E5" i="4" s="1"/>
  <c r="E6" i="4" s="1"/>
  <c r="G64" i="3"/>
  <c r="F5" i="4" a="1"/>
  <c r="F5" i="4" s="1"/>
  <c r="F6" i="4" s="1"/>
  <c r="G18" i="4"/>
  <c r="G12" i="4"/>
  <c r="G19" i="4" s="1"/>
  <c r="E4" i="4" a="1"/>
  <c r="E4" i="4" s="1"/>
  <c r="J4" i="4" a="1"/>
  <c r="J4" i="4" s="1"/>
  <c r="D4" i="4" a="1"/>
  <c r="D4" i="4" s="1"/>
  <c r="D64" i="3"/>
  <c r="C5" i="4" a="1"/>
  <c r="C5" i="4" s="1"/>
  <c r="E57" i="6"/>
  <c r="E58" i="6" s="1"/>
  <c r="H8" i="12" s="1"/>
  <c r="D57" i="6"/>
  <c r="D58" i="6" s="1"/>
  <c r="G8" i="12" s="1"/>
  <c r="C57" i="6"/>
  <c r="H57" i="6"/>
  <c r="H58" i="6" s="1"/>
  <c r="K8" i="12" s="1"/>
  <c r="I57" i="6"/>
  <c r="I58" i="6" s="1"/>
  <c r="L8" i="12" s="1"/>
  <c r="G57" i="6"/>
  <c r="G58" i="6" s="1"/>
  <c r="J8" i="12" s="1"/>
  <c r="F57" i="6"/>
  <c r="F58" i="6" s="1"/>
  <c r="I8" i="12" s="1"/>
  <c r="H4" i="4" a="1"/>
  <c r="H4" i="4" s="1"/>
  <c r="J12" i="4"/>
  <c r="J19" i="4" s="1"/>
  <c r="J18" i="4"/>
  <c r="H5" i="4" a="1"/>
  <c r="H5" i="4" s="1"/>
  <c r="H6" i="4" s="1"/>
  <c r="I64" i="3"/>
  <c r="C4" i="4" a="1"/>
  <c r="C4" i="4" s="1"/>
  <c r="F18" i="4"/>
  <c r="F12" i="4"/>
  <c r="F19" i="4" s="1"/>
  <c r="H18" i="4"/>
  <c r="H12" i="4"/>
  <c r="H19" i="4" s="1"/>
  <c r="E12" i="4"/>
  <c r="E19" i="4" s="1"/>
  <c r="E18" i="4"/>
  <c r="C12" i="4"/>
  <c r="C19" i="4" s="1"/>
  <c r="C18" i="4"/>
  <c r="J5" i="4" a="1"/>
  <c r="J5" i="4" s="1"/>
  <c r="J6" i="4" s="1"/>
  <c r="J64" i="3"/>
  <c r="I5" i="4" a="1"/>
  <c r="I5" i="4" s="1"/>
  <c r="I6" i="4" s="1"/>
  <c r="I12" i="4"/>
  <c r="I19" i="4" s="1"/>
  <c r="I18" i="4"/>
  <c r="K30" i="7" l="1"/>
  <c r="H9" i="12" s="1"/>
  <c r="G68" i="4"/>
  <c r="G44" i="4"/>
  <c r="G70" i="4"/>
  <c r="G60" i="4"/>
  <c r="J48" i="4"/>
  <c r="J40" i="4"/>
  <c r="J31" i="4"/>
  <c r="J35" i="4"/>
  <c r="G26" i="4"/>
  <c r="G56" i="4"/>
  <c r="G64" i="4"/>
  <c r="G27" i="4"/>
  <c r="J64" i="4"/>
  <c r="J26" i="4"/>
  <c r="J29" i="4"/>
  <c r="J60" i="4"/>
  <c r="G39" i="4"/>
  <c r="G67" i="4"/>
  <c r="G46" i="4"/>
  <c r="G34" i="4"/>
  <c r="J46" i="4"/>
  <c r="J71" i="4"/>
  <c r="J37" i="4"/>
  <c r="J27" i="4"/>
  <c r="G43" i="4"/>
  <c r="G49" i="4"/>
  <c r="G35" i="4"/>
  <c r="G40" i="4"/>
  <c r="J28" i="4"/>
  <c r="J59" i="4"/>
  <c r="J38" i="4"/>
  <c r="J70" i="4"/>
  <c r="G23" i="4"/>
  <c r="G52" i="4"/>
  <c r="G25" i="4"/>
  <c r="G59" i="4"/>
  <c r="G54" i="4"/>
  <c r="J61" i="4"/>
  <c r="J41" i="4"/>
  <c r="J63" i="4"/>
  <c r="J52" i="4"/>
  <c r="G73" i="4"/>
  <c r="G28" i="4"/>
  <c r="G71" i="4"/>
  <c r="G61" i="4"/>
  <c r="G31" i="4"/>
  <c r="J43" i="4"/>
  <c r="J69" i="4"/>
  <c r="J32" i="4"/>
  <c r="J34" i="4"/>
  <c r="G55" i="4"/>
  <c r="G36" i="4"/>
  <c r="G51" i="4"/>
  <c r="G32" i="4"/>
  <c r="G66" i="4"/>
  <c r="J25" i="4"/>
  <c r="J53" i="4"/>
  <c r="J44" i="4"/>
  <c r="J57" i="4"/>
  <c r="G62" i="4"/>
  <c r="G38" i="4"/>
  <c r="G58" i="4"/>
  <c r="G53" i="4"/>
  <c r="J45" i="4"/>
  <c r="J23" i="4"/>
  <c r="J24" i="4"/>
  <c r="J65" i="4"/>
  <c r="J33" i="4"/>
  <c r="G45" i="4"/>
  <c r="G69" i="4"/>
  <c r="G24" i="4"/>
  <c r="G48" i="4"/>
  <c r="J54" i="4"/>
  <c r="J49" i="4"/>
  <c r="J66" i="4"/>
  <c r="J68" i="4"/>
  <c r="G47" i="4"/>
  <c r="G50" i="4"/>
  <c r="G65" i="4"/>
  <c r="G33" i="4"/>
  <c r="J62" i="4"/>
  <c r="J47" i="4"/>
  <c r="J51" i="4"/>
  <c r="J73" i="4"/>
  <c r="G29" i="4"/>
  <c r="G42" i="4"/>
  <c r="G63" i="4"/>
  <c r="G57" i="4"/>
  <c r="J42" i="4"/>
  <c r="J67" i="4"/>
  <c r="J72" i="4"/>
  <c r="J55" i="4"/>
  <c r="G41" i="4"/>
  <c r="G30" i="4"/>
  <c r="G37" i="4"/>
  <c r="J50" i="4"/>
  <c r="J58" i="4"/>
  <c r="J30" i="4"/>
  <c r="J56" i="4"/>
  <c r="J30" i="7"/>
  <c r="G9" i="12" s="1"/>
  <c r="I30" i="7"/>
  <c r="F9" i="12" s="1"/>
  <c r="M30" i="7"/>
  <c r="J9" i="12" s="1"/>
  <c r="L30" i="7"/>
  <c r="I9" i="12" s="1"/>
  <c r="J39" i="4"/>
  <c r="I41" i="4"/>
  <c r="I32" i="4"/>
  <c r="I65" i="4"/>
  <c r="I68" i="4"/>
  <c r="I62" i="4"/>
  <c r="I56" i="4"/>
  <c r="I50" i="4"/>
  <c r="I28" i="4"/>
  <c r="I59" i="4"/>
  <c r="I44" i="4"/>
  <c r="I47" i="4"/>
  <c r="I71" i="4"/>
  <c r="I73" i="4"/>
  <c r="I23" i="4"/>
  <c r="I37" i="4"/>
  <c r="I26" i="4"/>
  <c r="I53" i="4"/>
  <c r="I64" i="4"/>
  <c r="I38" i="4"/>
  <c r="I48" i="4"/>
  <c r="I66" i="4"/>
  <c r="I70" i="4"/>
  <c r="I46" i="4"/>
  <c r="I27" i="4"/>
  <c r="I24" i="4"/>
  <c r="I51" i="4"/>
  <c r="I69" i="4"/>
  <c r="I43" i="4"/>
  <c r="I52" i="4"/>
  <c r="I49" i="4"/>
  <c r="I55" i="4"/>
  <c r="I25" i="4"/>
  <c r="I54" i="4"/>
  <c r="I72" i="4"/>
  <c r="I31" i="4"/>
  <c r="I67" i="4"/>
  <c r="I30" i="4"/>
  <c r="I36" i="4"/>
  <c r="I45" i="4"/>
  <c r="I63" i="4"/>
  <c r="I61" i="4"/>
  <c r="I39" i="4"/>
  <c r="I57" i="4"/>
  <c r="I29" i="4"/>
  <c r="I35" i="4"/>
  <c r="I40" i="4"/>
  <c r="I42" i="4"/>
  <c r="I60" i="4"/>
  <c r="I33" i="4"/>
  <c r="I58" i="4"/>
  <c r="I34" i="4"/>
  <c r="B2" i="9"/>
  <c r="K41" i="4"/>
  <c r="K23" i="4"/>
  <c r="K67" i="4"/>
  <c r="K55" i="4"/>
  <c r="K49" i="4"/>
  <c r="K31" i="4"/>
  <c r="K44" i="4"/>
  <c r="K73" i="4"/>
  <c r="K61" i="4"/>
  <c r="K42" i="4"/>
  <c r="K26" i="4"/>
  <c r="K38" i="4"/>
  <c r="K62" i="4"/>
  <c r="K58" i="4"/>
  <c r="K34" i="4"/>
  <c r="K39" i="4"/>
  <c r="K27" i="4"/>
  <c r="K60" i="4"/>
  <c r="K57" i="4"/>
  <c r="K65" i="4"/>
  <c r="K72" i="4"/>
  <c r="K37" i="4"/>
  <c r="K69" i="4"/>
  <c r="K66" i="4"/>
  <c r="K47" i="4"/>
  <c r="K45" i="4"/>
  <c r="K25" i="4"/>
  <c r="K64" i="4"/>
  <c r="K40" i="4"/>
  <c r="K30" i="4"/>
  <c r="K50" i="4"/>
  <c r="K68" i="4"/>
  <c r="K70" i="4"/>
  <c r="K51" i="4"/>
  <c r="K36" i="4"/>
  <c r="K28" i="4"/>
  <c r="K24" i="4"/>
  <c r="K33" i="4"/>
  <c r="K46" i="4"/>
  <c r="K59" i="4"/>
  <c r="K29" i="4"/>
  <c r="K48" i="4"/>
  <c r="K53" i="4"/>
  <c r="K71" i="4"/>
  <c r="K63" i="4"/>
  <c r="K56" i="4"/>
  <c r="K52" i="4"/>
  <c r="K43" i="4"/>
  <c r="K32" i="4"/>
  <c r="K54" i="4"/>
  <c r="K35" i="4"/>
  <c r="H35" i="4"/>
  <c r="H68" i="4"/>
  <c r="H36" i="4"/>
  <c r="H60" i="4"/>
  <c r="H37" i="4"/>
  <c r="H58" i="4"/>
  <c r="H66" i="4"/>
  <c r="H63" i="4"/>
  <c r="H56" i="4"/>
  <c r="H47" i="4"/>
  <c r="H45" i="4"/>
  <c r="H40" i="4"/>
  <c r="H43" i="4"/>
  <c r="H61" i="4"/>
  <c r="H25" i="4"/>
  <c r="H29" i="4"/>
  <c r="H55" i="4"/>
  <c r="H59" i="4"/>
  <c r="H57" i="4"/>
  <c r="H30" i="4"/>
  <c r="H72" i="4"/>
  <c r="H28" i="4"/>
  <c r="H38" i="4"/>
  <c r="H71" i="4"/>
  <c r="H69" i="4"/>
  <c r="H23" i="4"/>
  <c r="H31" i="4"/>
  <c r="H26" i="4"/>
  <c r="H50" i="4"/>
  <c r="H46" i="4"/>
  <c r="H64" i="4"/>
  <c r="H27" i="4"/>
  <c r="H65" i="4"/>
  <c r="H51" i="4"/>
  <c r="H44" i="4"/>
  <c r="H73" i="4"/>
  <c r="H33" i="4"/>
  <c r="H24" i="4"/>
  <c r="H48" i="4"/>
  <c r="H34" i="4"/>
  <c r="H41" i="4"/>
  <c r="H62" i="4"/>
  <c r="H49" i="4"/>
  <c r="H67" i="4"/>
  <c r="H32" i="4"/>
  <c r="H53" i="4"/>
  <c r="H52" i="4"/>
  <c r="H70" i="4"/>
  <c r="H39" i="4"/>
  <c r="H42" i="4"/>
  <c r="H54" i="4"/>
  <c r="F71" i="4"/>
  <c r="F65" i="4"/>
  <c r="F59" i="4"/>
  <c r="F53" i="4"/>
  <c r="F47" i="4"/>
  <c r="F26" i="4"/>
  <c r="F35" i="4"/>
  <c r="F44" i="4"/>
  <c r="F29" i="4"/>
  <c r="F68" i="4"/>
  <c r="F62" i="4"/>
  <c r="F56" i="4"/>
  <c r="F50" i="4"/>
  <c r="F55" i="4"/>
  <c r="F67" i="4"/>
  <c r="F52" i="4"/>
  <c r="F36" i="4"/>
  <c r="F54" i="4"/>
  <c r="F72" i="4"/>
  <c r="F31" i="4"/>
  <c r="F51" i="4"/>
  <c r="F33" i="4"/>
  <c r="F69" i="4"/>
  <c r="F58" i="4"/>
  <c r="F70" i="4"/>
  <c r="F39" i="4"/>
  <c r="F57" i="4"/>
  <c r="F38" i="4"/>
  <c r="F23" i="4"/>
  <c r="F73" i="4"/>
  <c r="F40" i="4"/>
  <c r="F30" i="4"/>
  <c r="F48" i="4"/>
  <c r="F66" i="4"/>
  <c r="F32" i="4"/>
  <c r="F24" i="4"/>
  <c r="F42" i="4"/>
  <c r="F60" i="4"/>
  <c r="F28" i="4"/>
  <c r="F41" i="4"/>
  <c r="F43" i="4"/>
  <c r="F61" i="4"/>
  <c r="F25" i="4"/>
  <c r="F64" i="4"/>
  <c r="F46" i="4"/>
  <c r="F34" i="4"/>
  <c r="F27" i="4"/>
  <c r="F45" i="4"/>
  <c r="F63" i="4"/>
  <c r="F49" i="4"/>
  <c r="F37" i="4"/>
  <c r="F10" i="6" a="1"/>
  <c r="F10" i="6" s="1"/>
  <c r="C10" i="6" a="1"/>
  <c r="C10" i="6" s="1"/>
  <c r="D39" i="4"/>
  <c r="D46" i="4"/>
  <c r="D25" i="4"/>
  <c r="D57" i="4"/>
  <c r="D58" i="4"/>
  <c r="D60" i="4"/>
  <c r="D73" i="4"/>
  <c r="D50" i="4"/>
  <c r="D24" i="4"/>
  <c r="D59" i="4"/>
  <c r="D37" i="4"/>
  <c r="D70" i="4"/>
  <c r="D40" i="4"/>
  <c r="D43" i="4"/>
  <c r="D67" i="4"/>
  <c r="D23" i="4"/>
  <c r="D36" i="4"/>
  <c r="D49" i="4"/>
  <c r="D45" i="4"/>
  <c r="D63" i="4"/>
  <c r="D26" i="4"/>
  <c r="D61" i="4"/>
  <c r="D28" i="4"/>
  <c r="D27" i="4"/>
  <c r="D54" i="4"/>
  <c r="D72" i="4"/>
  <c r="D55" i="4"/>
  <c r="D44" i="4"/>
  <c r="D34" i="4"/>
  <c r="D30" i="4"/>
  <c r="D71" i="4"/>
  <c r="D29" i="4"/>
  <c r="D38" i="4"/>
  <c r="D48" i="4"/>
  <c r="D66" i="4"/>
  <c r="D33" i="4"/>
  <c r="D62" i="4"/>
  <c r="D41" i="4"/>
  <c r="D47" i="4"/>
  <c r="D68" i="4"/>
  <c r="D64" i="4"/>
  <c r="D32" i="4"/>
  <c r="D65" i="4"/>
  <c r="D35" i="4"/>
  <c r="D56" i="4"/>
  <c r="D42" i="4"/>
  <c r="D31" i="4"/>
  <c r="D52" i="4"/>
  <c r="D51" i="4"/>
  <c r="D69" i="4"/>
  <c r="D53" i="4"/>
  <c r="C23" i="5" a="1"/>
  <c r="C11" i="6" a="1"/>
  <c r="C11" i="6" s="1"/>
  <c r="C12" i="6" s="1"/>
  <c r="C6" i="4"/>
  <c r="F11" i="6" a="1"/>
  <c r="F11" i="6" s="1"/>
  <c r="F12" i="6" s="1"/>
  <c r="E37" i="4"/>
  <c r="E31" i="4"/>
  <c r="E42" i="4"/>
  <c r="E34" i="4"/>
  <c r="E39" i="4"/>
  <c r="E64" i="4"/>
  <c r="E51" i="4"/>
  <c r="E67" i="4"/>
  <c r="E40" i="4"/>
  <c r="E32" i="4"/>
  <c r="E25" i="4"/>
  <c r="E54" i="4"/>
  <c r="E50" i="4"/>
  <c r="E68" i="4"/>
  <c r="E57" i="4"/>
  <c r="E44" i="4"/>
  <c r="E62" i="4"/>
  <c r="E65" i="4"/>
  <c r="E70" i="4"/>
  <c r="E43" i="4"/>
  <c r="E52" i="4"/>
  <c r="E73" i="4"/>
  <c r="E46" i="4"/>
  <c r="E60" i="4"/>
  <c r="E53" i="4"/>
  <c r="E71" i="4"/>
  <c r="E56" i="4"/>
  <c r="E72" i="4"/>
  <c r="E61" i="4"/>
  <c r="E23" i="4"/>
  <c r="E55" i="4"/>
  <c r="E27" i="4"/>
  <c r="E36" i="4"/>
  <c r="E30" i="4"/>
  <c r="E63" i="4"/>
  <c r="E45" i="4"/>
  <c r="E26" i="4"/>
  <c r="E28" i="4"/>
  <c r="E33" i="4"/>
  <c r="E66" i="4"/>
  <c r="E35" i="4"/>
  <c r="E49" i="4"/>
  <c r="E58" i="4"/>
  <c r="E48" i="4"/>
  <c r="E47" i="4"/>
  <c r="E29" i="4"/>
  <c r="E69" i="4"/>
  <c r="E41" i="4"/>
  <c r="E59" i="4"/>
  <c r="E38" i="4"/>
  <c r="E24" i="4"/>
  <c r="F28" i="5" l="1"/>
  <c r="H26" i="5"/>
  <c r="C25" i="5"/>
  <c r="E23" i="5"/>
  <c r="E28" i="5"/>
  <c r="G26" i="5"/>
  <c r="I24" i="5"/>
  <c r="D23" i="5"/>
  <c r="I29" i="5"/>
  <c r="D28" i="5"/>
  <c r="F26" i="5"/>
  <c r="H24" i="5"/>
  <c r="H29" i="5"/>
  <c r="C28" i="5"/>
  <c r="E26" i="5"/>
  <c r="G24" i="5"/>
  <c r="C23" i="5"/>
  <c r="G29" i="5"/>
  <c r="I27" i="5"/>
  <c r="D26" i="5"/>
  <c r="F24" i="5"/>
  <c r="E29" i="5"/>
  <c r="G27" i="5"/>
  <c r="I25" i="5"/>
  <c r="D24" i="5"/>
  <c r="D29" i="5"/>
  <c r="F27" i="5"/>
  <c r="H25" i="5"/>
  <c r="C24" i="5"/>
  <c r="I28" i="5"/>
  <c r="D27" i="5"/>
  <c r="F25" i="5"/>
  <c r="H23" i="5"/>
  <c r="G28" i="5"/>
  <c r="F23" i="5"/>
  <c r="H27" i="5"/>
  <c r="E27" i="5"/>
  <c r="C27" i="5"/>
  <c r="C26" i="5"/>
  <c r="G25" i="5"/>
  <c r="F29" i="5"/>
  <c r="C29" i="5"/>
  <c r="H28" i="5"/>
  <c r="I26" i="5"/>
  <c r="E25" i="5"/>
  <c r="I23" i="5"/>
  <c r="D25" i="5"/>
  <c r="E24" i="5"/>
  <c r="G23" i="5"/>
  <c r="H33" i="9"/>
  <c r="H32" i="9"/>
  <c r="H28" i="9"/>
  <c r="H27" i="9"/>
  <c r="H29" i="9"/>
  <c r="H30" i="9"/>
  <c r="H31" i="9"/>
  <c r="H28" i="8"/>
  <c r="H27" i="8"/>
  <c r="H32" i="8"/>
  <c r="H31" i="8"/>
  <c r="H30" i="8"/>
  <c r="H29" i="8"/>
  <c r="H33" i="8"/>
  <c r="E16" i="6"/>
  <c r="D26" i="6" s="1"/>
  <c r="D9" i="7" s="1"/>
  <c r="C13" i="5" a="1"/>
  <c r="H18" i="5" l="1"/>
  <c r="C17" i="5"/>
  <c r="E15" i="5"/>
  <c r="G13" i="5"/>
  <c r="G18" i="5"/>
  <c r="I16" i="5"/>
  <c r="D15" i="5"/>
  <c r="F13" i="5"/>
  <c r="E18" i="5"/>
  <c r="G16" i="5"/>
  <c r="I14" i="5"/>
  <c r="D13" i="5"/>
  <c r="I19" i="5"/>
  <c r="D18" i="5"/>
  <c r="F16" i="5"/>
  <c r="H14" i="5"/>
  <c r="G19" i="5"/>
  <c r="I17" i="5"/>
  <c r="D16" i="5"/>
  <c r="F14" i="5"/>
  <c r="F19" i="5"/>
  <c r="H17" i="5"/>
  <c r="C16" i="5"/>
  <c r="E14" i="5"/>
  <c r="D19" i="5"/>
  <c r="F17" i="5"/>
  <c r="H15" i="5"/>
  <c r="C14" i="5"/>
  <c r="I15" i="5"/>
  <c r="H19" i="5"/>
  <c r="G15" i="5"/>
  <c r="E19" i="5"/>
  <c r="F15" i="5"/>
  <c r="C19" i="5"/>
  <c r="C15" i="5"/>
  <c r="F18" i="5"/>
  <c r="D14" i="5"/>
  <c r="C18" i="5"/>
  <c r="I13" i="5"/>
  <c r="D17" i="5"/>
  <c r="H16" i="5"/>
  <c r="E16" i="5"/>
  <c r="G17" i="5"/>
  <c r="G14" i="5"/>
  <c r="H13" i="5"/>
  <c r="E13" i="5"/>
  <c r="C13" i="5"/>
  <c r="I18" i="5"/>
  <c r="E17" i="5"/>
  <c r="H20" i="9" a="1"/>
  <c r="H20" i="9" s="1"/>
  <c r="G20" i="9" a="1"/>
  <c r="G20" i="9" s="1"/>
  <c r="H20" i="8" a="1"/>
  <c r="H20" i="8" s="1"/>
  <c r="G20" i="8" a="1"/>
  <c r="G20" i="8" s="1"/>
  <c r="G13" i="9" l="1"/>
  <c r="D12" i="9" s="1"/>
  <c r="C13" i="10" a="1"/>
  <c r="C3" i="5" a="1"/>
  <c r="G13" i="8"/>
  <c r="D12" i="8" s="1"/>
  <c r="C9" i="5" l="1"/>
  <c r="E7" i="5"/>
  <c r="G5" i="5"/>
  <c r="I3" i="5"/>
  <c r="I8" i="5"/>
  <c r="D7" i="5"/>
  <c r="F5" i="5"/>
  <c r="H3" i="5"/>
  <c r="G8" i="5"/>
  <c r="I6" i="5"/>
  <c r="D5" i="5"/>
  <c r="F3" i="5"/>
  <c r="I9" i="5"/>
  <c r="D8" i="5"/>
  <c r="F6" i="5"/>
  <c r="H4" i="5"/>
  <c r="H9" i="5"/>
  <c r="C8" i="5"/>
  <c r="E6" i="5"/>
  <c r="G4" i="5"/>
  <c r="C3" i="5"/>
  <c r="F9" i="5"/>
  <c r="H7" i="5"/>
  <c r="C6" i="5"/>
  <c r="E4" i="5"/>
  <c r="D9" i="5"/>
  <c r="H5" i="5"/>
  <c r="H8" i="5"/>
  <c r="E5" i="5"/>
  <c r="F8" i="5"/>
  <c r="C5" i="5"/>
  <c r="E8" i="5"/>
  <c r="I4" i="5"/>
  <c r="G7" i="5"/>
  <c r="D4" i="5"/>
  <c r="F7" i="5"/>
  <c r="C4" i="5"/>
  <c r="G6" i="5"/>
  <c r="D6" i="5"/>
  <c r="I5" i="5"/>
  <c r="G9" i="5"/>
  <c r="F4" i="5"/>
  <c r="G3" i="5"/>
  <c r="C7" i="5"/>
  <c r="E3" i="5"/>
  <c r="D3" i="5"/>
  <c r="E9" i="5"/>
  <c r="I7" i="5"/>
  <c r="H6" i="5"/>
  <c r="I19" i="10"/>
  <c r="D18" i="10"/>
  <c r="F16" i="10"/>
  <c r="H14" i="10"/>
  <c r="H19" i="10"/>
  <c r="C18" i="10"/>
  <c r="E16" i="10"/>
  <c r="G14" i="10"/>
  <c r="C13" i="10"/>
  <c r="G19" i="10"/>
  <c r="I17" i="10"/>
  <c r="D16" i="10"/>
  <c r="F14" i="10"/>
  <c r="F19" i="10"/>
  <c r="H17" i="10"/>
  <c r="C16" i="10"/>
  <c r="E14" i="10"/>
  <c r="E19" i="10"/>
  <c r="G17" i="10"/>
  <c r="I15" i="10"/>
  <c r="D14" i="10"/>
  <c r="D19" i="10"/>
  <c r="F17" i="10"/>
  <c r="H15" i="10"/>
  <c r="C14" i="10"/>
  <c r="C19" i="10"/>
  <c r="E17" i="10"/>
  <c r="G15" i="10"/>
  <c r="I13" i="10"/>
  <c r="I18" i="10"/>
  <c r="D17" i="10"/>
  <c r="F15" i="10"/>
  <c r="H13" i="10"/>
  <c r="G18" i="10"/>
  <c r="I16" i="10"/>
  <c r="D15" i="10"/>
  <c r="F13" i="10"/>
  <c r="H18" i="10"/>
  <c r="F18" i="10"/>
  <c r="E18" i="10"/>
  <c r="C17" i="10"/>
  <c r="H16" i="10"/>
  <c r="G16" i="10"/>
  <c r="E15" i="10"/>
  <c r="C15" i="10"/>
  <c r="I14" i="10"/>
  <c r="G13" i="10"/>
  <c r="E13" i="10"/>
  <c r="D13" i="10"/>
  <c r="C9" i="10" l="1" a="1"/>
  <c r="C9" i="10" s="1"/>
  <c r="J13" i="10" s="1" a="1"/>
  <c r="G21" i="8" a="1"/>
  <c r="G21" i="8" s="1"/>
  <c r="G22" i="9" a="1"/>
  <c r="G22" i="9" s="1"/>
  <c r="E17" i="6" a="1"/>
  <c r="E17" i="6" s="1"/>
  <c r="G22" i="8" a="1"/>
  <c r="G22" i="8" s="1"/>
  <c r="G21" i="9" a="1"/>
  <c r="G21" i="9" s="1"/>
  <c r="H21" i="8" a="1"/>
  <c r="H21" i="8" s="1"/>
  <c r="H21" i="9" a="1"/>
  <c r="H21" i="9" s="1"/>
  <c r="J13" i="10" l="1"/>
  <c r="J14" i="10"/>
  <c r="G26" i="10" s="1"/>
  <c r="J15" i="10"/>
  <c r="G27" i="10" s="1"/>
  <c r="J16" i="10"/>
  <c r="G28" i="10" s="1"/>
  <c r="J19" i="10"/>
  <c r="G31" i="10" s="1"/>
  <c r="J18" i="10"/>
  <c r="G30" i="10" s="1"/>
  <c r="J17" i="10"/>
  <c r="G29" i="10" s="1"/>
  <c r="G14" i="9"/>
  <c r="G15" i="9" s="1"/>
  <c r="C12" i="9" s="1"/>
  <c r="G23" i="8"/>
  <c r="E20" i="6"/>
  <c r="E18" i="6"/>
  <c r="E19" i="6" s="1"/>
  <c r="C26" i="6" s="1"/>
  <c r="C9" i="7" s="1"/>
  <c r="G23" i="9"/>
  <c r="G14" i="8"/>
  <c r="G25" i="10" l="1"/>
  <c r="D25" i="10" s="1" a="1"/>
  <c r="C21" i="10"/>
  <c r="C25" i="10" a="1"/>
  <c r="C25" i="10" l="1"/>
  <c r="C31" i="10"/>
  <c r="C28" i="10"/>
  <c r="C30" i="10"/>
  <c r="C29" i="10"/>
  <c r="C26" i="10"/>
  <c r="C27" i="10"/>
  <c r="D25" i="10"/>
  <c r="C16" i="11" s="1"/>
  <c r="D29" i="10"/>
  <c r="G16" i="11" s="1"/>
  <c r="D31" i="10"/>
  <c r="I16" i="11" s="1"/>
  <c r="D30" i="10"/>
  <c r="H16" i="11" s="1"/>
  <c r="D28" i="10"/>
  <c r="F16" i="11" s="1"/>
  <c r="D27" i="10"/>
  <c r="E16" i="11" s="1"/>
  <c r="D26" i="10"/>
  <c r="D16" i="11" s="1"/>
  <c r="K12" i="12" l="1"/>
  <c r="K13" i="12"/>
  <c r="L12" i="12"/>
  <c r="L13" i="12"/>
  <c r="I13" i="12"/>
  <c r="I12" i="12"/>
  <c r="J13" i="12"/>
  <c r="J12" i="12"/>
  <c r="F13" i="12"/>
  <c r="F12" i="12"/>
  <c r="G13" i="12"/>
  <c r="G12" i="12"/>
  <c r="H13" i="12"/>
  <c r="H12" i="12"/>
</calcChain>
</file>

<file path=xl/sharedStrings.xml><?xml version="1.0" encoding="utf-8"?>
<sst xmlns="http://schemas.openxmlformats.org/spreadsheetml/2006/main" count="721" uniqueCount="156">
  <si>
    <t>Montly Price Data</t>
  </si>
  <si>
    <t>GP</t>
  </si>
  <si>
    <t>Kohinoor</t>
  </si>
  <si>
    <t>Beximco</t>
  </si>
  <si>
    <t xml:space="preserve">MPetroleum </t>
  </si>
  <si>
    <t>DBH</t>
  </si>
  <si>
    <t xml:space="preserve">Marico </t>
  </si>
  <si>
    <t>Olympic</t>
  </si>
  <si>
    <t>Number of Shares</t>
  </si>
  <si>
    <t xml:space="preserve">Price per Share (September 1, 2022) </t>
  </si>
  <si>
    <t>Market Cap</t>
  </si>
  <si>
    <t>Date</t>
  </si>
  <si>
    <t>Bexi</t>
  </si>
  <si>
    <t>DSE</t>
  </si>
  <si>
    <t>September</t>
  </si>
  <si>
    <t>August</t>
  </si>
  <si>
    <t>July</t>
  </si>
  <si>
    <t>June</t>
  </si>
  <si>
    <t>May</t>
  </si>
  <si>
    <t>April</t>
  </si>
  <si>
    <t>March</t>
  </si>
  <si>
    <t>February</t>
  </si>
  <si>
    <t xml:space="preserve">January </t>
  </si>
  <si>
    <t>December</t>
  </si>
  <si>
    <t>November</t>
  </si>
  <si>
    <t>October</t>
  </si>
  <si>
    <t>Quarterly Weights</t>
  </si>
  <si>
    <t>Years</t>
  </si>
  <si>
    <t>Quarters</t>
  </si>
  <si>
    <t>Q'3 22</t>
  </si>
  <si>
    <t>Q2'22</t>
  </si>
  <si>
    <t>Q1'22</t>
  </si>
  <si>
    <t>Q4 '21</t>
  </si>
  <si>
    <t>Q3 '21</t>
  </si>
  <si>
    <t>Q2 '21</t>
  </si>
  <si>
    <t>Q1 '21</t>
  </si>
  <si>
    <t>Q4 '20</t>
  </si>
  <si>
    <t>Q3 '20</t>
  </si>
  <si>
    <t>Q2 '20</t>
  </si>
  <si>
    <t>Q1 '20</t>
  </si>
  <si>
    <t xml:space="preserve"> </t>
  </si>
  <si>
    <t>Q4 '19</t>
  </si>
  <si>
    <t>Q3 '19</t>
  </si>
  <si>
    <t>Q2 '19</t>
  </si>
  <si>
    <t>Q1 '19</t>
  </si>
  <si>
    <t>Q4 '18</t>
  </si>
  <si>
    <t>Q3 '18</t>
  </si>
  <si>
    <t>Historical Quaterly Mean</t>
  </si>
  <si>
    <t>Q3'22</t>
  </si>
  <si>
    <t>Historical Quarterly Variance</t>
  </si>
  <si>
    <t>Historical Quarterly Standard Deviation</t>
  </si>
  <si>
    <t>Weight Adjusted Annualized Expected Return, Variance, and Standard deviation</t>
  </si>
  <si>
    <t>Mean</t>
  </si>
  <si>
    <t>Variance</t>
  </si>
  <si>
    <t>Standard Deviation</t>
  </si>
  <si>
    <t>Monthly Expected Returns</t>
  </si>
  <si>
    <t>Annualized Expected Returns</t>
  </si>
  <si>
    <t>Excess Returns</t>
  </si>
  <si>
    <t>SHRUKEN VARIANCE-COVARIANCE MATRIX</t>
  </si>
  <si>
    <t>Shrinkage Factor</t>
  </si>
  <si>
    <t>MPetroleum</t>
  </si>
  <si>
    <t>Marico</t>
  </si>
  <si>
    <t>VARIANCE-COVARIANCE MATRIX</t>
  </si>
  <si>
    <t xml:space="preserve">Diagonal Variance Covarian Matrix </t>
  </si>
  <si>
    <t>CORRELATION MATRIX</t>
  </si>
  <si>
    <t>Randomly Distributed Portfolio</t>
  </si>
  <si>
    <t>Portfolio Items</t>
  </si>
  <si>
    <t>Portfolio A</t>
  </si>
  <si>
    <t>Portfolio B</t>
  </si>
  <si>
    <t>Portfolio Statistics Calcualtion A</t>
  </si>
  <si>
    <t>Portfolio Statistics Calcualtion B</t>
  </si>
  <si>
    <t>Expected Return</t>
  </si>
  <si>
    <t xml:space="preserve">Variance </t>
  </si>
  <si>
    <t>Combined Portfolio Statistics</t>
  </si>
  <si>
    <t>Portion of Portfolio A</t>
  </si>
  <si>
    <t xml:space="preserve">CoVariance </t>
  </si>
  <si>
    <t>Correlation</t>
  </si>
  <si>
    <t>proportion of A</t>
  </si>
  <si>
    <t>Portfolio stadard deviation</t>
  </si>
  <si>
    <t>Portfolio Returns</t>
  </si>
  <si>
    <t>Optimal Portions</t>
  </si>
  <si>
    <t>Combined</t>
  </si>
  <si>
    <t>Table of returns</t>
  </si>
  <si>
    <t>Optimal Proportions</t>
  </si>
  <si>
    <t>risk-free rate</t>
  </si>
  <si>
    <t>Combine</t>
  </si>
  <si>
    <t>Risk Free Rate</t>
  </si>
  <si>
    <t>Annualized Market Return</t>
  </si>
  <si>
    <t>Portfolio Beta</t>
  </si>
  <si>
    <t>Portfolio A and B combined</t>
  </si>
  <si>
    <t>Proportion of A</t>
  </si>
  <si>
    <t>Portfolio Statistics</t>
  </si>
  <si>
    <t>Covariance</t>
  </si>
  <si>
    <t>Porfolio Beta</t>
  </si>
  <si>
    <t>Stocks</t>
  </si>
  <si>
    <t>Beta</t>
  </si>
  <si>
    <t>CAPM</t>
  </si>
  <si>
    <t>KOHINOOR</t>
  </si>
  <si>
    <t>BEXIMCO</t>
  </si>
  <si>
    <t>MPETROLEUM</t>
  </si>
  <si>
    <t>MARICO</t>
  </si>
  <si>
    <t>OLYMPIC</t>
  </si>
  <si>
    <t>Benchmark Proportions</t>
  </si>
  <si>
    <t>Benchmark Portfolio</t>
  </si>
  <si>
    <t>Anticipated Benchmark Return</t>
  </si>
  <si>
    <t>Minimum Anticipated Return</t>
  </si>
  <si>
    <t>Normalizing Factor</t>
  </si>
  <si>
    <t xml:space="preserve">Expected Return Using </t>
  </si>
  <si>
    <t>Expected Return of the Benchmark</t>
  </si>
  <si>
    <t>Market Portfolio</t>
  </si>
  <si>
    <t>Expected Returns</t>
  </si>
  <si>
    <t>Analyst Opinion</t>
  </si>
  <si>
    <t>Returns Adjusted for Opinions</t>
  </si>
  <si>
    <t>Company</t>
  </si>
  <si>
    <t>Investment</t>
  </si>
  <si>
    <t>Opinion Adjusted Market Portfolio</t>
  </si>
  <si>
    <t>Methods</t>
  </si>
  <si>
    <t>Recommended Allocation</t>
  </si>
  <si>
    <t>Mean-Variance Model</t>
  </si>
  <si>
    <t>Black Littermen Model-Opinion Adjusted Portfolio</t>
  </si>
  <si>
    <t xml:space="preserve">Recommended Portfolio Allocation </t>
  </si>
  <si>
    <t>Optimal Propotion</t>
  </si>
  <si>
    <t>Proportion A</t>
  </si>
  <si>
    <t>Proportion B</t>
  </si>
  <si>
    <t>Final Project</t>
  </si>
  <si>
    <t>Portfolio Optimization</t>
  </si>
  <si>
    <t xml:space="preserve">Submitted To: </t>
  </si>
  <si>
    <t xml:space="preserve">Submitted By: </t>
  </si>
  <si>
    <t>Group 4</t>
  </si>
  <si>
    <t xml:space="preserve">Mirza M. Ferdous </t>
  </si>
  <si>
    <t>Name</t>
  </si>
  <si>
    <t>ID</t>
  </si>
  <si>
    <t>Senior Lecturer</t>
  </si>
  <si>
    <t>Department of Accounting &amp; Finance</t>
  </si>
  <si>
    <t>North South University</t>
  </si>
  <si>
    <t>Financial Modelling-FIN455 Section 2</t>
  </si>
  <si>
    <t>Arpan Chakma</t>
  </si>
  <si>
    <t>Md. Fahim Faisal Rahman</t>
  </si>
  <si>
    <t>Tasnim Tabassum Jissa</t>
  </si>
  <si>
    <t>Abidus Sadat</t>
  </si>
  <si>
    <t>Grameenphone Ltd</t>
  </si>
  <si>
    <t>Telecommunications</t>
  </si>
  <si>
    <t>Pharmaceuticals &amp; Chemicals</t>
  </si>
  <si>
    <t>Fuel &amp; Power</t>
  </si>
  <si>
    <t>Miscellaneous</t>
  </si>
  <si>
    <t>Financial Institues</t>
  </si>
  <si>
    <t>Food &amp; Allied</t>
  </si>
  <si>
    <t>Portfolio A and B combined Beta</t>
  </si>
  <si>
    <t>Table of Returns</t>
  </si>
  <si>
    <t>`Table of Returns</t>
  </si>
  <si>
    <t>Opinion Adjusted Portfolio</t>
  </si>
  <si>
    <t>CAPM Adjusted 1st portfolio</t>
  </si>
  <si>
    <t>CAPM Adjusted 2nd Portfolio</t>
  </si>
  <si>
    <t>CAPM Adjusted 3rd Portfolio</t>
  </si>
  <si>
    <t>Optimal Portfolio</t>
  </si>
  <si>
    <t>Monthly Continuous Return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</si>
</sst>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64" formatCode="mm/dd/yyyy"/>
    <numFmt numFmtId="165" formatCode="0.0000"/>
    <numFmt numFmtId="166" formatCode="#,##0.0000"/>
    <numFmt numFmtId="167" formatCode="0.00000000000"/>
    <numFmt numFmtId="168" formatCode="0.0%"/>
    <numFmt numFmtId="169" formatCode="#,##0.000000000"/>
    <numFmt numFmtId="170" formatCode="#,##0.000"/>
  </numFmts>
  <fonts count="64">
    <font>
      <sz val="10"/>
      <color rgb="FF000000"/>
      <name val="Arial"/>
      <scheme val="minor"/>
    </font>
    <font>
      <sz val="14"/>
      <color rgb="FFFFFFFF"/>
      <name val="Arial"/>
      <family val="2"/>
    </font>
    <font>
      <sz val="10"/>
      <name val="Arial"/>
      <family val="2"/>
    </font>
    <font>
      <sz val="10"/>
      <color theme="1"/>
      <name val="Arial"/>
      <family val="2"/>
    </font>
    <font>
      <b/>
      <sz val="10"/>
      <color rgb="FF333333"/>
      <name val="Arial"/>
      <family val="2"/>
    </font>
    <font>
      <sz val="10"/>
      <color rgb="FF333333"/>
      <name val="Arial"/>
      <family val="2"/>
    </font>
    <font>
      <sz val="12"/>
      <color theme="1"/>
      <name val="Times New Roman"/>
      <family val="1"/>
    </font>
    <font>
      <sz val="12"/>
      <color rgb="FF000000"/>
      <name val="Times New Roman"/>
      <family val="1"/>
    </font>
    <font>
      <sz val="10"/>
      <color rgb="FF000000"/>
      <name val="Arial"/>
      <family val="2"/>
    </font>
    <font>
      <sz val="11"/>
      <color rgb="FF000000"/>
      <name val="Calibri"/>
      <family val="2"/>
    </font>
    <font>
      <sz val="14"/>
      <color theme="1"/>
      <name val="Arial"/>
      <family val="2"/>
    </font>
    <font>
      <b/>
      <sz val="10"/>
      <color rgb="FF000000"/>
      <name val="Arial"/>
      <family val="2"/>
    </font>
    <font>
      <b/>
      <sz val="10"/>
      <color rgb="FF000000"/>
      <name val="Merriweather"/>
    </font>
    <font>
      <b/>
      <sz val="10"/>
      <color rgb="FF000000"/>
      <name val="Spectral"/>
    </font>
    <font>
      <b/>
      <sz val="10"/>
      <color rgb="FF000000"/>
      <name val="Overlock"/>
    </font>
    <font>
      <b/>
      <sz val="12"/>
      <color rgb="FF000000"/>
      <name val="Arial"/>
      <family val="2"/>
    </font>
    <font>
      <b/>
      <sz val="14"/>
      <color rgb="FF000000"/>
      <name val="Arial"/>
      <family val="2"/>
    </font>
    <font>
      <sz val="12"/>
      <color rgb="FF000000"/>
      <name val="Arial"/>
      <family val="2"/>
    </font>
    <font>
      <b/>
      <sz val="12"/>
      <color theme="1"/>
      <name val="Arial"/>
      <family val="2"/>
    </font>
    <font>
      <sz val="11"/>
      <color rgb="FF000000"/>
      <name val="Arial"/>
      <family val="2"/>
    </font>
    <font>
      <sz val="11"/>
      <color rgb="FF000000"/>
      <name val="Inconsolata"/>
    </font>
    <font>
      <b/>
      <sz val="14"/>
      <color theme="1"/>
      <name val="Arial"/>
      <family val="2"/>
    </font>
    <font>
      <b/>
      <sz val="10"/>
      <color theme="1"/>
      <name val="Arial"/>
      <family val="2"/>
    </font>
    <font>
      <sz val="10"/>
      <color rgb="FF000000"/>
      <name val="Verdana"/>
      <family val="2"/>
    </font>
    <font>
      <sz val="10"/>
      <color theme="1"/>
      <name val="Arial"/>
      <family val="2"/>
      <scheme val="minor"/>
    </font>
    <font>
      <sz val="11"/>
      <color theme="1"/>
      <name val="Inconsolata"/>
    </font>
    <font>
      <b/>
      <sz val="11"/>
      <color theme="1"/>
      <name val="Arial"/>
      <family val="2"/>
    </font>
    <font>
      <sz val="10"/>
      <color rgb="FF443333"/>
      <name val="Arial"/>
      <family val="2"/>
    </font>
    <font>
      <sz val="10"/>
      <color rgb="FF000000"/>
      <name val="Arial"/>
      <family val="2"/>
    </font>
    <font>
      <sz val="10"/>
      <color rgb="FF000000"/>
      <name val="Arial"/>
      <family val="2"/>
      <scheme val="minor"/>
    </font>
    <font>
      <b/>
      <sz val="10"/>
      <color rgb="FF000000"/>
      <name val="Arial"/>
      <family val="2"/>
      <scheme val="minor"/>
    </font>
    <font>
      <sz val="12"/>
      <color rgb="FF000000"/>
      <name val="Arial"/>
      <family val="2"/>
      <scheme val="minor"/>
    </font>
    <font>
      <sz val="12"/>
      <color theme="1"/>
      <name val="Arial"/>
      <family val="2"/>
    </font>
    <font>
      <sz val="9"/>
      <color rgb="FF000000"/>
      <name val="Arial"/>
      <family val="2"/>
      <scheme val="minor"/>
    </font>
    <font>
      <b/>
      <sz val="9"/>
      <color theme="1"/>
      <name val="Arial"/>
      <family val="2"/>
    </font>
    <font>
      <sz val="9"/>
      <name val="Arial"/>
      <family val="2"/>
    </font>
    <font>
      <sz val="11"/>
      <color theme="0"/>
      <name val="Arial"/>
      <family val="2"/>
      <scheme val="minor"/>
    </font>
    <font>
      <sz val="9"/>
      <color rgb="FF000000"/>
      <name val="Arial"/>
      <family val="2"/>
    </font>
    <font>
      <b/>
      <sz val="10"/>
      <name val="Arial"/>
      <family val="2"/>
    </font>
    <font>
      <b/>
      <sz val="10"/>
      <color theme="0"/>
      <name val="Arial"/>
      <family val="2"/>
    </font>
    <font>
      <b/>
      <sz val="9"/>
      <color theme="0"/>
      <name val="Arial"/>
      <family val="2"/>
    </font>
    <font>
      <sz val="10"/>
      <color theme="0"/>
      <name val="Arial"/>
      <family val="2"/>
      <scheme val="minor"/>
    </font>
    <font>
      <b/>
      <sz val="12"/>
      <color theme="0"/>
      <name val="Times New Roman"/>
      <family val="1"/>
    </font>
    <font>
      <b/>
      <sz val="11"/>
      <color theme="0"/>
      <name val="Times New Roman"/>
      <family val="1"/>
    </font>
    <font>
      <sz val="10"/>
      <color theme="0"/>
      <name val="Arial"/>
      <family val="2"/>
    </font>
    <font>
      <sz val="10"/>
      <color rgb="FF00B0F0"/>
      <name val="Arial"/>
      <family val="2"/>
    </font>
    <font>
      <sz val="10"/>
      <color rgb="FF00B0F0"/>
      <name val="Arial"/>
      <family val="2"/>
      <scheme val="minor"/>
    </font>
    <font>
      <sz val="20"/>
      <color rgb="FF00B0F0"/>
      <name val="Arial"/>
      <family val="2"/>
    </font>
    <font>
      <sz val="20"/>
      <color rgb="FF00B0F0"/>
      <name val="Arial"/>
      <family val="2"/>
      <scheme val="minor"/>
    </font>
    <font>
      <b/>
      <sz val="10"/>
      <color rgb="FF00B0F0"/>
      <name val="Merriweather"/>
    </font>
    <font>
      <b/>
      <sz val="14"/>
      <color theme="0"/>
      <name val="Arial"/>
      <family val="2"/>
    </font>
    <font>
      <sz val="14"/>
      <color theme="0"/>
      <name val="Arial"/>
      <family val="2"/>
      <scheme val="minor"/>
    </font>
    <font>
      <sz val="10"/>
      <color theme="0"/>
      <name val="Merriweather"/>
    </font>
    <font>
      <b/>
      <sz val="12"/>
      <color theme="0"/>
      <name val="Arial"/>
      <family val="2"/>
    </font>
    <font>
      <sz val="14"/>
      <color theme="0"/>
      <name val="Arial"/>
      <family val="2"/>
    </font>
    <font>
      <b/>
      <sz val="11"/>
      <color theme="0"/>
      <name val="Calibri"/>
      <family val="2"/>
    </font>
    <font>
      <sz val="12"/>
      <color theme="0"/>
      <name val="Inconsolata"/>
    </font>
    <font>
      <sz val="11"/>
      <color theme="0"/>
      <name val="Arial"/>
      <family val="2"/>
    </font>
    <font>
      <sz val="12"/>
      <color theme="0"/>
      <name val="Arial"/>
      <family val="2"/>
    </font>
    <font>
      <sz val="12"/>
      <name val="Arial"/>
      <family val="2"/>
    </font>
    <font>
      <sz val="11"/>
      <color theme="1"/>
      <name val="Arial"/>
      <family val="2"/>
    </font>
    <font>
      <sz val="12"/>
      <color theme="0"/>
      <name val="Arial"/>
      <family val="2"/>
      <scheme val="minor"/>
    </font>
    <font>
      <b/>
      <sz val="11"/>
      <color theme="0"/>
      <name val="Arial"/>
      <family val="2"/>
    </font>
    <font>
      <sz val="9"/>
      <color theme="0"/>
      <name val="Arial"/>
      <family val="2"/>
      <scheme val="minor"/>
    </font>
  </fonts>
  <fills count="26">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theme="4" tint="0.79998168889431442"/>
        <bgColor indexed="64"/>
      </patternFill>
    </fill>
    <fill>
      <patternFill patternType="solid">
        <fgColor theme="1"/>
        <bgColor indexed="64"/>
      </patternFill>
    </fill>
    <fill>
      <patternFill patternType="solid">
        <fgColor theme="6" tint="0.79998168889431442"/>
        <bgColor indexed="64"/>
      </patternFill>
    </fill>
    <fill>
      <patternFill patternType="solid">
        <fgColor theme="3" tint="0.34998626667073579"/>
        <bgColor indexed="64"/>
      </patternFill>
    </fill>
    <fill>
      <patternFill patternType="solid">
        <fgColor rgb="FF003366"/>
        <bgColor indexed="64"/>
      </patternFill>
    </fill>
    <fill>
      <patternFill patternType="solid">
        <fgColor rgb="FFFFFF99"/>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3" tint="0.14999847407452621"/>
        <bgColor indexed="64"/>
      </patternFill>
    </fill>
    <fill>
      <patternFill patternType="solid">
        <fgColor theme="3" tint="0.249977111117893"/>
        <bgColor indexed="64"/>
      </patternFill>
    </fill>
    <fill>
      <patternFill patternType="solid">
        <fgColor theme="1" tint="0.34998626667073579"/>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1"/>
        <bgColor rgb="FFB3CEFA"/>
      </patternFill>
    </fill>
    <fill>
      <patternFill patternType="solid">
        <fgColor theme="8" tint="0.79998168889431442"/>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1" tint="0.249977111117893"/>
        <bgColor rgb="FFFFFFFF"/>
      </patternFill>
    </fill>
    <fill>
      <patternFill patternType="solid">
        <fgColor theme="4" tint="0.79998168889431442"/>
        <bgColor rgb="FFFFFFFF"/>
      </patternFill>
    </fill>
    <fill>
      <patternFill patternType="solid">
        <fgColor rgb="FF002060"/>
        <bgColor rgb="FFFFFFFF"/>
      </patternFill>
    </fill>
    <fill>
      <patternFill patternType="solid">
        <fgColor rgb="FF002060"/>
        <bgColor indexed="64"/>
      </patternFill>
    </fill>
    <fill>
      <patternFill patternType="solid">
        <fgColor theme="6" tint="0.79998168889431442"/>
        <bgColor rgb="FFFFFFFF"/>
      </patternFill>
    </fill>
  </fills>
  <borders count="121">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thin">
        <color rgb="FF000000"/>
      </right>
      <top/>
      <bottom/>
      <diagonal/>
    </border>
    <border>
      <left style="thick">
        <color rgb="FF000000"/>
      </left>
      <right style="thick">
        <color rgb="FF000000"/>
      </right>
      <top style="thick">
        <color rgb="FF000000"/>
      </top>
      <bottom style="thick">
        <color rgb="FF000000"/>
      </bottom>
      <diagonal/>
    </border>
    <border>
      <left style="medium">
        <color rgb="FFCCCCCC"/>
      </left>
      <right style="thick">
        <color rgb="FF000000"/>
      </right>
      <top style="thick">
        <color rgb="FF000000"/>
      </top>
      <bottom style="thick">
        <color rgb="FF000000"/>
      </bottom>
      <diagonal/>
    </border>
    <border>
      <left style="thick">
        <color rgb="FF000000"/>
      </left>
      <right style="thick">
        <color rgb="FF000000"/>
      </right>
      <top style="medium">
        <color rgb="FFCCCCCC"/>
      </top>
      <bottom style="thick">
        <color rgb="FF000000"/>
      </bottom>
      <diagonal/>
    </border>
    <border>
      <left style="medium">
        <color rgb="FFCCCCCC"/>
      </left>
      <right style="thick">
        <color rgb="FF000000"/>
      </right>
      <top style="medium">
        <color rgb="FFCCCCCC"/>
      </top>
      <bottom style="thick">
        <color rgb="FF000000"/>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9" tint="-0.249977111117893"/>
      </left>
      <right/>
      <top style="medium">
        <color theme="9" tint="-0.249977111117893"/>
      </top>
      <bottom/>
      <diagonal/>
    </border>
    <border>
      <left/>
      <right/>
      <top style="medium">
        <color theme="9" tint="-0.249977111117893"/>
      </top>
      <bottom/>
      <diagonal/>
    </border>
    <border>
      <left/>
      <right style="medium">
        <color theme="9" tint="-0.249977111117893"/>
      </right>
      <top style="medium">
        <color theme="9" tint="-0.249977111117893"/>
      </top>
      <bottom/>
      <diagonal/>
    </border>
    <border>
      <left style="medium">
        <color theme="9" tint="-0.249977111117893"/>
      </left>
      <right/>
      <top/>
      <bottom/>
      <diagonal/>
    </border>
    <border>
      <left/>
      <right style="medium">
        <color theme="9" tint="-0.249977111117893"/>
      </right>
      <top/>
      <bottom/>
      <diagonal/>
    </border>
    <border>
      <left style="medium">
        <color theme="9" tint="-0.249977111117893"/>
      </left>
      <right/>
      <top/>
      <bottom style="medium">
        <color theme="9" tint="-0.249977111117893"/>
      </bottom>
      <diagonal/>
    </border>
    <border>
      <left/>
      <right/>
      <top/>
      <bottom style="medium">
        <color theme="9" tint="-0.249977111117893"/>
      </bottom>
      <diagonal/>
    </border>
    <border>
      <left/>
      <right style="medium">
        <color theme="9" tint="-0.249977111117893"/>
      </right>
      <top/>
      <bottom style="medium">
        <color theme="9" tint="-0.249977111117893"/>
      </bottom>
      <diagonal/>
    </border>
    <border>
      <left/>
      <right/>
      <top style="thin">
        <color rgb="FF7030A0"/>
      </top>
      <bottom/>
      <diagonal/>
    </border>
    <border>
      <left style="thin">
        <color theme="5" tint="0.39997558519241921"/>
      </left>
      <right style="thin">
        <color theme="5" tint="0.39997558519241921"/>
      </right>
      <top style="thin">
        <color theme="5" tint="0.39997558519241921"/>
      </top>
      <bottom style="thin">
        <color theme="5" tint="0.39997558519241921"/>
      </bottom>
      <diagonal/>
    </border>
    <border>
      <left/>
      <right/>
      <top style="thin">
        <color theme="5" tint="0.39997558519241921"/>
      </top>
      <bottom style="thin">
        <color rgb="FF7030A0"/>
      </bottom>
      <diagonal/>
    </border>
    <border>
      <left/>
      <right style="thin">
        <color rgb="FF7030A0"/>
      </right>
      <top style="thin">
        <color theme="5" tint="0.39997558519241921"/>
      </top>
      <bottom/>
      <diagonal/>
    </border>
    <border>
      <left/>
      <right style="thin">
        <color theme="5" tint="0.39997558519241921"/>
      </right>
      <top/>
      <bottom/>
      <diagonal/>
    </border>
    <border>
      <left/>
      <right/>
      <top/>
      <bottom style="thin">
        <color theme="5" tint="0.39997558519241921"/>
      </bottom>
      <diagonal/>
    </border>
    <border>
      <left/>
      <right/>
      <top style="thin">
        <color theme="5" tint="0.39997558519241921"/>
      </top>
      <bottom/>
      <diagonal/>
    </border>
    <border>
      <left/>
      <right style="thin">
        <color theme="5" tint="0.39997558519241921"/>
      </right>
      <top style="thin">
        <color theme="5" tint="0.39997558519241921"/>
      </top>
      <bottom/>
      <diagonal/>
    </border>
    <border>
      <left style="medium">
        <color theme="9" tint="-0.249977111117893"/>
      </left>
      <right style="thin">
        <color theme="5" tint="0.39997558519241921"/>
      </right>
      <top/>
      <bottom/>
      <diagonal/>
    </border>
    <border>
      <left/>
      <right style="thin">
        <color theme="5" tint="0.39997558519241921"/>
      </right>
      <top style="thin">
        <color theme="5" tint="0.39997558519241921"/>
      </top>
      <bottom style="thin">
        <color theme="5" tint="0.39997558519241921"/>
      </bottom>
      <diagonal/>
    </border>
    <border>
      <left style="thin">
        <color theme="5" tint="0.39997558519241921"/>
      </left>
      <right/>
      <top style="thin">
        <color theme="5" tint="0.39997558519241921"/>
      </top>
      <bottom style="thin">
        <color rgb="FF7030A0"/>
      </bottom>
      <diagonal/>
    </border>
    <border>
      <left/>
      <right style="thin">
        <color theme="5" tint="0.39997558519241921"/>
      </right>
      <top style="thin">
        <color theme="5" tint="0.39997558519241921"/>
      </top>
      <bottom style="thin">
        <color rgb="FF7030A0"/>
      </bottom>
      <diagonal/>
    </border>
    <border>
      <left/>
      <right style="thin">
        <color theme="5" tint="0.39997558519241921"/>
      </right>
      <top style="thin">
        <color rgb="FF7030A0"/>
      </top>
      <bottom style="thin">
        <color rgb="FF7030A0"/>
      </bottom>
      <diagonal/>
    </border>
    <border>
      <left style="thin">
        <color theme="5" tint="0.39997558519241921"/>
      </left>
      <right/>
      <top style="thin">
        <color rgb="FF7030A0"/>
      </top>
      <bottom/>
      <diagonal/>
    </border>
    <border>
      <left style="thin">
        <color theme="5" tint="0.39997558519241921"/>
      </left>
      <right/>
      <top/>
      <bottom style="thin">
        <color theme="5" tint="0.39997558519241921"/>
      </bottom>
      <diagonal/>
    </border>
    <border>
      <left/>
      <right style="thin">
        <color theme="5" tint="0.39997558519241921"/>
      </right>
      <top/>
      <bottom style="thin">
        <color theme="5" tint="0.39997558519241921"/>
      </bottom>
      <diagonal/>
    </border>
    <border>
      <left/>
      <right style="thin">
        <color theme="5" tint="0.39997558519241921"/>
      </right>
      <top style="thin">
        <color rgb="FF7030A0"/>
      </top>
      <bottom/>
      <diagonal/>
    </border>
    <border>
      <left style="thin">
        <color theme="5" tint="0.39997558519241921"/>
      </left>
      <right/>
      <top style="thin">
        <color theme="5" tint="0.39997558519241921"/>
      </top>
      <bottom style="thin">
        <color theme="5" tint="0.39997558519241921"/>
      </bottom>
      <diagonal/>
    </border>
    <border>
      <left style="thin">
        <color theme="5" tint="0.39997558519241921"/>
      </left>
      <right/>
      <top/>
      <bottom/>
      <diagonal/>
    </border>
    <border>
      <left style="medium">
        <color theme="5" tint="0.39997558519241921"/>
      </left>
      <right/>
      <top style="medium">
        <color theme="5" tint="0.39997558519241921"/>
      </top>
      <bottom/>
      <diagonal/>
    </border>
    <border>
      <left/>
      <right/>
      <top style="medium">
        <color theme="5" tint="0.39997558519241921"/>
      </top>
      <bottom/>
      <diagonal/>
    </border>
    <border>
      <left/>
      <right style="medium">
        <color theme="5" tint="0.39997558519241921"/>
      </right>
      <top style="medium">
        <color theme="5" tint="0.39997558519241921"/>
      </top>
      <bottom/>
      <diagonal/>
    </border>
    <border>
      <left style="medium">
        <color theme="5" tint="0.39997558519241921"/>
      </left>
      <right/>
      <top/>
      <bottom/>
      <diagonal/>
    </border>
    <border>
      <left/>
      <right style="medium">
        <color theme="5" tint="0.39997558519241921"/>
      </right>
      <top/>
      <bottom/>
      <diagonal/>
    </border>
    <border>
      <left style="medium">
        <color theme="5" tint="0.39997558519241921"/>
      </left>
      <right/>
      <top/>
      <bottom style="medium">
        <color theme="5" tint="0.39997558519241921"/>
      </bottom>
      <diagonal/>
    </border>
    <border>
      <left/>
      <right/>
      <top/>
      <bottom style="medium">
        <color theme="5" tint="0.39997558519241921"/>
      </bottom>
      <diagonal/>
    </border>
    <border>
      <left/>
      <right style="medium">
        <color theme="5" tint="0.39997558519241921"/>
      </right>
      <top/>
      <bottom style="medium">
        <color theme="5" tint="0.39997558519241921"/>
      </bottom>
      <diagonal/>
    </border>
    <border>
      <left style="medium">
        <color theme="9"/>
      </left>
      <right style="medium">
        <color theme="9"/>
      </right>
      <top style="medium">
        <color theme="9"/>
      </top>
      <bottom style="medium">
        <color theme="9"/>
      </bottom>
      <diagonal/>
    </border>
    <border>
      <left/>
      <right/>
      <top style="thin">
        <color theme="9" tint="-0.499984740745262"/>
      </top>
      <bottom/>
      <diagonal/>
    </border>
    <border>
      <left style="thin">
        <color theme="9"/>
      </left>
      <right style="thin">
        <color theme="9"/>
      </right>
      <top style="thin">
        <color theme="9"/>
      </top>
      <bottom style="thin">
        <color theme="9"/>
      </bottom>
      <diagonal/>
    </border>
    <border>
      <left style="thin">
        <color theme="9"/>
      </left>
      <right style="thin">
        <color theme="9"/>
      </right>
      <top style="thin">
        <color theme="9"/>
      </top>
      <bottom style="thin">
        <color theme="9" tint="-0.499984740745262"/>
      </bottom>
      <diagonal/>
    </border>
    <border>
      <left style="thin">
        <color theme="9"/>
      </left>
      <right style="thin">
        <color theme="9"/>
      </right>
      <top/>
      <bottom/>
      <diagonal/>
    </border>
    <border>
      <left style="thin">
        <color theme="9"/>
      </left>
      <right style="thin">
        <color theme="9"/>
      </right>
      <top/>
      <bottom style="thin">
        <color theme="9"/>
      </bottom>
      <diagonal/>
    </border>
    <border>
      <left style="thin">
        <color theme="9"/>
      </left>
      <right style="thin">
        <color theme="9"/>
      </right>
      <top style="thin">
        <color theme="9"/>
      </top>
      <bottom/>
      <diagonal/>
    </border>
    <border>
      <left/>
      <right/>
      <top style="medium">
        <color theme="9"/>
      </top>
      <bottom/>
      <diagonal/>
    </border>
    <border>
      <left style="thin">
        <color theme="9"/>
      </left>
      <right/>
      <top style="thin">
        <color theme="9"/>
      </top>
      <bottom/>
      <diagonal/>
    </border>
    <border>
      <left style="thin">
        <color theme="9"/>
      </left>
      <right/>
      <top/>
      <bottom/>
      <diagonal/>
    </border>
    <border>
      <left style="thin">
        <color theme="9"/>
      </left>
      <right/>
      <top/>
      <bottom style="thin">
        <color theme="9"/>
      </bottom>
      <diagonal/>
    </border>
    <border>
      <left style="medium">
        <color theme="5" tint="0.39997558519241921"/>
      </left>
      <right style="thin">
        <color theme="9"/>
      </right>
      <top style="thin">
        <color theme="9"/>
      </top>
      <bottom/>
      <diagonal/>
    </border>
    <border>
      <left/>
      <right style="thin">
        <color theme="9"/>
      </right>
      <top style="thin">
        <color theme="9"/>
      </top>
      <bottom/>
      <diagonal/>
    </border>
    <border>
      <left/>
      <right style="thin">
        <color theme="9"/>
      </right>
      <top/>
      <bottom/>
      <diagonal/>
    </border>
    <border>
      <left/>
      <right style="thin">
        <color theme="9"/>
      </right>
      <top/>
      <bottom style="thin">
        <color theme="9"/>
      </bottom>
      <diagonal/>
    </border>
    <border>
      <left/>
      <right/>
      <top style="thin">
        <color theme="9"/>
      </top>
      <bottom style="thin">
        <color theme="9"/>
      </bottom>
      <diagonal/>
    </border>
    <border>
      <left/>
      <right style="thin">
        <color theme="9"/>
      </right>
      <top style="thin">
        <color theme="9"/>
      </top>
      <bottom style="thin">
        <color theme="9"/>
      </bottom>
      <diagonal/>
    </border>
    <border>
      <left/>
      <right/>
      <top/>
      <bottom style="thin">
        <color theme="9"/>
      </bottom>
      <diagonal/>
    </border>
    <border>
      <left style="thin">
        <color theme="9"/>
      </left>
      <right style="thin">
        <color theme="9"/>
      </right>
      <top/>
      <bottom style="thin">
        <color theme="5" tint="0.39997558519241921"/>
      </bottom>
      <diagonal/>
    </border>
    <border>
      <left style="thin">
        <color theme="9"/>
      </left>
      <right style="thin">
        <color theme="9"/>
      </right>
      <top style="thin">
        <color theme="5" tint="0.39997558519241921"/>
      </top>
      <bottom/>
      <diagonal/>
    </border>
    <border>
      <left/>
      <right/>
      <top style="thin">
        <color theme="9"/>
      </top>
      <bottom/>
      <diagonal/>
    </border>
    <border>
      <left style="thin">
        <color rgb="FF000000"/>
      </left>
      <right style="thick">
        <color rgb="FF000000"/>
      </right>
      <top style="thick">
        <color theme="9"/>
      </top>
      <bottom style="thin">
        <color rgb="FF000000"/>
      </bottom>
      <diagonal/>
    </border>
    <border>
      <left style="thin">
        <color rgb="FF000000"/>
      </left>
      <right style="thin">
        <color rgb="FF000000"/>
      </right>
      <top style="thin">
        <color rgb="FF000000"/>
      </top>
      <bottom/>
      <diagonal/>
    </border>
    <border>
      <left style="thin">
        <color rgb="FF000000"/>
      </left>
      <right style="thick">
        <color rgb="FF000000"/>
      </right>
      <top style="thin">
        <color rgb="FF000000"/>
      </top>
      <bottom style="thick">
        <color theme="9"/>
      </bottom>
      <diagonal/>
    </border>
    <border>
      <left style="thin">
        <color rgb="FF000000"/>
      </left>
      <right style="thin">
        <color rgb="FF000000"/>
      </right>
      <top/>
      <bottom style="thin">
        <color rgb="FF000000"/>
      </bottom>
      <diagonal/>
    </border>
    <border>
      <left style="thick">
        <color rgb="FF000000"/>
      </left>
      <right style="thick">
        <color rgb="FF000000"/>
      </right>
      <top style="thick">
        <color rgb="FF000000"/>
      </top>
      <bottom style="thick">
        <color theme="9"/>
      </bottom>
      <diagonal/>
    </border>
    <border>
      <left style="thick">
        <color rgb="FF000000"/>
      </left>
      <right style="thick">
        <color rgb="FF000000"/>
      </right>
      <top/>
      <bottom style="thick">
        <color rgb="FF000000"/>
      </bottom>
      <diagonal/>
    </border>
    <border>
      <left style="medium">
        <color rgb="FFCCCCCC"/>
      </left>
      <right style="thick">
        <color rgb="FF000000"/>
      </right>
      <top/>
      <bottom style="thick">
        <color rgb="FF000000"/>
      </bottom>
      <diagonal/>
    </border>
    <border>
      <left style="medium">
        <color rgb="FFCCCCCC"/>
      </left>
      <right style="thick">
        <color rgb="FF000000"/>
      </right>
      <top style="thick">
        <color rgb="FF000000"/>
      </top>
      <bottom style="thick">
        <color theme="9"/>
      </bottom>
      <diagonal/>
    </border>
    <border>
      <left style="thin">
        <color theme="9"/>
      </left>
      <right/>
      <top style="thin">
        <color theme="9"/>
      </top>
      <bottom style="thin">
        <color theme="9"/>
      </bottom>
      <diagonal/>
    </border>
    <border>
      <left style="thin">
        <color theme="9"/>
      </left>
      <right style="thin">
        <color theme="9"/>
      </right>
      <top style="thin">
        <color theme="9"/>
      </top>
      <bottom style="medium">
        <color theme="9"/>
      </bottom>
      <diagonal/>
    </border>
    <border>
      <left/>
      <right style="thin">
        <color theme="9"/>
      </right>
      <top/>
      <bottom style="medium">
        <color theme="9"/>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style="thin">
        <color theme="1"/>
      </right>
      <top/>
      <bottom style="thin">
        <color theme="1"/>
      </bottom>
      <diagonal/>
    </border>
    <border>
      <left/>
      <right style="thin">
        <color theme="1"/>
      </right>
      <top/>
      <bottom/>
      <diagonal/>
    </border>
    <border>
      <left style="thin">
        <color theme="1"/>
      </left>
      <right style="thin">
        <color theme="1"/>
      </right>
      <top/>
      <bottom style="thin">
        <color theme="1"/>
      </bottom>
      <diagonal/>
    </border>
    <border>
      <left style="medium">
        <color theme="1"/>
      </left>
      <right style="medium">
        <color theme="1"/>
      </right>
      <top style="medium">
        <color theme="1"/>
      </top>
      <bottom style="medium">
        <color theme="1"/>
      </bottom>
      <diagonal/>
    </border>
    <border>
      <left style="medium">
        <color theme="1"/>
      </left>
      <right/>
      <top style="medium">
        <color theme="1"/>
      </top>
      <bottom style="medium">
        <color theme="1"/>
      </bottom>
      <diagonal/>
    </border>
    <border>
      <left/>
      <right/>
      <top style="medium">
        <color theme="1"/>
      </top>
      <bottom style="medium">
        <color theme="1"/>
      </bottom>
      <diagonal/>
    </border>
    <border>
      <left/>
      <right style="medium">
        <color theme="1"/>
      </right>
      <top style="medium">
        <color theme="1"/>
      </top>
      <bottom style="medium">
        <color theme="1"/>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style="medium">
        <color theme="1"/>
      </right>
      <top style="medium">
        <color theme="1"/>
      </top>
      <bottom/>
      <diagonal/>
    </border>
    <border>
      <left style="medium">
        <color theme="1"/>
      </left>
      <right/>
      <top style="thin">
        <color theme="1"/>
      </top>
      <bottom style="thin">
        <color theme="1"/>
      </bottom>
      <diagonal/>
    </border>
    <border>
      <left/>
      <right style="medium">
        <color theme="1"/>
      </right>
      <top style="thin">
        <color theme="1"/>
      </top>
      <bottom style="thin">
        <color theme="1"/>
      </bottom>
      <diagonal/>
    </border>
    <border>
      <left style="medium">
        <color theme="1"/>
      </left>
      <right style="thin">
        <color theme="1"/>
      </right>
      <top style="thin">
        <color theme="1"/>
      </top>
      <bottom style="thin">
        <color theme="1"/>
      </bottom>
      <diagonal/>
    </border>
    <border>
      <left style="medium">
        <color theme="1"/>
      </left>
      <right/>
      <top style="thin">
        <color theme="1"/>
      </top>
      <bottom style="medium">
        <color theme="1"/>
      </bottom>
      <diagonal/>
    </border>
    <border>
      <left/>
      <right/>
      <top style="thin">
        <color theme="1"/>
      </top>
      <bottom style="medium">
        <color theme="1"/>
      </bottom>
      <diagonal/>
    </border>
    <border>
      <left style="thin">
        <color theme="1"/>
      </left>
      <right style="medium">
        <color theme="1"/>
      </right>
      <top style="thin">
        <color theme="1"/>
      </top>
      <bottom style="medium">
        <color theme="1"/>
      </bottom>
      <diagonal/>
    </border>
    <border>
      <left style="thin">
        <color theme="1"/>
      </left>
      <right style="medium">
        <color theme="1"/>
      </right>
      <top style="medium">
        <color theme="1"/>
      </top>
      <bottom/>
      <diagonal/>
    </border>
    <border>
      <left style="medium">
        <color theme="1"/>
      </left>
      <right/>
      <top/>
      <bottom style="thin">
        <color theme="1"/>
      </bottom>
      <diagonal/>
    </border>
    <border>
      <left style="thin">
        <color theme="1"/>
      </left>
      <right style="medium">
        <color theme="1"/>
      </right>
      <top/>
      <bottom style="thin">
        <color theme="1"/>
      </bottom>
      <diagonal/>
    </border>
    <border>
      <left style="medium">
        <color theme="1"/>
      </left>
      <right style="thin">
        <color theme="1"/>
      </right>
      <top style="thin">
        <color theme="1"/>
      </top>
      <bottom/>
      <diagonal/>
    </border>
    <border>
      <left style="thin">
        <color theme="1"/>
      </left>
      <right style="medium">
        <color theme="1"/>
      </right>
      <top/>
      <bottom/>
      <diagonal/>
    </border>
    <border>
      <left style="thin">
        <color theme="1"/>
      </left>
      <right style="medium">
        <color theme="1"/>
      </right>
      <top style="thin">
        <color theme="1"/>
      </top>
      <bottom style="thin">
        <color theme="1"/>
      </bottom>
      <diagonal/>
    </border>
    <border>
      <left/>
      <right style="thin">
        <color theme="1"/>
      </right>
      <top style="thin">
        <color theme="1"/>
      </top>
      <bottom style="medium">
        <color theme="1"/>
      </bottom>
      <diagonal/>
    </border>
    <border>
      <left style="thin">
        <color theme="1"/>
      </left>
      <right style="medium">
        <color theme="1"/>
      </right>
      <top/>
      <bottom style="medium">
        <color theme="1"/>
      </bottom>
      <diagonal/>
    </border>
    <border>
      <left/>
      <right/>
      <top style="medium">
        <color rgb="FF000000"/>
      </top>
      <bottom/>
      <diagonal/>
    </border>
    <border>
      <left/>
      <right style="medium">
        <color rgb="FF000000"/>
      </right>
      <top style="medium">
        <color rgb="FF000000"/>
      </top>
      <bottom/>
      <diagonal/>
    </border>
  </borders>
  <cellStyleXfs count="2">
    <xf numFmtId="0" fontId="0" fillId="0" borderId="0"/>
    <xf numFmtId="9" fontId="29" fillId="0" borderId="0" applyFont="0" applyFill="0" applyBorder="0" applyAlignment="0" applyProtection="0"/>
  </cellStyleXfs>
  <cellXfs count="536">
    <xf numFmtId="0" fontId="0" fillId="0" borderId="0" xfId="0"/>
    <xf numFmtId="0" fontId="1" fillId="2" borderId="1" xfId="0" applyFont="1" applyFill="1" applyBorder="1" applyAlignment="1">
      <alignment horizontal="center"/>
    </xf>
    <xf numFmtId="0" fontId="3" fillId="0" borderId="0" xfId="0" applyFont="1"/>
    <xf numFmtId="164" fontId="4" fillId="3" borderId="1" xfId="0" applyNumberFormat="1" applyFont="1" applyFill="1" applyBorder="1" applyAlignment="1">
      <alignment horizontal="left"/>
    </xf>
    <xf numFmtId="0" fontId="5" fillId="3" borderId="1" xfId="0" applyFont="1" applyFill="1" applyBorder="1" applyAlignment="1">
      <alignment horizontal="right"/>
    </xf>
    <xf numFmtId="10" fontId="4" fillId="3" borderId="1" xfId="0" applyNumberFormat="1" applyFont="1" applyFill="1" applyBorder="1" applyAlignment="1">
      <alignment horizontal="right"/>
    </xf>
    <xf numFmtId="0" fontId="4" fillId="3" borderId="1" xfId="0" applyFont="1" applyFill="1" applyBorder="1" applyAlignment="1">
      <alignment horizontal="right"/>
    </xf>
    <xf numFmtId="4" fontId="9" fillId="0" borderId="0" xfId="0" applyNumberFormat="1" applyFont="1" applyAlignment="1">
      <alignment horizontal="right"/>
    </xf>
    <xf numFmtId="10" fontId="3" fillId="0" borderId="0" xfId="0" applyNumberFormat="1" applyFont="1"/>
    <xf numFmtId="0" fontId="8" fillId="0" borderId="0" xfId="0" applyFont="1"/>
    <xf numFmtId="165" fontId="8" fillId="0" borderId="0" xfId="0" applyNumberFormat="1" applyFont="1"/>
    <xf numFmtId="166" fontId="8" fillId="0" borderId="0" xfId="0" applyNumberFormat="1" applyFont="1"/>
    <xf numFmtId="0" fontId="15" fillId="0" borderId="0" xfId="0" applyFont="1" applyAlignment="1">
      <alignment horizontal="center"/>
    </xf>
    <xf numFmtId="165" fontId="11" fillId="0" borderId="0" xfId="0" applyNumberFormat="1" applyFont="1" applyAlignment="1">
      <alignment horizontal="center"/>
    </xf>
    <xf numFmtId="166" fontId="11" fillId="0" borderId="0" xfId="0" applyNumberFormat="1" applyFont="1" applyAlignment="1">
      <alignment horizontal="center"/>
    </xf>
    <xf numFmtId="0" fontId="18" fillId="0" borderId="0" xfId="0" applyFont="1" applyAlignment="1">
      <alignment horizontal="center"/>
    </xf>
    <xf numFmtId="0" fontId="21" fillId="0" borderId="0" xfId="0" applyFont="1" applyAlignment="1">
      <alignment horizontal="left" vertical="center"/>
    </xf>
    <xf numFmtId="0" fontId="21" fillId="0" borderId="0" xfId="0" applyFont="1" applyAlignment="1">
      <alignment horizontal="center" vertical="center"/>
    </xf>
    <xf numFmtId="167" fontId="3" fillId="0" borderId="0" xfId="0" applyNumberFormat="1" applyFont="1"/>
    <xf numFmtId="0" fontId="22" fillId="0" borderId="0" xfId="0" applyFont="1" applyAlignment="1">
      <alignment horizontal="center"/>
    </xf>
    <xf numFmtId="10" fontId="8" fillId="0" borderId="0" xfId="0" applyNumberFormat="1" applyFont="1"/>
    <xf numFmtId="2" fontId="3" fillId="0" borderId="0" xfId="0" applyNumberFormat="1" applyFont="1"/>
    <xf numFmtId="4" fontId="8" fillId="0" borderId="0" xfId="0" applyNumberFormat="1" applyFont="1"/>
    <xf numFmtId="4" fontId="16" fillId="0" borderId="0" xfId="0" applyNumberFormat="1" applyFont="1"/>
    <xf numFmtId="9" fontId="22" fillId="0" borderId="0" xfId="0" applyNumberFormat="1" applyFont="1" applyAlignment="1">
      <alignment horizontal="center"/>
    </xf>
    <xf numFmtId="168" fontId="22" fillId="0" borderId="0" xfId="0" applyNumberFormat="1" applyFont="1" applyAlignment="1">
      <alignment horizontal="center"/>
    </xf>
    <xf numFmtId="168" fontId="3" fillId="0" borderId="0" xfId="0" applyNumberFormat="1" applyFont="1"/>
    <xf numFmtId="10" fontId="24" fillId="0" borderId="0" xfId="0" applyNumberFormat="1" applyFont="1"/>
    <xf numFmtId="0" fontId="29" fillId="0" borderId="0" xfId="0" applyFont="1"/>
    <xf numFmtId="9" fontId="0" fillId="0" borderId="0" xfId="0" applyNumberFormat="1"/>
    <xf numFmtId="0" fontId="30" fillId="0" borderId="11" xfId="0" applyFont="1" applyBorder="1" applyAlignment="1">
      <alignment horizontal="center" wrapText="1"/>
    </xf>
    <xf numFmtId="0" fontId="30" fillId="0" borderId="12" xfId="0" applyFont="1" applyBorder="1" applyAlignment="1">
      <alignment horizontal="center" wrapText="1"/>
    </xf>
    <xf numFmtId="0" fontId="14" fillId="0" borderId="12" xfId="0" applyFont="1" applyBorder="1" applyAlignment="1">
      <alignment horizontal="center" wrapText="1"/>
    </xf>
    <xf numFmtId="0" fontId="22" fillId="0" borderId="1" xfId="0" applyFont="1" applyBorder="1"/>
    <xf numFmtId="0" fontId="31" fillId="0" borderId="0" xfId="0" applyFont="1"/>
    <xf numFmtId="0" fontId="32" fillId="0" borderId="0" xfId="0" applyFont="1"/>
    <xf numFmtId="0" fontId="0" fillId="0" borderId="4" xfId="0" applyBorder="1"/>
    <xf numFmtId="0" fontId="33" fillId="0" borderId="0" xfId="0" applyFont="1"/>
    <xf numFmtId="0" fontId="0" fillId="8" borderId="17" xfId="0" applyFill="1" applyBorder="1"/>
    <xf numFmtId="0" fontId="0" fillId="8" borderId="18" xfId="0" applyFill="1" applyBorder="1"/>
    <xf numFmtId="0" fontId="0" fillId="8" borderId="19" xfId="0" applyFill="1" applyBorder="1"/>
    <xf numFmtId="0" fontId="0" fillId="8" borderId="20" xfId="0" applyFill="1" applyBorder="1"/>
    <xf numFmtId="0" fontId="0" fillId="8" borderId="4" xfId="0" applyFill="1" applyBorder="1"/>
    <xf numFmtId="0" fontId="0" fillId="8" borderId="21" xfId="0" applyFill="1" applyBorder="1"/>
    <xf numFmtId="0" fontId="37" fillId="8" borderId="4" xfId="0" applyFont="1" applyFill="1" applyBorder="1"/>
    <xf numFmtId="0" fontId="0" fillId="8" borderId="22" xfId="0" applyFill="1" applyBorder="1"/>
    <xf numFmtId="0" fontId="0" fillId="8" borderId="23" xfId="0" applyFill="1" applyBorder="1"/>
    <xf numFmtId="0" fontId="0" fillId="8" borderId="24" xfId="0" applyFill="1" applyBorder="1"/>
    <xf numFmtId="0" fontId="41" fillId="8" borderId="4" xfId="0" applyFont="1" applyFill="1" applyBorder="1"/>
    <xf numFmtId="0" fontId="0" fillId="8" borderId="25" xfId="0" applyFill="1" applyBorder="1"/>
    <xf numFmtId="0" fontId="0" fillId="8" borderId="32" xfId="0" applyFill="1" applyBorder="1"/>
    <xf numFmtId="0" fontId="0" fillId="8" borderId="33" xfId="0" applyFill="1" applyBorder="1"/>
    <xf numFmtId="0" fontId="39" fillId="8" borderId="41" xfId="0" applyFont="1" applyFill="1" applyBorder="1" applyAlignment="1">
      <alignment horizontal="center"/>
    </xf>
    <xf numFmtId="0" fontId="39" fillId="8" borderId="29" xfId="0" applyFont="1" applyFill="1" applyBorder="1" applyAlignment="1">
      <alignment horizontal="center" vertical="center"/>
    </xf>
    <xf numFmtId="0" fontId="39" fillId="8" borderId="26" xfId="0" applyFont="1" applyFill="1" applyBorder="1" applyAlignment="1">
      <alignment horizontal="center"/>
    </xf>
    <xf numFmtId="0" fontId="39" fillId="8" borderId="26" xfId="0" applyFont="1" applyFill="1" applyBorder="1" applyAlignment="1">
      <alignment horizontal="center" vertical="center"/>
    </xf>
    <xf numFmtId="0" fontId="0" fillId="8" borderId="43" xfId="0" applyFill="1" applyBorder="1"/>
    <xf numFmtId="0" fontId="39" fillId="8" borderId="31" xfId="0" applyFont="1" applyFill="1" applyBorder="1" applyAlignment="1">
      <alignment horizontal="center" vertical="center"/>
    </xf>
    <xf numFmtId="0" fontId="41" fillId="8" borderId="39" xfId="0" applyFont="1" applyFill="1" applyBorder="1"/>
    <xf numFmtId="0" fontId="41" fillId="8" borderId="30" xfId="0" applyFont="1" applyFill="1" applyBorder="1"/>
    <xf numFmtId="0" fontId="41" fillId="8" borderId="40" xfId="0" applyFont="1" applyFill="1" applyBorder="1"/>
    <xf numFmtId="0" fontId="0" fillId="8" borderId="44" xfId="0" applyFill="1" applyBorder="1"/>
    <xf numFmtId="0" fontId="0" fillId="8" borderId="45" xfId="0" applyFill="1" applyBorder="1"/>
    <xf numFmtId="0" fontId="0" fillId="8" borderId="46" xfId="0" applyFill="1" applyBorder="1"/>
    <xf numFmtId="0" fontId="0" fillId="8" borderId="47" xfId="0" applyFill="1" applyBorder="1"/>
    <xf numFmtId="0" fontId="0" fillId="8" borderId="48" xfId="0" applyFill="1" applyBorder="1"/>
    <xf numFmtId="0" fontId="0" fillId="8" borderId="49" xfId="0" applyFill="1" applyBorder="1"/>
    <xf numFmtId="0" fontId="0" fillId="8" borderId="50" xfId="0" applyFill="1" applyBorder="1"/>
    <xf numFmtId="0" fontId="0" fillId="8" borderId="51" xfId="0" applyFill="1" applyBorder="1"/>
    <xf numFmtId="0" fontId="41" fillId="8" borderId="0" xfId="0" applyFont="1" applyFill="1"/>
    <xf numFmtId="0" fontId="44" fillId="8" borderId="0" xfId="0" applyFont="1" applyFill="1"/>
    <xf numFmtId="0" fontId="3" fillId="12" borderId="0" xfId="0" applyFont="1" applyFill="1"/>
    <xf numFmtId="0" fontId="44" fillId="12" borderId="0" xfId="0" applyFont="1" applyFill="1"/>
    <xf numFmtId="3" fontId="44" fillId="12" borderId="0" xfId="0" applyNumberFormat="1" applyFont="1" applyFill="1"/>
    <xf numFmtId="0" fontId="0" fillId="12" borderId="0" xfId="0" applyFill="1"/>
    <xf numFmtId="0" fontId="44" fillId="14" borderId="0" xfId="0" applyFont="1" applyFill="1"/>
    <xf numFmtId="4" fontId="44" fillId="14" borderId="0" xfId="0" applyNumberFormat="1" applyFont="1" applyFill="1"/>
    <xf numFmtId="0" fontId="6" fillId="4" borderId="4" xfId="0" applyFont="1" applyFill="1" applyBorder="1"/>
    <xf numFmtId="4" fontId="6" fillId="4" borderId="4" xfId="0" applyNumberFormat="1" applyFont="1" applyFill="1" applyBorder="1"/>
    <xf numFmtId="0" fontId="7" fillId="0" borderId="4" xfId="0" applyFont="1" applyBorder="1" applyAlignment="1">
      <alignment horizontal="right"/>
    </xf>
    <xf numFmtId="4" fontId="7" fillId="0" borderId="4" xfId="0" applyNumberFormat="1" applyFont="1" applyBorder="1" applyAlignment="1">
      <alignment horizontal="right"/>
    </xf>
    <xf numFmtId="0" fontId="2" fillId="0" borderId="3" xfId="0" applyFont="1" applyBorder="1"/>
    <xf numFmtId="0" fontId="2" fillId="0" borderId="4" xfId="0" applyFont="1" applyBorder="1"/>
    <xf numFmtId="10" fontId="3" fillId="0" borderId="4" xfId="0" applyNumberFormat="1" applyFont="1" applyBorder="1"/>
    <xf numFmtId="10" fontId="3" fillId="4" borderId="4" xfId="0" applyNumberFormat="1" applyFont="1" applyFill="1" applyBorder="1"/>
    <xf numFmtId="10" fontId="3" fillId="4" borderId="30" xfId="0" applyNumberFormat="1" applyFont="1" applyFill="1" applyBorder="1"/>
    <xf numFmtId="0" fontId="10" fillId="0" borderId="0" xfId="0" applyFont="1"/>
    <xf numFmtId="0" fontId="44" fillId="8" borderId="4" xfId="0" applyFont="1" applyFill="1" applyBorder="1"/>
    <xf numFmtId="4" fontId="6" fillId="4" borderId="48" xfId="0" applyNumberFormat="1" applyFont="1" applyFill="1" applyBorder="1"/>
    <xf numFmtId="0" fontId="44" fillId="8" borderId="53" xfId="0" applyFont="1" applyFill="1" applyBorder="1"/>
    <xf numFmtId="0" fontId="44" fillId="8" borderId="55" xfId="0" applyFont="1" applyFill="1" applyBorder="1"/>
    <xf numFmtId="0" fontId="3" fillId="4" borderId="56" xfId="0" applyFont="1" applyFill="1" applyBorder="1"/>
    <xf numFmtId="0" fontId="3" fillId="0" borderId="56" xfId="0" applyFont="1" applyBorder="1"/>
    <xf numFmtId="0" fontId="3" fillId="4" borderId="57" xfId="0" applyFont="1" applyFill="1" applyBorder="1"/>
    <xf numFmtId="0" fontId="6" fillId="4" borderId="56" xfId="0" applyFont="1" applyFill="1" applyBorder="1"/>
    <xf numFmtId="0" fontId="7" fillId="3" borderId="56" xfId="0" applyFont="1" applyFill="1" applyBorder="1" applyAlignment="1">
      <alignment horizontal="right"/>
    </xf>
    <xf numFmtId="0" fontId="6" fillId="4" borderId="57" xfId="0" applyFont="1" applyFill="1" applyBorder="1"/>
    <xf numFmtId="0" fontId="7" fillId="0" borderId="56" xfId="0" applyFont="1" applyBorder="1" applyAlignment="1">
      <alignment horizontal="right"/>
    </xf>
    <xf numFmtId="0" fontId="6" fillId="4" borderId="58" xfId="0" applyFont="1" applyFill="1" applyBorder="1"/>
    <xf numFmtId="0" fontId="44" fillId="8" borderId="59" xfId="0" applyFont="1" applyFill="1" applyBorder="1"/>
    <xf numFmtId="0" fontId="6" fillId="4" borderId="60" xfId="0" applyFont="1" applyFill="1" applyBorder="1"/>
    <xf numFmtId="0" fontId="7" fillId="0" borderId="61" xfId="0" applyFont="1" applyBorder="1" applyAlignment="1">
      <alignment horizontal="right"/>
    </xf>
    <xf numFmtId="0" fontId="6" fillId="4" borderId="61" xfId="0" applyFont="1" applyFill="1" applyBorder="1"/>
    <xf numFmtId="0" fontId="6" fillId="4" borderId="62" xfId="0" applyFont="1" applyFill="1" applyBorder="1"/>
    <xf numFmtId="4" fontId="6" fillId="4" borderId="56" xfId="0" applyNumberFormat="1" applyFont="1" applyFill="1" applyBorder="1"/>
    <xf numFmtId="4" fontId="7" fillId="0" borderId="56" xfId="0" applyNumberFormat="1" applyFont="1" applyBorder="1" applyAlignment="1">
      <alignment horizontal="right"/>
    </xf>
    <xf numFmtId="4" fontId="6" fillId="4" borderId="57" xfId="0" applyNumberFormat="1" applyFont="1" applyFill="1" applyBorder="1"/>
    <xf numFmtId="4" fontId="7" fillId="4" borderId="56" xfId="0" applyNumberFormat="1" applyFont="1" applyFill="1" applyBorder="1" applyAlignment="1">
      <alignment horizontal="right"/>
    </xf>
    <xf numFmtId="4" fontId="7" fillId="4" borderId="57" xfId="0" applyNumberFormat="1" applyFont="1" applyFill="1" applyBorder="1" applyAlignment="1">
      <alignment horizontal="right"/>
    </xf>
    <xf numFmtId="0" fontId="3" fillId="0" borderId="63" xfId="0" applyFont="1" applyBorder="1"/>
    <xf numFmtId="0" fontId="7" fillId="3" borderId="60" xfId="0" applyFont="1" applyFill="1" applyBorder="1" applyAlignment="1">
      <alignment horizontal="right"/>
    </xf>
    <xf numFmtId="4" fontId="7" fillId="4" borderId="64" xfId="0" applyNumberFormat="1" applyFont="1" applyFill="1" applyBorder="1" applyAlignment="1">
      <alignment horizontal="right"/>
    </xf>
    <xf numFmtId="4" fontId="7" fillId="0" borderId="65" xfId="0" applyNumberFormat="1" applyFont="1" applyBorder="1" applyAlignment="1">
      <alignment horizontal="right"/>
    </xf>
    <xf numFmtId="4" fontId="7" fillId="4" borderId="65" xfId="0" applyNumberFormat="1" applyFont="1" applyFill="1" applyBorder="1" applyAlignment="1">
      <alignment horizontal="right"/>
    </xf>
    <xf numFmtId="4" fontId="7" fillId="0" borderId="66" xfId="0" applyNumberFormat="1" applyFont="1" applyBorder="1" applyAlignment="1">
      <alignment horizontal="right"/>
    </xf>
    <xf numFmtId="0" fontId="3" fillId="0" borderId="54" xfId="0" applyFont="1" applyBorder="1"/>
    <xf numFmtId="0" fontId="3" fillId="4" borderId="58" xfId="0" applyFont="1" applyFill="1" applyBorder="1"/>
    <xf numFmtId="0" fontId="3" fillId="0" borderId="57" xfId="0" applyFont="1" applyBorder="1"/>
    <xf numFmtId="4" fontId="7" fillId="0" borderId="58" xfId="0" applyNumberFormat="1" applyFont="1" applyBorder="1" applyAlignment="1">
      <alignment horizontal="right"/>
    </xf>
    <xf numFmtId="0" fontId="6" fillId="4" borderId="65" xfId="0" applyFont="1" applyFill="1" applyBorder="1"/>
    <xf numFmtId="0" fontId="7" fillId="0" borderId="65" xfId="0" applyFont="1" applyBorder="1" applyAlignment="1">
      <alignment horizontal="right"/>
    </xf>
    <xf numFmtId="4" fontId="7" fillId="0" borderId="64" xfId="0" applyNumberFormat="1" applyFont="1" applyBorder="1" applyAlignment="1">
      <alignment horizontal="right"/>
    </xf>
    <xf numFmtId="4" fontId="6" fillId="4" borderId="65" xfId="0" applyNumberFormat="1" applyFont="1" applyFill="1" applyBorder="1"/>
    <xf numFmtId="0" fontId="7" fillId="0" borderId="64" xfId="0" applyFont="1" applyBorder="1" applyAlignment="1">
      <alignment horizontal="right"/>
    </xf>
    <xf numFmtId="0" fontId="7" fillId="3" borderId="58" xfId="0" applyFont="1" applyFill="1" applyBorder="1" applyAlignment="1">
      <alignment horizontal="right"/>
    </xf>
    <xf numFmtId="0" fontId="7" fillId="3" borderId="67" xfId="0" applyFont="1" applyFill="1" applyBorder="1" applyAlignment="1">
      <alignment horizontal="right"/>
    </xf>
    <xf numFmtId="0" fontId="7" fillId="0" borderId="67" xfId="0" applyFont="1" applyBorder="1" applyAlignment="1">
      <alignment horizontal="right"/>
    </xf>
    <xf numFmtId="4" fontId="7" fillId="0" borderId="67" xfId="0" applyNumberFormat="1" applyFont="1" applyBorder="1" applyAlignment="1">
      <alignment horizontal="right"/>
    </xf>
    <xf numFmtId="4" fontId="7" fillId="0" borderId="68" xfId="0" applyNumberFormat="1" applyFont="1" applyBorder="1" applyAlignment="1">
      <alignment horizontal="right"/>
    </xf>
    <xf numFmtId="0" fontId="7" fillId="3" borderId="57" xfId="0" applyFont="1" applyFill="1" applyBorder="1" applyAlignment="1">
      <alignment horizontal="right"/>
    </xf>
    <xf numFmtId="0" fontId="7" fillId="0" borderId="66" xfId="0" applyFont="1" applyBorder="1" applyAlignment="1">
      <alignment horizontal="right"/>
    </xf>
    <xf numFmtId="0" fontId="7" fillId="0" borderId="58" xfId="0" applyFont="1" applyBorder="1" applyAlignment="1">
      <alignment horizontal="right"/>
    </xf>
    <xf numFmtId="0" fontId="7" fillId="0" borderId="57" xfId="0" applyFont="1" applyBorder="1" applyAlignment="1">
      <alignment horizontal="right"/>
    </xf>
    <xf numFmtId="4" fontId="7" fillId="0" borderId="57" xfId="0" applyNumberFormat="1" applyFont="1" applyBorder="1" applyAlignment="1">
      <alignment horizontal="right"/>
    </xf>
    <xf numFmtId="0" fontId="6" fillId="4" borderId="69" xfId="0" applyFont="1" applyFill="1" applyBorder="1"/>
    <xf numFmtId="0" fontId="6" fillId="4" borderId="63" xfId="0" applyFont="1" applyFill="1" applyBorder="1"/>
    <xf numFmtId="0" fontId="6" fillId="4" borderId="64" xfId="0" applyFont="1" applyFill="1" applyBorder="1"/>
    <xf numFmtId="4" fontId="6" fillId="4" borderId="64" xfId="0" applyNumberFormat="1" applyFont="1" applyFill="1" applyBorder="1"/>
    <xf numFmtId="4" fontId="6" fillId="4" borderId="69" xfId="0" applyNumberFormat="1" applyFont="1" applyFill="1" applyBorder="1"/>
    <xf numFmtId="4" fontId="7" fillId="4" borderId="66" xfId="0" applyNumberFormat="1" applyFont="1" applyFill="1" applyBorder="1" applyAlignment="1">
      <alignment horizontal="right"/>
    </xf>
    <xf numFmtId="0" fontId="3" fillId="4" borderId="70" xfId="0" applyFont="1" applyFill="1" applyBorder="1"/>
    <xf numFmtId="10" fontId="3" fillId="0" borderId="56" xfId="0" applyNumberFormat="1" applyFont="1" applyBorder="1"/>
    <xf numFmtId="10" fontId="3" fillId="4" borderId="56" xfId="0" applyNumberFormat="1" applyFont="1" applyFill="1" applyBorder="1"/>
    <xf numFmtId="10" fontId="3" fillId="4" borderId="70" xfId="0" applyNumberFormat="1" applyFont="1" applyFill="1" applyBorder="1"/>
    <xf numFmtId="10" fontId="3" fillId="4" borderId="57" xfId="0" applyNumberFormat="1" applyFont="1" applyFill="1" applyBorder="1"/>
    <xf numFmtId="10" fontId="3" fillId="4" borderId="71" xfId="0" applyNumberFormat="1" applyFont="1" applyFill="1" applyBorder="1"/>
    <xf numFmtId="0" fontId="0" fillId="0" borderId="72" xfId="0" applyBorder="1"/>
    <xf numFmtId="10" fontId="3" fillId="0" borderId="69" xfId="0" applyNumberFormat="1" applyFont="1" applyBorder="1"/>
    <xf numFmtId="10" fontId="3" fillId="0" borderId="57" xfId="0" applyNumberFormat="1" applyFont="1" applyBorder="1"/>
    <xf numFmtId="0" fontId="3" fillId="0" borderId="58" xfId="0" applyFont="1" applyBorder="1"/>
    <xf numFmtId="10" fontId="3" fillId="0" borderId="72" xfId="0" applyNumberFormat="1" applyFont="1" applyBorder="1"/>
    <xf numFmtId="10" fontId="3" fillId="0" borderId="58" xfId="0" applyNumberFormat="1" applyFont="1" applyBorder="1"/>
    <xf numFmtId="10" fontId="3" fillId="4" borderId="69" xfId="0" applyNumberFormat="1" applyFont="1" applyFill="1" applyBorder="1"/>
    <xf numFmtId="0" fontId="44" fillId="8" borderId="69" xfId="0" applyFont="1" applyFill="1" applyBorder="1"/>
    <xf numFmtId="0" fontId="44" fillId="8" borderId="54" xfId="0" applyFont="1" applyFill="1" applyBorder="1"/>
    <xf numFmtId="0" fontId="44" fillId="8" borderId="68" xfId="0" applyFont="1" applyFill="1" applyBorder="1"/>
    <xf numFmtId="0" fontId="0" fillId="16" borderId="4" xfId="0" applyFill="1" applyBorder="1"/>
    <xf numFmtId="0" fontId="44" fillId="8" borderId="57" xfId="0" applyFont="1" applyFill="1" applyBorder="1"/>
    <xf numFmtId="0" fontId="44" fillId="8" borderId="56" xfId="0" applyFont="1" applyFill="1" applyBorder="1"/>
    <xf numFmtId="0" fontId="52" fillId="8" borderId="0" xfId="0" applyFont="1" applyFill="1" applyAlignment="1">
      <alignment horizontal="center"/>
    </xf>
    <xf numFmtId="0" fontId="11" fillId="18" borderId="5" xfId="0" applyFont="1" applyFill="1" applyBorder="1" applyAlignment="1">
      <alignment horizontal="center"/>
    </xf>
    <xf numFmtId="0" fontId="13" fillId="18" borderId="5" xfId="0" applyFont="1" applyFill="1" applyBorder="1" applyAlignment="1">
      <alignment horizontal="center"/>
    </xf>
    <xf numFmtId="0" fontId="12" fillId="18" borderId="5" xfId="0" applyFont="1" applyFill="1" applyBorder="1" applyAlignment="1">
      <alignment horizontal="center"/>
    </xf>
    <xf numFmtId="0" fontId="11" fillId="18" borderId="74" xfId="0" applyFont="1" applyFill="1" applyBorder="1" applyAlignment="1">
      <alignment horizontal="center"/>
    </xf>
    <xf numFmtId="0" fontId="13" fillId="18" borderId="73" xfId="0" applyFont="1" applyFill="1" applyBorder="1" applyAlignment="1">
      <alignment horizontal="center"/>
    </xf>
    <xf numFmtId="0" fontId="13" fillId="18" borderId="74" xfId="0" applyFont="1" applyFill="1" applyBorder="1" applyAlignment="1">
      <alignment horizontal="center"/>
    </xf>
    <xf numFmtId="0" fontId="13" fillId="18" borderId="76" xfId="0" applyFont="1" applyFill="1" applyBorder="1" applyAlignment="1">
      <alignment horizontal="center"/>
    </xf>
    <xf numFmtId="0" fontId="13" fillId="18" borderId="75" xfId="0" applyFont="1" applyFill="1" applyBorder="1" applyAlignment="1">
      <alignment horizontal="center"/>
    </xf>
    <xf numFmtId="0" fontId="30" fillId="4" borderId="9" xfId="0" applyFont="1" applyFill="1" applyBorder="1" applyAlignment="1">
      <alignment horizontal="center" wrapText="1"/>
    </xf>
    <xf numFmtId="0" fontId="30" fillId="4" borderId="10" xfId="0" applyFont="1" applyFill="1" applyBorder="1" applyAlignment="1">
      <alignment horizontal="center" wrapText="1"/>
    </xf>
    <xf numFmtId="0" fontId="30" fillId="4" borderId="11" xfId="0" applyFont="1" applyFill="1" applyBorder="1" applyAlignment="1">
      <alignment horizontal="center" wrapText="1"/>
    </xf>
    <xf numFmtId="0" fontId="30" fillId="4" borderId="12" xfId="0" applyFont="1" applyFill="1" applyBorder="1" applyAlignment="1">
      <alignment horizontal="center" wrapText="1"/>
    </xf>
    <xf numFmtId="0" fontId="15" fillId="0" borderId="0" xfId="0" applyFont="1"/>
    <xf numFmtId="10" fontId="30" fillId="4" borderId="9" xfId="1" applyNumberFormat="1" applyFont="1" applyFill="1" applyBorder="1" applyAlignment="1">
      <alignment horizontal="center" wrapText="1"/>
    </xf>
    <xf numFmtId="10" fontId="30" fillId="4" borderId="10" xfId="1" applyNumberFormat="1" applyFont="1" applyFill="1" applyBorder="1" applyAlignment="1">
      <alignment horizontal="center" wrapText="1"/>
    </xf>
    <xf numFmtId="10" fontId="30" fillId="0" borderId="11" xfId="1" applyNumberFormat="1" applyFont="1" applyBorder="1" applyAlignment="1">
      <alignment horizontal="center" wrapText="1"/>
    </xf>
    <xf numFmtId="10" fontId="30" fillId="0" borderId="12" xfId="1" applyNumberFormat="1" applyFont="1" applyBorder="1" applyAlignment="1">
      <alignment horizontal="center" wrapText="1"/>
    </xf>
    <xf numFmtId="10" fontId="30" fillId="4" borderId="11" xfId="1" applyNumberFormat="1" applyFont="1" applyFill="1" applyBorder="1" applyAlignment="1">
      <alignment horizontal="center" wrapText="1"/>
    </xf>
    <xf numFmtId="10" fontId="30" fillId="4" borderId="12" xfId="1" applyNumberFormat="1" applyFont="1" applyFill="1" applyBorder="1" applyAlignment="1">
      <alignment horizontal="center" wrapText="1"/>
    </xf>
    <xf numFmtId="10" fontId="14" fillId="0" borderId="12" xfId="1" applyNumberFormat="1" applyFont="1" applyBorder="1" applyAlignment="1">
      <alignment horizontal="center" wrapText="1"/>
    </xf>
    <xf numFmtId="0" fontId="30" fillId="0" borderId="78" xfId="0" applyFont="1" applyBorder="1" applyAlignment="1">
      <alignment horizontal="center" wrapText="1"/>
    </xf>
    <xf numFmtId="0" fontId="30" fillId="0" borderId="79" xfId="0" applyFont="1" applyBorder="1" applyAlignment="1">
      <alignment horizontal="center" wrapText="1"/>
    </xf>
    <xf numFmtId="0" fontId="30" fillId="4" borderId="77" xfId="0" applyFont="1" applyFill="1" applyBorder="1" applyAlignment="1">
      <alignment horizontal="center" wrapText="1"/>
    </xf>
    <xf numFmtId="0" fontId="30" fillId="4" borderId="80" xfId="0" applyFont="1" applyFill="1" applyBorder="1" applyAlignment="1">
      <alignment horizontal="center" wrapText="1"/>
    </xf>
    <xf numFmtId="10" fontId="30" fillId="0" borderId="78" xfId="1" applyNumberFormat="1" applyFont="1" applyBorder="1" applyAlignment="1">
      <alignment horizontal="center" wrapText="1"/>
    </xf>
    <xf numFmtId="10" fontId="30" fillId="0" borderId="79" xfId="1" applyNumberFormat="1" applyFont="1" applyBorder="1" applyAlignment="1">
      <alignment horizontal="center" wrapText="1"/>
    </xf>
    <xf numFmtId="10" fontId="30" fillId="4" borderId="77" xfId="1" applyNumberFormat="1" applyFont="1" applyFill="1" applyBorder="1" applyAlignment="1">
      <alignment horizontal="center" wrapText="1"/>
    </xf>
    <xf numFmtId="10" fontId="30" fillId="4" borderId="80" xfId="1" applyNumberFormat="1" applyFont="1" applyFill="1" applyBorder="1" applyAlignment="1">
      <alignment horizontal="center" wrapText="1"/>
    </xf>
    <xf numFmtId="0" fontId="44" fillId="8" borderId="67" xfId="0" applyFont="1" applyFill="1" applyBorder="1"/>
    <xf numFmtId="0" fontId="44" fillId="15" borderId="69" xfId="0" applyFont="1" applyFill="1" applyBorder="1"/>
    <xf numFmtId="10" fontId="19" fillId="22" borderId="69" xfId="0" applyNumberFormat="1" applyFont="1" applyFill="1" applyBorder="1"/>
    <xf numFmtId="10" fontId="20" fillId="22" borderId="69" xfId="0" applyNumberFormat="1" applyFont="1" applyFill="1" applyBorder="1"/>
    <xf numFmtId="10" fontId="20" fillId="22" borderId="66" xfId="0" applyNumberFormat="1" applyFont="1" applyFill="1" applyBorder="1"/>
    <xf numFmtId="10" fontId="3" fillId="0" borderId="66" xfId="0" applyNumberFormat="1" applyFont="1" applyBorder="1"/>
    <xf numFmtId="10" fontId="3" fillId="4" borderId="66" xfId="0" applyNumberFormat="1" applyFont="1" applyFill="1" applyBorder="1"/>
    <xf numFmtId="0" fontId="18" fillId="0" borderId="65" xfId="0" applyFont="1" applyBorder="1" applyAlignment="1">
      <alignment horizontal="center"/>
    </xf>
    <xf numFmtId="0" fontId="0" fillId="0" borderId="65" xfId="0" applyBorder="1"/>
    <xf numFmtId="0" fontId="41" fillId="15" borderId="62" xfId="0" applyFont="1" applyFill="1" applyBorder="1"/>
    <xf numFmtId="0" fontId="44" fillId="8" borderId="81" xfId="0" applyFont="1" applyFill="1" applyBorder="1"/>
    <xf numFmtId="0" fontId="21" fillId="0" borderId="0" xfId="0" applyFont="1" applyAlignment="1">
      <alignment vertical="center"/>
    </xf>
    <xf numFmtId="0" fontId="44" fillId="8" borderId="60" xfId="0" applyFont="1" applyFill="1" applyBorder="1"/>
    <xf numFmtId="0" fontId="44" fillId="8" borderId="72" xfId="0" applyFont="1" applyFill="1" applyBorder="1"/>
    <xf numFmtId="0" fontId="44" fillId="8" borderId="64" xfId="0" applyFont="1" applyFill="1" applyBorder="1"/>
    <xf numFmtId="165" fontId="3" fillId="4" borderId="4" xfId="0" applyNumberFormat="1" applyFont="1" applyFill="1" applyBorder="1"/>
    <xf numFmtId="165" fontId="3" fillId="4" borderId="65" xfId="0" applyNumberFormat="1" applyFont="1" applyFill="1" applyBorder="1"/>
    <xf numFmtId="165" fontId="3" fillId="0" borderId="61" xfId="0" applyNumberFormat="1" applyFont="1" applyBorder="1"/>
    <xf numFmtId="165" fontId="3" fillId="0" borderId="4" xfId="0" applyNumberFormat="1" applyFont="1" applyBorder="1"/>
    <xf numFmtId="165" fontId="3" fillId="0" borderId="65" xfId="0" applyNumberFormat="1" applyFont="1" applyBorder="1"/>
    <xf numFmtId="165" fontId="3" fillId="4" borderId="62" xfId="0" applyNumberFormat="1" applyFont="1" applyFill="1" applyBorder="1"/>
    <xf numFmtId="165" fontId="3" fillId="4" borderId="69" xfId="0" applyNumberFormat="1" applyFont="1" applyFill="1" applyBorder="1"/>
    <xf numFmtId="167" fontId="44" fillId="8" borderId="56" xfId="0" applyNumberFormat="1" applyFont="1" applyFill="1" applyBorder="1"/>
    <xf numFmtId="167" fontId="44" fillId="8" borderId="54" xfId="0" applyNumberFormat="1" applyFont="1" applyFill="1" applyBorder="1"/>
    <xf numFmtId="165" fontId="56" fillId="23" borderId="81" xfId="0" applyNumberFormat="1" applyFont="1" applyFill="1" applyBorder="1"/>
    <xf numFmtId="165" fontId="3" fillId="4" borderId="67" xfId="0" applyNumberFormat="1" applyFont="1" applyFill="1" applyBorder="1"/>
    <xf numFmtId="165" fontId="3" fillId="4" borderId="68" xfId="0" applyNumberFormat="1" applyFont="1" applyFill="1" applyBorder="1"/>
    <xf numFmtId="165" fontId="3" fillId="4" borderId="81" xfId="0" applyNumberFormat="1" applyFont="1" applyFill="1" applyBorder="1"/>
    <xf numFmtId="165" fontId="58" fillId="24" borderId="67" xfId="0" applyNumberFormat="1" applyFont="1" applyFill="1" applyBorder="1"/>
    <xf numFmtId="165" fontId="58" fillId="24" borderId="68" xfId="0" applyNumberFormat="1" applyFont="1" applyFill="1" applyBorder="1"/>
    <xf numFmtId="165" fontId="3" fillId="4" borderId="54" xfId="0" applyNumberFormat="1" applyFont="1" applyFill="1" applyBorder="1"/>
    <xf numFmtId="165" fontId="58" fillId="24" borderId="56" xfId="0" applyNumberFormat="1" applyFont="1" applyFill="1" applyBorder="1"/>
    <xf numFmtId="165" fontId="3" fillId="0" borderId="56" xfId="0" applyNumberFormat="1" applyFont="1" applyBorder="1"/>
    <xf numFmtId="0" fontId="44" fillId="8" borderId="61" xfId="0" applyFont="1" applyFill="1" applyBorder="1"/>
    <xf numFmtId="0" fontId="44" fillId="8" borderId="65" xfId="0" applyFont="1" applyFill="1" applyBorder="1"/>
    <xf numFmtId="0" fontId="0" fillId="16" borderId="57" xfId="0" applyFill="1" applyBorder="1"/>
    <xf numFmtId="0" fontId="59" fillId="20" borderId="0" xfId="0" applyFont="1" applyFill="1"/>
    <xf numFmtId="167" fontId="44" fillId="8" borderId="81" xfId="0" applyNumberFormat="1" applyFont="1" applyFill="1" applyBorder="1"/>
    <xf numFmtId="167" fontId="44" fillId="8" borderId="61" xfId="0" applyNumberFormat="1" applyFont="1" applyFill="1" applyBorder="1"/>
    <xf numFmtId="165" fontId="3" fillId="4" borderId="57" xfId="0" applyNumberFormat="1" applyFont="1" applyFill="1" applyBorder="1"/>
    <xf numFmtId="165" fontId="3" fillId="4" borderId="72" xfId="0" applyNumberFormat="1" applyFont="1" applyFill="1" applyBorder="1"/>
    <xf numFmtId="165" fontId="56" fillId="23" borderId="82" xfId="0" applyNumberFormat="1" applyFont="1" applyFill="1" applyBorder="1"/>
    <xf numFmtId="165" fontId="3" fillId="4" borderId="60" xfId="0" applyNumberFormat="1" applyFont="1" applyFill="1" applyBorder="1"/>
    <xf numFmtId="165" fontId="58" fillId="24" borderId="52" xfId="0" applyNumberFormat="1" applyFont="1" applyFill="1" applyBorder="1"/>
    <xf numFmtId="165" fontId="3" fillId="0" borderId="83" xfId="0" applyNumberFormat="1" applyFont="1" applyBorder="1"/>
    <xf numFmtId="165" fontId="3" fillId="4" borderId="56" xfId="0" applyNumberFormat="1" applyFont="1" applyFill="1" applyBorder="1"/>
    <xf numFmtId="9" fontId="3" fillId="6" borderId="4" xfId="0" applyNumberFormat="1" applyFont="1" applyFill="1" applyBorder="1"/>
    <xf numFmtId="9" fontId="26" fillId="11" borderId="0" xfId="1" applyFont="1" applyFill="1"/>
    <xf numFmtId="9" fontId="3" fillId="6" borderId="0" xfId="1" applyFont="1" applyFill="1"/>
    <xf numFmtId="0" fontId="57" fillId="8" borderId="0" xfId="0" applyFont="1" applyFill="1"/>
    <xf numFmtId="10" fontId="60" fillId="6" borderId="0" xfId="0" applyNumberFormat="1" applyFont="1" applyFill="1"/>
    <xf numFmtId="0" fontId="58" fillId="8" borderId="4" xfId="0" applyFont="1" applyFill="1" applyBorder="1"/>
    <xf numFmtId="9" fontId="32" fillId="6" borderId="4" xfId="0" applyNumberFormat="1" applyFont="1" applyFill="1" applyBorder="1"/>
    <xf numFmtId="0" fontId="32" fillId="6" borderId="0" xfId="0" applyFont="1" applyFill="1"/>
    <xf numFmtId="10" fontId="32" fillId="6" borderId="0" xfId="0" applyNumberFormat="1" applyFont="1" applyFill="1"/>
    <xf numFmtId="168" fontId="60" fillId="6" borderId="86" xfId="0" applyNumberFormat="1" applyFont="1" applyFill="1" applyBorder="1" applyAlignment="1">
      <alignment horizontal="center"/>
    </xf>
    <xf numFmtId="0" fontId="44" fillId="8" borderId="88" xfId="0" applyFont="1" applyFill="1" applyBorder="1"/>
    <xf numFmtId="10" fontId="60" fillId="6" borderId="86" xfId="0" applyNumberFormat="1" applyFont="1" applyFill="1" applyBorder="1" applyAlignment="1">
      <alignment horizontal="center"/>
    </xf>
    <xf numFmtId="0" fontId="27" fillId="6" borderId="88" xfId="0" applyFont="1" applyFill="1" applyBorder="1" applyAlignment="1">
      <alignment horizontal="center"/>
    </xf>
    <xf numFmtId="0" fontId="27" fillId="6" borderId="87" xfId="0" applyFont="1" applyFill="1" applyBorder="1" applyAlignment="1">
      <alignment horizontal="center"/>
    </xf>
    <xf numFmtId="0" fontId="27" fillId="6" borderId="89" xfId="0" applyFont="1" applyFill="1" applyBorder="1" applyAlignment="1">
      <alignment horizontal="center"/>
    </xf>
    <xf numFmtId="0" fontId="27" fillId="6" borderId="84" xfId="0" applyFont="1" applyFill="1" applyBorder="1" applyAlignment="1">
      <alignment horizontal="center"/>
    </xf>
    <xf numFmtId="0" fontId="27" fillId="6" borderId="86" xfId="0" applyFont="1" applyFill="1" applyBorder="1" applyAlignment="1">
      <alignment horizontal="center"/>
    </xf>
    <xf numFmtId="0" fontId="63" fillId="8" borderId="13" xfId="0" applyFont="1" applyFill="1" applyBorder="1"/>
    <xf numFmtId="0" fontId="63" fillId="8" borderId="15" xfId="0" applyFont="1" applyFill="1" applyBorder="1"/>
    <xf numFmtId="4" fontId="33" fillId="6" borderId="14" xfId="0" applyNumberFormat="1" applyFont="1" applyFill="1" applyBorder="1"/>
    <xf numFmtId="4" fontId="33" fillId="6" borderId="16" xfId="0" applyNumberFormat="1" applyFont="1" applyFill="1" applyBorder="1"/>
    <xf numFmtId="0" fontId="58" fillId="8" borderId="94" xfId="0" applyFont="1" applyFill="1" applyBorder="1"/>
    <xf numFmtId="0" fontId="58" fillId="8" borderId="95" xfId="0" applyFont="1" applyFill="1" applyBorder="1"/>
    <xf numFmtId="0" fontId="31" fillId="4" borderId="94" xfId="0" applyFont="1" applyFill="1" applyBorder="1"/>
    <xf numFmtId="10" fontId="32" fillId="4" borderId="95" xfId="0" applyNumberFormat="1" applyFont="1" applyFill="1" applyBorder="1"/>
    <xf numFmtId="2" fontId="32" fillId="0" borderId="94" xfId="0" applyNumberFormat="1" applyFont="1" applyBorder="1"/>
    <xf numFmtId="10" fontId="17" fillId="0" borderId="95" xfId="0" applyNumberFormat="1" applyFont="1" applyBorder="1"/>
    <xf numFmtId="2" fontId="21" fillId="4" borderId="94" xfId="0" applyNumberFormat="1" applyFont="1" applyFill="1" applyBorder="1"/>
    <xf numFmtId="10" fontId="16" fillId="4" borderId="95" xfId="0" applyNumberFormat="1" applyFont="1" applyFill="1" applyBorder="1"/>
    <xf numFmtId="2" fontId="32" fillId="4" borderId="94" xfId="0" applyNumberFormat="1" applyFont="1" applyFill="1" applyBorder="1"/>
    <xf numFmtId="10" fontId="17" fillId="4" borderId="95" xfId="0" applyNumberFormat="1" applyFont="1" applyFill="1" applyBorder="1"/>
    <xf numFmtId="2" fontId="60" fillId="4" borderId="94" xfId="0" applyNumberFormat="1" applyFont="1" applyFill="1" applyBorder="1"/>
    <xf numFmtId="2" fontId="32" fillId="0" borderId="96" xfId="0" applyNumberFormat="1" applyFont="1" applyBorder="1"/>
    <xf numFmtId="10" fontId="17" fillId="0" borderId="98" xfId="0" applyNumberFormat="1" applyFont="1" applyBorder="1"/>
    <xf numFmtId="0" fontId="58" fillId="8" borderId="90" xfId="0" applyFont="1" applyFill="1" applyBorder="1"/>
    <xf numFmtId="0" fontId="58" fillId="8" borderId="91" xfId="0" applyFont="1" applyFill="1" applyBorder="1"/>
    <xf numFmtId="10" fontId="32" fillId="4" borderId="99" xfId="0" applyNumberFormat="1" applyFont="1" applyFill="1" applyBorder="1"/>
    <xf numFmtId="10" fontId="17" fillId="0" borderId="99" xfId="0" applyNumberFormat="1" applyFont="1" applyBorder="1"/>
    <xf numFmtId="10" fontId="16" fillId="4" borderId="99" xfId="0" applyNumberFormat="1" applyFont="1" applyFill="1" applyBorder="1"/>
    <xf numFmtId="10" fontId="17" fillId="4" borderId="99" xfId="0" applyNumberFormat="1" applyFont="1" applyFill="1" applyBorder="1"/>
    <xf numFmtId="10" fontId="19" fillId="4" borderId="99" xfId="0" applyNumberFormat="1" applyFont="1" applyFill="1" applyBorder="1"/>
    <xf numFmtId="10" fontId="17" fillId="0" borderId="100" xfId="0" applyNumberFormat="1" applyFont="1" applyBorder="1"/>
    <xf numFmtId="0" fontId="41" fillId="8" borderId="101" xfId="0" applyFont="1" applyFill="1" applyBorder="1"/>
    <xf numFmtId="0" fontId="44" fillId="8" borderId="102" xfId="0" applyFont="1" applyFill="1" applyBorder="1"/>
    <xf numFmtId="0" fontId="44" fillId="8" borderId="103" xfId="0" applyFont="1" applyFill="1" applyBorder="1"/>
    <xf numFmtId="0" fontId="44" fillId="8" borderId="94" xfId="0" applyFont="1" applyFill="1" applyBorder="1"/>
    <xf numFmtId="9" fontId="3" fillId="6" borderId="4" xfId="1" applyFont="1" applyFill="1" applyBorder="1"/>
    <xf numFmtId="9" fontId="3" fillId="6" borderId="95" xfId="1" applyFont="1" applyFill="1" applyBorder="1"/>
    <xf numFmtId="0" fontId="44" fillId="8" borderId="96" xfId="0" applyFont="1" applyFill="1" applyBorder="1"/>
    <xf numFmtId="9" fontId="3" fillId="6" borderId="97" xfId="1" applyFont="1" applyFill="1" applyBorder="1"/>
    <xf numFmtId="9" fontId="3" fillId="6" borderId="98" xfId="1" applyFont="1" applyFill="1" applyBorder="1"/>
    <xf numFmtId="0" fontId="44" fillId="8" borderId="101" xfId="0" applyFont="1" applyFill="1" applyBorder="1"/>
    <xf numFmtId="10" fontId="3" fillId="6" borderId="103" xfId="0" applyNumberFormat="1" applyFont="1" applyFill="1" applyBorder="1"/>
    <xf numFmtId="10" fontId="3" fillId="6" borderId="98" xfId="0" applyNumberFormat="1" applyFont="1" applyFill="1" applyBorder="1"/>
    <xf numFmtId="0" fontId="39" fillId="8" borderId="94" xfId="0" applyFont="1" applyFill="1" applyBorder="1" applyAlignment="1">
      <alignment horizontal="center"/>
    </xf>
    <xf numFmtId="0" fontId="3" fillId="6" borderId="95" xfId="0" applyFont="1" applyFill="1" applyBorder="1"/>
    <xf numFmtId="10" fontId="25" fillId="25" borderId="95" xfId="0" applyNumberFormat="1" applyFont="1" applyFill="1" applyBorder="1"/>
    <xf numFmtId="169" fontId="11" fillId="6" borderId="95" xfId="0" applyNumberFormat="1" applyFont="1" applyFill="1" applyBorder="1" applyAlignment="1">
      <alignment horizontal="center"/>
    </xf>
    <xf numFmtId="0" fontId="39" fillId="8" borderId="96" xfId="0" applyFont="1" applyFill="1" applyBorder="1" applyAlignment="1">
      <alignment horizontal="center"/>
    </xf>
    <xf numFmtId="10" fontId="11" fillId="6" borderId="98" xfId="0" applyNumberFormat="1" applyFont="1" applyFill="1" applyBorder="1" applyAlignment="1">
      <alignment horizontal="center"/>
    </xf>
    <xf numFmtId="0" fontId="41" fillId="8" borderId="94" xfId="0" applyFont="1" applyFill="1" applyBorder="1"/>
    <xf numFmtId="0" fontId="44" fillId="8" borderId="95" xfId="0" applyFont="1" applyFill="1" applyBorder="1"/>
    <xf numFmtId="10" fontId="3" fillId="6" borderId="95" xfId="0" applyNumberFormat="1" applyFont="1" applyFill="1" applyBorder="1"/>
    <xf numFmtId="0" fontId="27" fillId="6" borderId="99" xfId="0" applyFont="1" applyFill="1" applyBorder="1" applyAlignment="1">
      <alignment horizontal="center"/>
    </xf>
    <xf numFmtId="0" fontId="27" fillId="6" borderId="100" xfId="0" applyFont="1" applyFill="1" applyBorder="1" applyAlignment="1">
      <alignment horizontal="center"/>
    </xf>
    <xf numFmtId="0" fontId="44" fillId="8" borderId="90" xfId="0" applyFont="1" applyFill="1" applyBorder="1"/>
    <xf numFmtId="168" fontId="3" fillId="6" borderId="90" xfId="0" applyNumberFormat="1" applyFont="1" applyFill="1" applyBorder="1"/>
    <xf numFmtId="10" fontId="20" fillId="25" borderId="90" xfId="0" applyNumberFormat="1" applyFont="1" applyFill="1" applyBorder="1"/>
    <xf numFmtId="10" fontId="3" fillId="6" borderId="90" xfId="0" applyNumberFormat="1" applyFont="1" applyFill="1" applyBorder="1"/>
    <xf numFmtId="0" fontId="39" fillId="8" borderId="90" xfId="0" applyFont="1" applyFill="1" applyBorder="1" applyAlignment="1">
      <alignment vertical="center" wrapText="1"/>
    </xf>
    <xf numFmtId="0" fontId="39" fillId="8" borderId="90" xfId="0" applyFont="1" applyFill="1" applyBorder="1"/>
    <xf numFmtId="0" fontId="39" fillId="8" borderId="90" xfId="0" applyFont="1" applyFill="1" applyBorder="1" applyAlignment="1">
      <alignment vertical="center"/>
    </xf>
    <xf numFmtId="0" fontId="44" fillId="8" borderId="99" xfId="0" applyFont="1" applyFill="1" applyBorder="1"/>
    <xf numFmtId="0" fontId="44" fillId="8" borderId="100" xfId="0" applyFont="1" applyFill="1" applyBorder="1"/>
    <xf numFmtId="0" fontId="44" fillId="8" borderId="90" xfId="0" applyFont="1" applyFill="1" applyBorder="1" applyAlignment="1">
      <alignment horizontal="center"/>
    </xf>
    <xf numFmtId="0" fontId="41" fillId="8" borderId="91" xfId="0" applyFont="1" applyFill="1" applyBorder="1"/>
    <xf numFmtId="0" fontId="44" fillId="8" borderId="92" xfId="0" applyFont="1" applyFill="1" applyBorder="1"/>
    <xf numFmtId="0" fontId="44" fillId="8" borderId="93" xfId="0" applyFont="1" applyFill="1" applyBorder="1"/>
    <xf numFmtId="9" fontId="3" fillId="6" borderId="91" xfId="1" applyFont="1" applyFill="1" applyBorder="1"/>
    <xf numFmtId="9" fontId="3" fillId="6" borderId="92" xfId="1" applyFont="1" applyFill="1" applyBorder="1"/>
    <xf numFmtId="9" fontId="3" fillId="6" borderId="93" xfId="1" applyFont="1" applyFill="1" applyBorder="1"/>
    <xf numFmtId="0" fontId="58" fillId="8" borderId="101" xfId="0" applyFont="1" applyFill="1" applyBorder="1"/>
    <xf numFmtId="0" fontId="58" fillId="8" borderId="102" xfId="0" applyFont="1" applyFill="1" applyBorder="1"/>
    <xf numFmtId="0" fontId="58" fillId="8" borderId="103" xfId="0" applyFont="1" applyFill="1" applyBorder="1"/>
    <xf numFmtId="0" fontId="58" fillId="8" borderId="104" xfId="0" applyFont="1" applyFill="1" applyBorder="1"/>
    <xf numFmtId="0" fontId="3" fillId="6" borderId="95" xfId="0" applyFont="1" applyFill="1" applyBorder="1" applyAlignment="1">
      <alignment horizontal="right"/>
    </xf>
    <xf numFmtId="168" fontId="25" fillId="6" borderId="95" xfId="0" applyNumberFormat="1" applyFont="1" applyFill="1" applyBorder="1" applyAlignment="1">
      <alignment horizontal="right"/>
    </xf>
    <xf numFmtId="169" fontId="11" fillId="6" borderId="95" xfId="0" applyNumberFormat="1" applyFont="1" applyFill="1" applyBorder="1" applyAlignment="1">
      <alignment horizontal="right"/>
    </xf>
    <xf numFmtId="2" fontId="11" fillId="6" borderId="98" xfId="0" applyNumberFormat="1" applyFont="1" applyFill="1" applyBorder="1" applyAlignment="1">
      <alignment horizontal="right"/>
    </xf>
    <xf numFmtId="0" fontId="39" fillId="8" borderId="105" xfId="0" applyFont="1" applyFill="1" applyBorder="1" applyAlignment="1">
      <alignment horizontal="center" vertical="center" wrapText="1"/>
    </xf>
    <xf numFmtId="168" fontId="60" fillId="6" borderId="106" xfId="0" applyNumberFormat="1" applyFont="1" applyFill="1" applyBorder="1" applyAlignment="1">
      <alignment horizontal="center"/>
    </xf>
    <xf numFmtId="0" fontId="39" fillId="8" borderId="105" xfId="0" applyFont="1" applyFill="1" applyBorder="1" applyAlignment="1">
      <alignment horizontal="center"/>
    </xf>
    <xf numFmtId="10" fontId="20" fillId="25" borderId="106" xfId="0" applyNumberFormat="1" applyFont="1" applyFill="1" applyBorder="1" applyAlignment="1">
      <alignment horizontal="center"/>
    </xf>
    <xf numFmtId="0" fontId="39" fillId="8" borderId="107" xfId="0" applyFont="1" applyFill="1" applyBorder="1" applyAlignment="1">
      <alignment horizontal="center" vertical="center"/>
    </xf>
    <xf numFmtId="0" fontId="39" fillId="8" borderId="107" xfId="0" applyFont="1" applyFill="1" applyBorder="1" applyAlignment="1">
      <alignment horizontal="center"/>
    </xf>
    <xf numFmtId="0" fontId="39" fillId="8" borderId="108" xfId="0" applyFont="1" applyFill="1" applyBorder="1" applyAlignment="1">
      <alignment horizontal="center"/>
    </xf>
    <xf numFmtId="2" fontId="20" fillId="25" borderId="109" xfId="0" applyNumberFormat="1" applyFont="1" applyFill="1" applyBorder="1" applyAlignment="1">
      <alignment horizontal="center"/>
    </xf>
    <xf numFmtId="2" fontId="60" fillId="6" borderId="110" xfId="0" applyNumberFormat="1" applyFont="1" applyFill="1" applyBorder="1" applyAlignment="1">
      <alignment horizontal="center"/>
    </xf>
    <xf numFmtId="0" fontId="44" fillId="14" borderId="101" xfId="0" applyFont="1" applyFill="1" applyBorder="1" applyAlignment="1">
      <alignment horizontal="center"/>
    </xf>
    <xf numFmtId="0" fontId="44" fillId="14" borderId="102" xfId="0" applyFont="1" applyFill="1" applyBorder="1" applyAlignment="1">
      <alignment horizontal="center"/>
    </xf>
    <xf numFmtId="0" fontId="44" fillId="14" borderId="111" xfId="0" applyFont="1" applyFill="1" applyBorder="1" applyAlignment="1">
      <alignment horizontal="center"/>
    </xf>
    <xf numFmtId="0" fontId="44" fillId="8" borderId="112" xfId="0" applyFont="1" applyFill="1" applyBorder="1"/>
    <xf numFmtId="10" fontId="3" fillId="6" borderId="113" xfId="0" applyNumberFormat="1" applyFont="1" applyFill="1" applyBorder="1"/>
    <xf numFmtId="0" fontId="44" fillId="8" borderId="114" xfId="0" applyFont="1" applyFill="1" applyBorder="1"/>
    <xf numFmtId="10" fontId="3" fillId="6" borderId="115" xfId="0" applyNumberFormat="1" applyFont="1" applyFill="1" applyBorder="1"/>
    <xf numFmtId="0" fontId="44" fillId="8" borderId="107" xfId="0" applyFont="1" applyFill="1" applyBorder="1"/>
    <xf numFmtId="10" fontId="3" fillId="6" borderId="116" xfId="0" applyNumberFormat="1" applyFont="1" applyFill="1" applyBorder="1"/>
    <xf numFmtId="0" fontId="44" fillId="8" borderId="105" xfId="0" applyFont="1" applyFill="1" applyBorder="1"/>
    <xf numFmtId="0" fontId="44" fillId="8" borderId="108" xfId="0" applyFont="1" applyFill="1" applyBorder="1"/>
    <xf numFmtId="0" fontId="27" fillId="6" borderId="117" xfId="0" applyFont="1" applyFill="1" applyBorder="1" applyAlignment="1">
      <alignment horizontal="center"/>
    </xf>
    <xf numFmtId="10" fontId="3" fillId="6" borderId="118" xfId="0" applyNumberFormat="1" applyFont="1" applyFill="1" applyBorder="1"/>
    <xf numFmtId="9" fontId="26" fillId="11" borderId="91" xfId="1" applyFont="1" applyFill="1" applyBorder="1"/>
    <xf numFmtId="9" fontId="26" fillId="11" borderId="92" xfId="1" applyFont="1" applyFill="1" applyBorder="1"/>
    <xf numFmtId="9" fontId="26" fillId="11" borderId="93" xfId="1" applyFont="1" applyFill="1" applyBorder="1"/>
    <xf numFmtId="9" fontId="32" fillId="6" borderId="95" xfId="0" applyNumberFormat="1" applyFont="1" applyFill="1" applyBorder="1"/>
    <xf numFmtId="0" fontId="58" fillId="8" borderId="96" xfId="0" applyFont="1" applyFill="1" applyBorder="1"/>
    <xf numFmtId="9" fontId="32" fillId="6" borderId="97" xfId="0" applyNumberFormat="1" applyFont="1" applyFill="1" applyBorder="1"/>
    <xf numFmtId="9" fontId="32" fillId="6" borderId="98" xfId="0" applyNumberFormat="1" applyFont="1" applyFill="1" applyBorder="1"/>
    <xf numFmtId="0" fontId="41" fillId="8" borderId="103" xfId="0" applyFont="1" applyFill="1" applyBorder="1"/>
    <xf numFmtId="10" fontId="23" fillId="6" borderId="98" xfId="0" applyNumberFormat="1" applyFont="1" applyFill="1" applyBorder="1" applyAlignment="1">
      <alignment horizontal="right" vertical="top"/>
    </xf>
    <xf numFmtId="0" fontId="41" fillId="8" borderId="102" xfId="0" applyFont="1" applyFill="1" applyBorder="1"/>
    <xf numFmtId="0" fontId="61" fillId="8" borderId="94" xfId="0" applyFont="1" applyFill="1" applyBorder="1"/>
    <xf numFmtId="4" fontId="31" fillId="6" borderId="95" xfId="0" applyNumberFormat="1" applyFont="1" applyFill="1" applyBorder="1"/>
    <xf numFmtId="0" fontId="61" fillId="8" borderId="96" xfId="0" applyFont="1" applyFill="1" applyBorder="1"/>
    <xf numFmtId="4" fontId="31" fillId="6" borderId="98" xfId="0" applyNumberFormat="1" applyFont="1" applyFill="1" applyBorder="1"/>
    <xf numFmtId="2" fontId="3" fillId="6" borderId="95" xfId="0" applyNumberFormat="1" applyFont="1" applyFill="1" applyBorder="1"/>
    <xf numFmtId="2" fontId="3" fillId="6" borderId="98" xfId="0" applyNumberFormat="1" applyFont="1" applyFill="1" applyBorder="1"/>
    <xf numFmtId="0" fontId="3" fillId="19" borderId="104" xfId="0" applyFont="1" applyFill="1" applyBorder="1"/>
    <xf numFmtId="10" fontId="3" fillId="19" borderId="99" xfId="0" applyNumberFormat="1" applyFont="1" applyFill="1" applyBorder="1"/>
    <xf numFmtId="9" fontId="3" fillId="6" borderId="95" xfId="0" applyNumberFormat="1" applyFont="1" applyFill="1" applyBorder="1"/>
    <xf numFmtId="9" fontId="3" fillId="6" borderId="97" xfId="0" applyNumberFormat="1" applyFont="1" applyFill="1" applyBorder="1"/>
    <xf numFmtId="9" fontId="3" fillId="6" borderId="98" xfId="0" applyNumberFormat="1" applyFont="1" applyFill="1" applyBorder="1"/>
    <xf numFmtId="0" fontId="0" fillId="4" borderId="94" xfId="0" applyFill="1" applyBorder="1"/>
    <xf numFmtId="10" fontId="3" fillId="4" borderId="95" xfId="0" applyNumberFormat="1" applyFont="1" applyFill="1" applyBorder="1"/>
    <xf numFmtId="2" fontId="3" fillId="0" borderId="94" xfId="0" applyNumberFormat="1" applyFont="1" applyBorder="1"/>
    <xf numFmtId="10" fontId="8" fillId="0" borderId="95" xfId="0" applyNumberFormat="1" applyFont="1" applyBorder="1"/>
    <xf numFmtId="2" fontId="3" fillId="4" borderId="94" xfId="0" applyNumberFormat="1" applyFont="1" applyFill="1" applyBorder="1"/>
    <xf numFmtId="10" fontId="8" fillId="4" borderId="95" xfId="0" applyNumberFormat="1" applyFont="1" applyFill="1" applyBorder="1"/>
    <xf numFmtId="2" fontId="18" fillId="4" borderId="94" xfId="0" applyNumberFormat="1" applyFont="1" applyFill="1" applyBorder="1"/>
    <xf numFmtId="10" fontId="15" fillId="4" borderId="95" xfId="0" applyNumberFormat="1" applyFont="1" applyFill="1" applyBorder="1"/>
    <xf numFmtId="2" fontId="3" fillId="0" borderId="96" xfId="0" applyNumberFormat="1" applyFont="1" applyBorder="1"/>
    <xf numFmtId="10" fontId="8" fillId="0" borderId="98" xfId="0" applyNumberFormat="1" applyFont="1" applyBorder="1"/>
    <xf numFmtId="0" fontId="44" fillId="8" borderId="104" xfId="0" applyFont="1" applyFill="1" applyBorder="1"/>
    <xf numFmtId="10" fontId="3" fillId="4" borderId="99" xfId="0" applyNumberFormat="1" applyFont="1" applyFill="1" applyBorder="1"/>
    <xf numFmtId="10" fontId="8" fillId="0" borderId="99" xfId="0" applyNumberFormat="1" applyFont="1" applyBorder="1"/>
    <xf numFmtId="10" fontId="8" fillId="4" borderId="99" xfId="0" applyNumberFormat="1" applyFont="1" applyFill="1" applyBorder="1"/>
    <xf numFmtId="10" fontId="15" fillId="4" borderId="99" xfId="0" applyNumberFormat="1" applyFont="1" applyFill="1" applyBorder="1"/>
    <xf numFmtId="10" fontId="8" fillId="0" borderId="100" xfId="0" applyNumberFormat="1" applyFont="1" applyBorder="1"/>
    <xf numFmtId="3" fontId="24" fillId="4" borderId="4" xfId="0" applyNumberFormat="1" applyFont="1" applyFill="1" applyBorder="1"/>
    <xf numFmtId="3" fontId="28" fillId="22" borderId="4" xfId="0" applyNumberFormat="1" applyFont="1" applyFill="1" applyBorder="1"/>
    <xf numFmtId="3" fontId="28" fillId="22" borderId="95" xfId="0" applyNumberFormat="1" applyFont="1" applyFill="1" applyBorder="1"/>
    <xf numFmtId="10" fontId="24" fillId="4" borderId="4" xfId="0" applyNumberFormat="1" applyFont="1" applyFill="1" applyBorder="1"/>
    <xf numFmtId="10" fontId="24" fillId="4" borderId="95" xfId="0" applyNumberFormat="1" applyFont="1" applyFill="1" applyBorder="1"/>
    <xf numFmtId="0" fontId="44" fillId="8" borderId="91" xfId="0" applyFont="1" applyFill="1" applyBorder="1"/>
    <xf numFmtId="10" fontId="24" fillId="10" borderId="91" xfId="0" applyNumberFormat="1" applyFont="1" applyFill="1" applyBorder="1"/>
    <xf numFmtId="9" fontId="24" fillId="10" borderId="92" xfId="0" applyNumberFormat="1" applyFont="1" applyFill="1" applyBorder="1"/>
    <xf numFmtId="10" fontId="24" fillId="10" borderId="92" xfId="0" applyNumberFormat="1" applyFont="1" applyFill="1" applyBorder="1"/>
    <xf numFmtId="10" fontId="24" fillId="10" borderId="93" xfId="0" applyNumberFormat="1" applyFont="1" applyFill="1" applyBorder="1"/>
    <xf numFmtId="0" fontId="41" fillId="8" borderId="96" xfId="0" applyFont="1" applyFill="1" applyBorder="1"/>
    <xf numFmtId="10" fontId="24" fillId="6" borderId="104" xfId="0" applyNumberFormat="1" applyFont="1" applyFill="1" applyBorder="1"/>
    <xf numFmtId="10" fontId="24" fillId="6" borderId="99" xfId="0" applyNumberFormat="1" applyFont="1" applyFill="1" applyBorder="1"/>
    <xf numFmtId="0" fontId="0" fillId="6" borderId="100" xfId="0" applyFill="1" applyBorder="1"/>
    <xf numFmtId="10" fontId="0" fillId="6" borderId="0" xfId="1" applyNumberFormat="1" applyFont="1" applyFill="1" applyAlignment="1"/>
    <xf numFmtId="167" fontId="44" fillId="8" borderId="99" xfId="0" applyNumberFormat="1" applyFont="1" applyFill="1" applyBorder="1"/>
    <xf numFmtId="167" fontId="44" fillId="8" borderId="100" xfId="0" applyNumberFormat="1" applyFont="1" applyFill="1" applyBorder="1"/>
    <xf numFmtId="167" fontId="44" fillId="8" borderId="90" xfId="0" applyNumberFormat="1" applyFont="1" applyFill="1" applyBorder="1"/>
    <xf numFmtId="10" fontId="0" fillId="0" borderId="90" xfId="1" applyNumberFormat="1" applyFont="1" applyBorder="1" applyAlignment="1"/>
    <xf numFmtId="9" fontId="0" fillId="0" borderId="93" xfId="1" applyFont="1" applyBorder="1" applyAlignment="1"/>
    <xf numFmtId="167" fontId="44" fillId="8" borderId="104" xfId="0" applyNumberFormat="1" applyFont="1" applyFill="1" applyBorder="1"/>
    <xf numFmtId="167" fontId="44" fillId="8" borderId="103" xfId="0" applyNumberFormat="1" applyFont="1" applyFill="1" applyBorder="1"/>
    <xf numFmtId="0" fontId="41" fillId="8" borderId="104" xfId="0" applyFont="1" applyFill="1" applyBorder="1"/>
    <xf numFmtId="10" fontId="0" fillId="6" borderId="90" xfId="1" applyNumberFormat="1" applyFont="1" applyFill="1" applyBorder="1" applyAlignment="1"/>
    <xf numFmtId="9" fontId="0" fillId="6" borderId="93" xfId="1" applyFont="1" applyFill="1" applyBorder="1" applyAlignment="1"/>
    <xf numFmtId="10" fontId="0" fillId="6" borderId="99" xfId="1" applyNumberFormat="1" applyFont="1" applyFill="1" applyBorder="1" applyAlignment="1"/>
    <xf numFmtId="9" fontId="0" fillId="6" borderId="95" xfId="1" applyFont="1" applyFill="1" applyBorder="1" applyAlignment="1"/>
    <xf numFmtId="10" fontId="0" fillId="6" borderId="100" xfId="1" applyNumberFormat="1" applyFont="1" applyFill="1" applyBorder="1" applyAlignment="1"/>
    <xf numFmtId="9" fontId="0" fillId="6" borderId="98" xfId="1" applyFont="1" applyFill="1" applyBorder="1" applyAlignment="1"/>
    <xf numFmtId="10" fontId="0" fillId="0" borderId="4" xfId="0" applyNumberFormat="1" applyBorder="1"/>
    <xf numFmtId="10" fontId="0" fillId="6" borderId="97" xfId="0" applyNumberFormat="1" applyFill="1" applyBorder="1"/>
    <xf numFmtId="0" fontId="41" fillId="8" borderId="92" xfId="0" applyFont="1" applyFill="1" applyBorder="1"/>
    <xf numFmtId="0" fontId="41" fillId="8" borderId="93" xfId="0" applyFont="1" applyFill="1" applyBorder="1"/>
    <xf numFmtId="10" fontId="0" fillId="6" borderId="91" xfId="0" applyNumberFormat="1" applyFill="1" applyBorder="1"/>
    <xf numFmtId="10" fontId="0" fillId="6" borderId="93" xfId="1" applyNumberFormat="1" applyFont="1" applyFill="1" applyBorder="1" applyAlignment="1"/>
    <xf numFmtId="10" fontId="0" fillId="6" borderId="90" xfId="0" applyNumberFormat="1" applyFill="1" applyBorder="1"/>
    <xf numFmtId="10" fontId="0" fillId="6" borderId="93" xfId="1" applyNumberFormat="1" applyFont="1" applyFill="1" applyBorder="1" applyAlignment="1">
      <alignment horizontal="center"/>
    </xf>
    <xf numFmtId="167" fontId="44" fillId="8" borderId="91" xfId="0" applyNumberFormat="1" applyFont="1" applyFill="1" applyBorder="1"/>
    <xf numFmtId="0" fontId="61" fillId="8" borderId="101" xfId="0" applyFont="1" applyFill="1" applyBorder="1"/>
    <xf numFmtId="0" fontId="61" fillId="8" borderId="102" xfId="0" applyFont="1" applyFill="1" applyBorder="1"/>
    <xf numFmtId="0" fontId="31" fillId="4" borderId="4" xfId="0" applyFont="1" applyFill="1" applyBorder="1"/>
    <xf numFmtId="9" fontId="31" fillId="4" borderId="4" xfId="0" applyNumberFormat="1" applyFont="1" applyFill="1" applyBorder="1"/>
    <xf numFmtId="9" fontId="31" fillId="4" borderId="95" xfId="0" applyNumberFormat="1" applyFont="1" applyFill="1" applyBorder="1"/>
    <xf numFmtId="0" fontId="31" fillId="0" borderId="4" xfId="0" applyFont="1" applyBorder="1"/>
    <xf numFmtId="9" fontId="31" fillId="0" borderId="4" xfId="0" applyNumberFormat="1" applyFont="1" applyBorder="1"/>
    <xf numFmtId="9" fontId="31" fillId="0" borderId="95" xfId="0" applyNumberFormat="1" applyFont="1" applyBorder="1"/>
    <xf numFmtId="0" fontId="61" fillId="8" borderId="91" xfId="0" applyFont="1" applyFill="1" applyBorder="1"/>
    <xf numFmtId="0" fontId="31" fillId="10" borderId="92" xfId="0" applyFont="1" applyFill="1" applyBorder="1"/>
    <xf numFmtId="9" fontId="31" fillId="10" borderId="92" xfId="0" applyNumberFormat="1" applyFont="1" applyFill="1" applyBorder="1"/>
    <xf numFmtId="9" fontId="31" fillId="10" borderId="93" xfId="0" applyNumberFormat="1" applyFont="1" applyFill="1" applyBorder="1"/>
    <xf numFmtId="10" fontId="0" fillId="6" borderId="90" xfId="1" applyNumberFormat="1" applyFont="1" applyFill="1" applyBorder="1"/>
    <xf numFmtId="10" fontId="0" fillId="0" borderId="99" xfId="0" applyNumberFormat="1" applyBorder="1"/>
    <xf numFmtId="10" fontId="0" fillId="6" borderId="100" xfId="0" applyNumberFormat="1" applyFill="1" applyBorder="1"/>
    <xf numFmtId="0" fontId="39" fillId="8" borderId="4" xfId="0" applyFont="1" applyFill="1" applyBorder="1" applyAlignment="1">
      <alignment horizontal="center"/>
    </xf>
    <xf numFmtId="0" fontId="39" fillId="8" borderId="29" xfId="0" applyFont="1" applyFill="1" applyBorder="1" applyAlignment="1">
      <alignment horizontal="center"/>
    </xf>
    <xf numFmtId="0" fontId="39" fillId="8" borderId="42" xfId="0" applyFont="1" applyFill="1" applyBorder="1" applyAlignment="1">
      <alignment horizontal="center"/>
    </xf>
    <xf numFmtId="0" fontId="39" fillId="8" borderId="34" xfId="0" applyFont="1" applyFill="1" applyBorder="1" applyAlignment="1">
      <alignment horizontal="center"/>
    </xf>
    <xf numFmtId="0" fontId="39" fillId="8" borderId="43" xfId="0" applyFont="1" applyFill="1" applyBorder="1" applyAlignment="1">
      <alignment horizontal="center"/>
    </xf>
    <xf numFmtId="0" fontId="39" fillId="8" borderId="31" xfId="0" applyFont="1" applyFill="1" applyBorder="1" applyAlignment="1">
      <alignment horizontal="center"/>
    </xf>
    <xf numFmtId="0" fontId="40" fillId="8" borderId="4" xfId="0" applyFont="1" applyFill="1" applyBorder="1" applyAlignment="1">
      <alignment horizontal="center"/>
    </xf>
    <xf numFmtId="0" fontId="40" fillId="8" borderId="29" xfId="0" applyFont="1" applyFill="1" applyBorder="1" applyAlignment="1">
      <alignment horizontal="center"/>
    </xf>
    <xf numFmtId="0" fontId="38" fillId="9" borderId="38" xfId="0" applyFont="1" applyFill="1" applyBorder="1" applyAlignment="1">
      <alignment horizontal="center"/>
    </xf>
    <xf numFmtId="0" fontId="38" fillId="9" borderId="25" xfId="0" applyFont="1" applyFill="1" applyBorder="1" applyAlignment="1">
      <alignment horizontal="center"/>
    </xf>
    <xf numFmtId="0" fontId="38" fillId="9" borderId="37" xfId="0" applyFont="1" applyFill="1" applyBorder="1" applyAlignment="1">
      <alignment horizontal="center"/>
    </xf>
    <xf numFmtId="0" fontId="42" fillId="8" borderId="0" xfId="0" applyFont="1" applyFill="1" applyAlignment="1">
      <alignment horizontal="center"/>
    </xf>
    <xf numFmtId="0" fontId="43" fillId="8" borderId="4" xfId="0" applyFont="1" applyFill="1" applyBorder="1" applyAlignment="1">
      <alignment horizontal="center"/>
    </xf>
    <xf numFmtId="0" fontId="38" fillId="9" borderId="27" xfId="0" applyFont="1" applyFill="1" applyBorder="1" applyAlignment="1">
      <alignment horizontal="center"/>
    </xf>
    <xf numFmtId="0" fontId="38" fillId="9" borderId="28" xfId="0" applyFont="1" applyFill="1" applyBorder="1" applyAlignment="1">
      <alignment horizontal="center"/>
    </xf>
    <xf numFmtId="0" fontId="38" fillId="9" borderId="35" xfId="0" applyFont="1" applyFill="1" applyBorder="1" applyAlignment="1">
      <alignment horizontal="center"/>
    </xf>
    <xf numFmtId="0" fontId="38" fillId="9" borderId="36" xfId="0" applyFont="1" applyFill="1" applyBorder="1" applyAlignment="1">
      <alignment horizontal="center"/>
    </xf>
    <xf numFmtId="0" fontId="41" fillId="8" borderId="44" xfId="0" applyFont="1" applyFill="1" applyBorder="1" applyAlignment="1">
      <alignment horizontal="center"/>
    </xf>
    <xf numFmtId="0" fontId="41" fillId="8" borderId="45" xfId="0" applyFont="1" applyFill="1" applyBorder="1" applyAlignment="1">
      <alignment horizontal="center"/>
    </xf>
    <xf numFmtId="0" fontId="41" fillId="8" borderId="50" xfId="0" applyFont="1" applyFill="1" applyBorder="1" applyAlignment="1">
      <alignment horizontal="center"/>
    </xf>
    <xf numFmtId="0" fontId="41" fillId="8" borderId="51" xfId="0" applyFont="1" applyFill="1" applyBorder="1" applyAlignment="1">
      <alignment horizontal="center"/>
    </xf>
    <xf numFmtId="0" fontId="44" fillId="8" borderId="45" xfId="0" applyFont="1" applyFill="1" applyBorder="1" applyAlignment="1">
      <alignment horizontal="center"/>
    </xf>
    <xf numFmtId="0" fontId="44" fillId="8" borderId="46" xfId="0" applyFont="1" applyFill="1" applyBorder="1" applyAlignment="1">
      <alignment horizontal="center"/>
    </xf>
    <xf numFmtId="0" fontId="41" fillId="8" borderId="49" xfId="0" applyFont="1" applyFill="1" applyBorder="1" applyAlignment="1">
      <alignment horizontal="center"/>
    </xf>
    <xf numFmtId="0" fontId="50" fillId="17" borderId="2" xfId="0" applyFont="1" applyFill="1" applyBorder="1" applyAlignment="1">
      <alignment horizontal="center"/>
    </xf>
    <xf numFmtId="0" fontId="47" fillId="5" borderId="0" xfId="0" applyFont="1" applyFill="1" applyAlignment="1">
      <alignment vertical="center"/>
    </xf>
    <xf numFmtId="0" fontId="48" fillId="5" borderId="0" xfId="0" applyFont="1" applyFill="1"/>
    <xf numFmtId="0" fontId="47" fillId="5" borderId="0" xfId="0" applyFont="1" applyFill="1" applyAlignment="1">
      <alignment horizontal="right" vertical="center" wrapText="1"/>
    </xf>
    <xf numFmtId="0" fontId="47" fillId="5" borderId="0" xfId="0" applyFont="1" applyFill="1" applyAlignment="1">
      <alignment horizontal="right" vertical="center"/>
    </xf>
    <xf numFmtId="0" fontId="47" fillId="13" borderId="4" xfId="0" applyFont="1" applyFill="1" applyBorder="1" applyAlignment="1">
      <alignment horizontal="center" vertical="center" wrapText="1"/>
    </xf>
    <xf numFmtId="0" fontId="54" fillId="16" borderId="69" xfId="0" applyFont="1" applyFill="1" applyBorder="1" applyAlignment="1">
      <alignment horizontal="center"/>
    </xf>
    <xf numFmtId="0" fontId="47" fillId="13" borderId="0" xfId="0" applyFont="1" applyFill="1" applyAlignment="1">
      <alignment horizontal="center" vertical="center" wrapText="1"/>
    </xf>
    <xf numFmtId="0" fontId="45" fillId="16" borderId="0" xfId="0" applyFont="1" applyFill="1" applyAlignment="1">
      <alignment horizontal="center" vertical="center"/>
    </xf>
    <xf numFmtId="0" fontId="46" fillId="16" borderId="0" xfId="0" applyFont="1" applyFill="1"/>
    <xf numFmtId="0" fontId="49" fillId="16" borderId="0" xfId="0" applyFont="1" applyFill="1" applyAlignment="1">
      <alignment horizontal="center" vertical="center"/>
    </xf>
    <xf numFmtId="0" fontId="51" fillId="16" borderId="0" xfId="0" applyFont="1" applyFill="1" applyAlignment="1">
      <alignment horizontal="center"/>
    </xf>
    <xf numFmtId="0" fontId="53" fillId="21" borderId="72" xfId="0" applyFont="1" applyFill="1" applyBorder="1" applyAlignment="1">
      <alignment horizontal="center"/>
    </xf>
    <xf numFmtId="0" fontId="44" fillId="15" borderId="67" xfId="0" applyFont="1" applyFill="1" applyBorder="1"/>
    <xf numFmtId="0" fontId="44" fillId="15" borderId="68" xfId="0" applyFont="1" applyFill="1" applyBorder="1"/>
    <xf numFmtId="0" fontId="55" fillId="16" borderId="81" xfId="0" applyFont="1" applyFill="1" applyBorder="1" applyAlignment="1">
      <alignment horizontal="center"/>
    </xf>
    <xf numFmtId="0" fontId="55" fillId="16" borderId="67" xfId="0" applyFont="1" applyFill="1" applyBorder="1" applyAlignment="1">
      <alignment horizontal="center"/>
    </xf>
    <xf numFmtId="0" fontId="55" fillId="16" borderId="68" xfId="0" applyFont="1" applyFill="1" applyBorder="1" applyAlignment="1">
      <alignment horizontal="center"/>
    </xf>
    <xf numFmtId="0" fontId="55" fillId="16" borderId="61" xfId="0" applyFont="1" applyFill="1" applyBorder="1" applyAlignment="1">
      <alignment horizontal="center"/>
    </xf>
    <xf numFmtId="0" fontId="55" fillId="16" borderId="4" xfId="0" applyFont="1" applyFill="1" applyBorder="1" applyAlignment="1">
      <alignment horizontal="center"/>
    </xf>
    <xf numFmtId="0" fontId="55" fillId="16" borderId="8" xfId="0" applyFont="1" applyFill="1" applyBorder="1" applyAlignment="1">
      <alignment horizontal="center"/>
    </xf>
    <xf numFmtId="0" fontId="44" fillId="8" borderId="94" xfId="0" applyFont="1" applyFill="1" applyBorder="1"/>
    <xf numFmtId="0" fontId="41" fillId="8" borderId="4" xfId="0" applyFont="1" applyFill="1" applyBorder="1"/>
    <xf numFmtId="0" fontId="44" fillId="8" borderId="96" xfId="0" applyFont="1" applyFill="1" applyBorder="1"/>
    <xf numFmtId="0" fontId="41" fillId="8" borderId="97" xfId="0" applyFont="1" applyFill="1" applyBorder="1"/>
    <xf numFmtId="0" fontId="44" fillId="8" borderId="91" xfId="0" applyFont="1" applyFill="1" applyBorder="1" applyAlignment="1">
      <alignment horizontal="center"/>
    </xf>
    <xf numFmtId="0" fontId="44" fillId="8" borderId="92" xfId="0" applyFont="1" applyFill="1" applyBorder="1" applyAlignment="1">
      <alignment horizontal="center"/>
    </xf>
    <xf numFmtId="0" fontId="44" fillId="8" borderId="93" xfId="0" applyFont="1" applyFill="1" applyBorder="1" applyAlignment="1">
      <alignment horizontal="center"/>
    </xf>
    <xf numFmtId="0" fontId="44" fillId="8" borderId="101" xfId="0" applyFont="1" applyFill="1" applyBorder="1"/>
    <xf numFmtId="0" fontId="41" fillId="8" borderId="103" xfId="0" applyFont="1" applyFill="1" applyBorder="1"/>
    <xf numFmtId="0" fontId="53" fillId="15" borderId="91" xfId="0" applyFont="1" applyFill="1" applyBorder="1" applyAlignment="1">
      <alignment horizontal="center"/>
    </xf>
    <xf numFmtId="0" fontId="53" fillId="15" borderId="92" xfId="0" applyFont="1" applyFill="1" applyBorder="1" applyAlignment="1">
      <alignment horizontal="center"/>
    </xf>
    <xf numFmtId="0" fontId="53" fillId="15" borderId="93" xfId="0" applyFont="1" applyFill="1" applyBorder="1" applyAlignment="1">
      <alignment horizontal="center"/>
    </xf>
    <xf numFmtId="0" fontId="44" fillId="15" borderId="91" xfId="0" applyFont="1" applyFill="1" applyBorder="1"/>
    <xf numFmtId="0" fontId="41" fillId="15" borderId="93" xfId="0" applyFont="1" applyFill="1" applyBorder="1"/>
    <xf numFmtId="0" fontId="44" fillId="15" borderId="101" xfId="0" applyFont="1" applyFill="1" applyBorder="1" applyAlignment="1">
      <alignment horizontal="center"/>
    </xf>
    <xf numFmtId="0" fontId="41" fillId="15" borderId="102" xfId="0" applyFont="1" applyFill="1" applyBorder="1"/>
    <xf numFmtId="0" fontId="41" fillId="15" borderId="103" xfId="0" applyFont="1" applyFill="1" applyBorder="1"/>
    <xf numFmtId="0" fontId="61" fillId="8" borderId="101" xfId="0" applyFont="1" applyFill="1" applyBorder="1" applyAlignment="1">
      <alignment horizontal="center"/>
    </xf>
    <xf numFmtId="0" fontId="61" fillId="8" borderId="103" xfId="0" applyFont="1" applyFill="1" applyBorder="1" applyAlignment="1">
      <alignment horizontal="center"/>
    </xf>
    <xf numFmtId="0" fontId="22" fillId="0" borderId="119" xfId="0" applyFont="1" applyBorder="1" applyAlignment="1">
      <alignment horizontal="center"/>
    </xf>
    <xf numFmtId="0" fontId="22" fillId="0" borderId="120" xfId="0" applyFont="1" applyBorder="1" applyAlignment="1">
      <alignment horizontal="center"/>
    </xf>
    <xf numFmtId="0" fontId="58" fillId="8" borderId="0" xfId="0" applyFont="1" applyFill="1"/>
    <xf numFmtId="0" fontId="50" fillId="15" borderId="101" xfId="0" applyFont="1" applyFill="1" applyBorder="1" applyAlignment="1">
      <alignment horizontal="center"/>
    </xf>
    <xf numFmtId="0" fontId="50" fillId="15" borderId="102" xfId="0" applyFont="1" applyFill="1" applyBorder="1" applyAlignment="1">
      <alignment horizontal="center"/>
    </xf>
    <xf numFmtId="0" fontId="50" fillId="15" borderId="103" xfId="0" applyFont="1" applyFill="1" applyBorder="1" applyAlignment="1">
      <alignment horizontal="center"/>
    </xf>
    <xf numFmtId="0" fontId="3" fillId="0" borderId="0" xfId="0" applyFont="1"/>
    <xf numFmtId="0" fontId="57" fillId="15" borderId="0" xfId="0" applyFont="1" applyFill="1"/>
    <xf numFmtId="0" fontId="36" fillId="15" borderId="0" xfId="0" applyFont="1" applyFill="1"/>
    <xf numFmtId="0" fontId="58" fillId="14" borderId="0" xfId="0" applyFont="1" applyFill="1" applyAlignment="1">
      <alignment horizontal="center"/>
    </xf>
    <xf numFmtId="0" fontId="41" fillId="7" borderId="91" xfId="0" applyFont="1" applyFill="1" applyBorder="1" applyAlignment="1">
      <alignment horizontal="center"/>
    </xf>
    <xf numFmtId="0" fontId="41" fillId="7" borderId="92" xfId="0" applyFont="1" applyFill="1" applyBorder="1" applyAlignment="1">
      <alignment horizontal="center"/>
    </xf>
    <xf numFmtId="0" fontId="41" fillId="7" borderId="93" xfId="0" applyFont="1" applyFill="1" applyBorder="1" applyAlignment="1">
      <alignment horizontal="center"/>
    </xf>
    <xf numFmtId="0" fontId="62" fillId="14" borderId="101" xfId="0" applyFont="1" applyFill="1" applyBorder="1" applyAlignment="1">
      <alignment horizontal="center"/>
    </xf>
    <xf numFmtId="0" fontId="41" fillId="14" borderId="102" xfId="0" applyFont="1" applyFill="1" applyBorder="1"/>
    <xf numFmtId="0" fontId="41" fillId="14" borderId="103" xfId="0" applyFont="1" applyFill="1" applyBorder="1"/>
    <xf numFmtId="170" fontId="20" fillId="25" borderId="85" xfId="0" applyNumberFormat="1" applyFont="1" applyFill="1" applyBorder="1" applyAlignment="1">
      <alignment horizontal="center"/>
    </xf>
    <xf numFmtId="0" fontId="2" fillId="6" borderId="106" xfId="0" applyFont="1" applyFill="1" applyBorder="1"/>
    <xf numFmtId="0" fontId="20" fillId="25" borderId="85" xfId="0" applyFont="1" applyFill="1" applyBorder="1" applyAlignment="1">
      <alignment horizontal="center"/>
    </xf>
    <xf numFmtId="0" fontId="62" fillId="8" borderId="91" xfId="0" applyFont="1" applyFill="1" applyBorder="1" applyAlignment="1">
      <alignment horizontal="center"/>
    </xf>
    <xf numFmtId="0" fontId="62" fillId="8" borderId="93" xfId="0" applyFont="1" applyFill="1" applyBorder="1" applyAlignment="1">
      <alignment horizontal="center"/>
    </xf>
    <xf numFmtId="0" fontId="62" fillId="7" borderId="101" xfId="0" applyFont="1" applyFill="1" applyBorder="1" applyAlignment="1">
      <alignment horizontal="center"/>
    </xf>
    <xf numFmtId="0" fontId="41" fillId="7" borderId="102" xfId="0" applyFont="1" applyFill="1" applyBorder="1"/>
    <xf numFmtId="0" fontId="41" fillId="7" borderId="103" xfId="0" applyFont="1" applyFill="1" applyBorder="1"/>
    <xf numFmtId="170" fontId="20" fillId="25" borderId="91" xfId="0" applyNumberFormat="1" applyFont="1" applyFill="1" applyBorder="1" applyAlignment="1">
      <alignment horizontal="center"/>
    </xf>
    <xf numFmtId="0" fontId="2" fillId="6" borderId="93" xfId="0" applyFont="1" applyFill="1" applyBorder="1"/>
    <xf numFmtId="0" fontId="20" fillId="25" borderId="91" xfId="0" applyFont="1" applyFill="1" applyBorder="1" applyAlignment="1">
      <alignment horizontal="center"/>
    </xf>
    <xf numFmtId="0" fontId="34" fillId="0" borderId="6" xfId="0" applyFont="1" applyBorder="1" applyAlignment="1">
      <alignment horizontal="center"/>
    </xf>
    <xf numFmtId="0" fontId="35" fillId="0" borderId="6" xfId="0" applyFont="1" applyBorder="1"/>
    <xf numFmtId="0" fontId="35" fillId="0" borderId="7" xfId="0" applyFont="1" applyBorder="1"/>
    <xf numFmtId="0" fontId="62" fillId="7" borderId="103" xfId="0" applyFont="1" applyFill="1" applyBorder="1" applyAlignment="1">
      <alignment horizontal="center"/>
    </xf>
    <xf numFmtId="0" fontId="41" fillId="8" borderId="0" xfId="0" applyFont="1" applyFill="1" applyAlignment="1">
      <alignment horizontal="left"/>
    </xf>
    <xf numFmtId="0" fontId="41" fillId="8" borderId="0" xfId="0" applyFont="1" applyFill="1"/>
    <xf numFmtId="0" fontId="55" fillId="8" borderId="91" xfId="0" applyFont="1" applyFill="1" applyBorder="1" applyAlignment="1">
      <alignment horizontal="center"/>
    </xf>
    <xf numFmtId="0" fontId="55" fillId="8" borderId="92" xfId="0" applyFont="1" applyFill="1" applyBorder="1" applyAlignment="1">
      <alignment horizontal="center"/>
    </xf>
    <xf numFmtId="0" fontId="55" fillId="8" borderId="93" xfId="0" applyFont="1" applyFill="1" applyBorder="1" applyAlignment="1">
      <alignment horizontal="center"/>
    </xf>
    <xf numFmtId="0" fontId="3" fillId="19" borderId="100" xfId="1" applyNumberFormat="1" applyFont="1" applyFill="1" applyBorder="1"/>
  </cellXfs>
  <cellStyles count="2">
    <cellStyle name="Normal" xfId="0" builtinId="0"/>
    <cellStyle name="Percent" xfId="1" builtinId="5"/>
  </cellStyles>
  <dxfs count="0"/>
  <tableStyles count="0" defaultTableStyle="TableStyleMedium2" defaultPivotStyle="PivotStyleLight16"/>
  <colors>
    <mruColors>
      <color rgb="FF003366"/>
      <color rgb="FF10CE9C"/>
      <color rgb="FFFFFF99"/>
      <color rgb="FF336699"/>
      <color rgb="FF3366CC"/>
      <color rgb="FF00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2.xml"/><Relationship Id="rId18" Type="http://customschemas.google.com/relationships/workbookmetadata" Target="metadata"/><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1.xml"/><Relationship Id="rId2" Type="http://schemas.openxmlformats.org/officeDocument/2006/relationships/worksheet" Target="worksheets/sheet2.xml"/><Relationship Id="rId16" Type="http://schemas.openxmlformats.org/officeDocument/2006/relationships/worksheet" Target="worksheets/sheet15.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hartsheet" Target="chartsheets/sheet1.xml"/><Relationship Id="rId5" Type="http://schemas.openxmlformats.org/officeDocument/2006/relationships/worksheet" Target="worksheets/sheet5.xml"/><Relationship Id="rId15" Type="http://schemas.openxmlformats.org/officeDocument/2006/relationships/worksheet" Target="worksheets/sheet14.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14.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Markowitz Portfolio Pie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5.762933857236411E-2"/>
          <c:y val="0.17341269841269846"/>
          <c:w val="0.75362055185145083"/>
          <c:h val="0.79484126984126979"/>
        </c:manualLayout>
      </c:layout>
      <c:pie3D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DCE4-47EE-B9A8-ACC5DD6C34DD}"/>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DCE4-47EE-B9A8-ACC5DD6C34DD}"/>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DCE4-47EE-B9A8-ACC5DD6C34DD}"/>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DCE4-47EE-B9A8-ACC5DD6C34DD}"/>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DCE4-47EE-B9A8-ACC5DD6C34DD}"/>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DCE4-47EE-B9A8-ACC5DD6C34DD}"/>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DCE4-47EE-B9A8-ACC5DD6C34DD}"/>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'Markowitz Model'!$C$55:$I$55</c:f>
              <c:strCache>
                <c:ptCount val="7"/>
                <c:pt idx="0">
                  <c:v>GP</c:v>
                </c:pt>
                <c:pt idx="1">
                  <c:v>Kohinoor</c:v>
                </c:pt>
                <c:pt idx="2">
                  <c:v>Beximco</c:v>
                </c:pt>
                <c:pt idx="3">
                  <c:v>MPetroleum </c:v>
                </c:pt>
                <c:pt idx="4">
                  <c:v>DBH</c:v>
                </c:pt>
                <c:pt idx="5">
                  <c:v>Marico </c:v>
                </c:pt>
                <c:pt idx="6">
                  <c:v>Olympic</c:v>
                </c:pt>
              </c:strCache>
            </c:strRef>
          </c:cat>
          <c:val>
            <c:numRef>
              <c:f>'Markowitz Model'!$C$58:$I$58</c:f>
              <c:numCache>
                <c:formatCode>0%</c:formatCode>
                <c:ptCount val="7"/>
                <c:pt idx="0">
                  <c:v>0.20200000000000001</c:v>
                </c:pt>
                <c:pt idx="1">
                  <c:v>0.1235</c:v>
                </c:pt>
                <c:pt idx="2">
                  <c:v>0.12200000000000001</c:v>
                </c:pt>
                <c:pt idx="3">
                  <c:v>0.13800000000000001</c:v>
                </c:pt>
                <c:pt idx="4">
                  <c:v>0.10700000000000001</c:v>
                </c:pt>
                <c:pt idx="5">
                  <c:v>0.16649999999999998</c:v>
                </c:pt>
                <c:pt idx="6">
                  <c:v>0.14100000000000001</c:v>
                </c:pt>
              </c:numCache>
            </c:numRef>
          </c:val>
          <c:extLst>
            <c:ext xmlns:c16="http://schemas.microsoft.com/office/drawing/2014/chart" uri="{C3380CC4-5D6E-409C-BE32-E72D297353CC}">
              <c16:uniqueId val="{00000000-83CC-4A98-90EB-64DDB5FF9301}"/>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Effecient Frontier-Mean Variance Portfolio Model</a:t>
            </a:r>
          </a:p>
        </c:rich>
      </c:tx>
      <c:layout>
        <c:manualLayout>
          <c:xMode val="edge"/>
          <c:yMode val="edge"/>
          <c:x val="5.418744531933508E-2"/>
          <c:y val="2.777777777777777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scatterChart>
        <c:scatterStyle val="smoothMarker"/>
        <c:varyColors val="0"/>
        <c:ser>
          <c:idx val="0"/>
          <c:order val="0"/>
          <c:spPr>
            <a:ln w="95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dLbls>
            <c:dLbl>
              <c:idx val="9"/>
              <c:layout>
                <c:manualLayout>
                  <c:x val="-9.9600662686579355E-2"/>
                  <c:y val="-8.1477712563804053E-2"/>
                </c:manualLayout>
              </c:layout>
              <c:spPr>
                <a:solidFill>
                  <a:srgbClr val="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 xmlns:c16="http://schemas.microsoft.com/office/drawing/2014/chart" uri="{C3380CC4-5D6E-409C-BE32-E72D297353CC}">
                  <c16:uniqueId val="{00000000-9D0F-4551-841F-843A8DBD388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xVal>
            <c:numRef>
              <c:f>'Markowitz Model'!$C$27:$C$47</c:f>
              <c:numCache>
                <c:formatCode>0.00%</c:formatCode>
                <c:ptCount val="21"/>
                <c:pt idx="0">
                  <c:v>0.29726904542700339</c:v>
                </c:pt>
                <c:pt idx="1">
                  <c:v>0.28414752934849818</c:v>
                </c:pt>
                <c:pt idx="2">
                  <c:v>0.27205231891631992</c:v>
                </c:pt>
                <c:pt idx="3">
                  <c:v>0.26112606677188688</c:v>
                </c:pt>
                <c:pt idx="4">
                  <c:v>0.25152116013346154</c:v>
                </c:pt>
                <c:pt idx="5">
                  <c:v>0.24339407956876513</c:v>
                </c:pt>
                <c:pt idx="6">
                  <c:v>0.23689697058106898</c:v>
                </c:pt>
                <c:pt idx="7">
                  <c:v>0.23216671617388854</c:v>
                </c:pt>
                <c:pt idx="8">
                  <c:v>0.22931268228025131</c:v>
                </c:pt>
                <c:pt idx="9">
                  <c:v>0.22840521258779886</c:v>
                </c:pt>
                <c:pt idx="10">
                  <c:v>0.2294674023627522</c:v>
                </c:pt>
                <c:pt idx="11">
                  <c:v>0.23247225443923064</c:v>
                </c:pt>
                <c:pt idx="12">
                  <c:v>0.23734599669706899</c:v>
                </c:pt>
                <c:pt idx="13">
                  <c:v>0.24397665449650979</c:v>
                </c:pt>
                <c:pt idx="14">
                  <c:v>0.25222570538628902</c:v>
                </c:pt>
                <c:pt idx="15">
                  <c:v>0.26194029415695164</c:v>
                </c:pt>
                <c:pt idx="16">
                  <c:v>0.27296399336829608</c:v>
                </c:pt>
                <c:pt idx="17">
                  <c:v>0.28514501288856781</c:v>
                </c:pt>
                <c:pt idx="18">
                  <c:v>0.29834162934795644</c:v>
                </c:pt>
                <c:pt idx="19">
                  <c:v>0.31242517497135663</c:v>
                </c:pt>
                <c:pt idx="20">
                  <c:v>0.32728117091713321</c:v>
                </c:pt>
              </c:numCache>
            </c:numRef>
          </c:xVal>
          <c:yVal>
            <c:numRef>
              <c:f>'Markowitz Model'!$D$27:$D$47</c:f>
              <c:numCache>
                <c:formatCode>0.00%</c:formatCode>
                <c:ptCount val="21"/>
                <c:pt idx="0">
                  <c:v>8.8368885369081787E-2</c:v>
                </c:pt>
                <c:pt idx="1">
                  <c:v>8.9306089342472181E-2</c:v>
                </c:pt>
                <c:pt idx="2">
                  <c:v>9.0243293315862588E-2</c:v>
                </c:pt>
                <c:pt idx="3">
                  <c:v>9.1180497289252982E-2</c:v>
                </c:pt>
                <c:pt idx="4">
                  <c:v>9.2117701262643389E-2</c:v>
                </c:pt>
                <c:pt idx="5">
                  <c:v>9.3054905236033783E-2</c:v>
                </c:pt>
                <c:pt idx="6">
                  <c:v>9.3992109209424177E-2</c:v>
                </c:pt>
                <c:pt idx="7">
                  <c:v>9.4929313182814584E-2</c:v>
                </c:pt>
                <c:pt idx="8">
                  <c:v>9.5866517156204978E-2</c:v>
                </c:pt>
                <c:pt idx="9">
                  <c:v>9.6803721129595385E-2</c:v>
                </c:pt>
                <c:pt idx="10">
                  <c:v>9.7740925102985779E-2</c:v>
                </c:pt>
                <c:pt idx="11">
                  <c:v>9.8678129076376186E-2</c:v>
                </c:pt>
                <c:pt idx="12">
                  <c:v>9.961533304976658E-2</c:v>
                </c:pt>
                <c:pt idx="13">
                  <c:v>0.10055253702315697</c:v>
                </c:pt>
                <c:pt idx="14">
                  <c:v>0.10148974099654738</c:v>
                </c:pt>
                <c:pt idx="15">
                  <c:v>0.10242694496993777</c:v>
                </c:pt>
                <c:pt idx="16">
                  <c:v>0.10336414894332818</c:v>
                </c:pt>
                <c:pt idx="17">
                  <c:v>0.10430135291671858</c:v>
                </c:pt>
                <c:pt idx="18">
                  <c:v>0.10523855689010897</c:v>
                </c:pt>
                <c:pt idx="19">
                  <c:v>0.10617576086349938</c:v>
                </c:pt>
                <c:pt idx="20">
                  <c:v>0.10711296483688977</c:v>
                </c:pt>
              </c:numCache>
            </c:numRef>
          </c:yVal>
          <c:smooth val="1"/>
          <c:extLst>
            <c:ext xmlns:c16="http://schemas.microsoft.com/office/drawing/2014/chart" uri="{C3380CC4-5D6E-409C-BE32-E72D297353CC}">
              <c16:uniqueId val="{00000001-9D0F-4551-841F-843A8DBD388C}"/>
            </c:ext>
          </c:extLst>
        </c:ser>
        <c:dLbls>
          <c:showLegendKey val="0"/>
          <c:showVal val="0"/>
          <c:showCatName val="0"/>
          <c:showSerName val="0"/>
          <c:showPercent val="0"/>
          <c:showBubbleSize val="0"/>
        </c:dLbls>
        <c:axId val="1888262308"/>
        <c:axId val="1034927708"/>
      </c:scatterChart>
      <c:valAx>
        <c:axId val="1888262308"/>
        <c:scaling>
          <c:orientation val="minMax"/>
          <c:min val="0.2"/>
        </c:scaling>
        <c:delete val="0"/>
        <c:axPos val="b"/>
        <c:title>
          <c:tx>
            <c:rich>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rich>
          </c:tx>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34927708"/>
        <c:crosses val="autoZero"/>
        <c:crossBetween val="midCat"/>
      </c:valAx>
      <c:valAx>
        <c:axId val="1034927708"/>
        <c:scaling>
          <c:orientation val="minMax"/>
          <c:max val="0.12000000000000001"/>
          <c:min val="5.000000000000001E-2"/>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rich>
          </c:tx>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88262308"/>
        <c:crosses val="autoZero"/>
        <c:crossBetween val="midCat"/>
      </c:valAx>
      <c:spPr>
        <a:noFill/>
        <a:ln>
          <a:noFill/>
        </a:ln>
        <a:effectLst/>
      </c:spPr>
    </c:plotArea>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CAPM</a:t>
            </a:r>
            <a:r>
              <a:rPr lang="en-US" baseline="0"/>
              <a:t> Pie</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AED3-41D5-A68C-08FF50C7A75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AED3-41D5-A68C-08FF50C7A75B}"/>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AED3-41D5-A68C-08FF50C7A75B}"/>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AED3-41D5-A68C-08FF50C7A75B}"/>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AED3-41D5-A68C-08FF50C7A75B}"/>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AED3-41D5-A68C-08FF50C7A75B}"/>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D-AED3-41D5-A68C-08FF50C7A75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15:layout/>
              </c:ext>
            </c:extLst>
          </c:dLbls>
          <c:cat>
            <c:strRef>
              <c:f>'Capm-Adjusted (CML)'!$I$27:$O$27</c:f>
              <c:strCache>
                <c:ptCount val="7"/>
                <c:pt idx="0">
                  <c:v>GP</c:v>
                </c:pt>
                <c:pt idx="1">
                  <c:v>Kohinoor</c:v>
                </c:pt>
                <c:pt idx="2">
                  <c:v>Beximco</c:v>
                </c:pt>
                <c:pt idx="3">
                  <c:v>MPetroleum </c:v>
                </c:pt>
                <c:pt idx="4">
                  <c:v>DBH</c:v>
                </c:pt>
                <c:pt idx="5">
                  <c:v>Marico </c:v>
                </c:pt>
                <c:pt idx="6">
                  <c:v>Olympic</c:v>
                </c:pt>
              </c:strCache>
            </c:strRef>
          </c:cat>
          <c:val>
            <c:numRef>
              <c:f>'Capm-Adjusted (CML)'!$I$30:$O$30</c:f>
              <c:numCache>
                <c:formatCode>0%</c:formatCode>
                <c:ptCount val="7"/>
                <c:pt idx="0">
                  <c:v>0.19800000000000001</c:v>
                </c:pt>
                <c:pt idx="1">
                  <c:v>0.1265</c:v>
                </c:pt>
                <c:pt idx="2">
                  <c:v>0.11800000000000002</c:v>
                </c:pt>
                <c:pt idx="3">
                  <c:v>0.14200000000000002</c:v>
                </c:pt>
                <c:pt idx="4">
                  <c:v>0.11300000000000002</c:v>
                </c:pt>
                <c:pt idx="5">
                  <c:v>0.16350000000000001</c:v>
                </c:pt>
                <c:pt idx="6">
                  <c:v>0.13900000000000001</c:v>
                </c:pt>
              </c:numCache>
            </c:numRef>
          </c:val>
          <c:extLst>
            <c:ext xmlns:c16="http://schemas.microsoft.com/office/drawing/2014/chart" uri="{C3380CC4-5D6E-409C-BE32-E72D297353CC}">
              <c16:uniqueId val="{00000000-7D31-4D53-BC74-EDBC038F4258}"/>
            </c:ext>
          </c:extLst>
        </c:ser>
        <c:dLbls>
          <c:showLegendKey val="0"/>
          <c:showVal val="0"/>
          <c:showCatName val="0"/>
          <c:showSerName val="0"/>
          <c:showPercent val="1"/>
          <c:showBubbleSize val="0"/>
          <c:showLeaderLines val="1"/>
        </c:dLbls>
      </c:pie3D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845465584786716E-2"/>
          <c:y val="2.9285194362923584E-2"/>
          <c:w val="0.90975505904061738"/>
          <c:h val="0.91438747560146183"/>
        </c:manualLayout>
      </c:layout>
      <c:scatterChart>
        <c:scatterStyle val="smoothMarker"/>
        <c:varyColors val="0"/>
        <c:ser>
          <c:idx val="0"/>
          <c:order val="0"/>
          <c:tx>
            <c:v>EFT</c:v>
          </c:tx>
          <c:spPr>
            <a:ln w="19050" cap="rnd">
              <a:solidFill>
                <a:schemeClr val="accent1"/>
              </a:solidFill>
              <a:round/>
            </a:ln>
            <a:effectLst/>
          </c:spPr>
          <c:marker>
            <c:symbol val="circle"/>
            <c:size val="5"/>
            <c:spPr>
              <a:solidFill>
                <a:schemeClr val="accent1"/>
              </a:solidFill>
              <a:ln w="9525">
                <a:solidFill>
                  <a:schemeClr val="accent1"/>
                </a:solidFill>
              </a:ln>
              <a:effectLst/>
            </c:spPr>
          </c:marker>
          <c:dLbls>
            <c:dLbl>
              <c:idx val="9"/>
              <c:layout>
                <c:manualLayout>
                  <c:x val="0.11208832262822546"/>
                  <c:y val="-7.3247602603495054E-3"/>
                </c:manualLayout>
              </c:layout>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1144998779449806"/>
                      <c:h val="0.10772703708256694"/>
                    </c:manualLayout>
                  </c15:layout>
                </c:ext>
                <c:ext xmlns:c16="http://schemas.microsoft.com/office/drawing/2014/chart" uri="{C3380CC4-5D6E-409C-BE32-E72D297353CC}">
                  <c16:uniqueId val="{00000003-7A05-4E00-BD7A-AEDCF1E736D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xVal>
            <c:numRef>
              <c:f>'Capm-Adjusted (CML)'!$C$10:$C$30</c:f>
              <c:numCache>
                <c:formatCode>0.00%</c:formatCode>
                <c:ptCount val="21"/>
                <c:pt idx="0">
                  <c:v>0.29726904542700339</c:v>
                </c:pt>
                <c:pt idx="1">
                  <c:v>0.28414752934849818</c:v>
                </c:pt>
                <c:pt idx="2">
                  <c:v>0.27205231891631992</c:v>
                </c:pt>
                <c:pt idx="3">
                  <c:v>0.26112606677188688</c:v>
                </c:pt>
                <c:pt idx="4">
                  <c:v>0.25152116013346154</c:v>
                </c:pt>
                <c:pt idx="5">
                  <c:v>0.24339407956876513</c:v>
                </c:pt>
                <c:pt idx="6">
                  <c:v>0.23689697058106898</c:v>
                </c:pt>
                <c:pt idx="7">
                  <c:v>0.23216671617388854</c:v>
                </c:pt>
                <c:pt idx="8">
                  <c:v>0.22931268228025131</c:v>
                </c:pt>
                <c:pt idx="9">
                  <c:v>0.22840521258779886</c:v>
                </c:pt>
                <c:pt idx="10">
                  <c:v>0.2294674023627522</c:v>
                </c:pt>
                <c:pt idx="11">
                  <c:v>0.23247225443923064</c:v>
                </c:pt>
                <c:pt idx="12">
                  <c:v>0.23734599669706899</c:v>
                </c:pt>
                <c:pt idx="13">
                  <c:v>0.24397665449650979</c:v>
                </c:pt>
                <c:pt idx="14">
                  <c:v>0.25222570538628902</c:v>
                </c:pt>
                <c:pt idx="15">
                  <c:v>0.26194029415695164</c:v>
                </c:pt>
                <c:pt idx="16">
                  <c:v>0.27296399336829608</c:v>
                </c:pt>
                <c:pt idx="17">
                  <c:v>0.28514501288856781</c:v>
                </c:pt>
                <c:pt idx="18">
                  <c:v>0.29834162934795644</c:v>
                </c:pt>
                <c:pt idx="19">
                  <c:v>0.31242517497135663</c:v>
                </c:pt>
                <c:pt idx="20">
                  <c:v>0.32728117091713321</c:v>
                </c:pt>
              </c:numCache>
            </c:numRef>
          </c:xVal>
          <c:yVal>
            <c:numRef>
              <c:f>'Capm-Adjusted (CML)'!$D$10:$D$30</c:f>
              <c:numCache>
                <c:formatCode>0.00%</c:formatCode>
                <c:ptCount val="21"/>
                <c:pt idx="0">
                  <c:v>8.8368885369081787E-2</c:v>
                </c:pt>
                <c:pt idx="1">
                  <c:v>8.9306089342472181E-2</c:v>
                </c:pt>
                <c:pt idx="2">
                  <c:v>9.0243293315862588E-2</c:v>
                </c:pt>
                <c:pt idx="3">
                  <c:v>9.1180497289252982E-2</c:v>
                </c:pt>
                <c:pt idx="4">
                  <c:v>9.2117701262643389E-2</c:v>
                </c:pt>
                <c:pt idx="5">
                  <c:v>9.3054905236033783E-2</c:v>
                </c:pt>
                <c:pt idx="6">
                  <c:v>9.3992109209424177E-2</c:v>
                </c:pt>
                <c:pt idx="7">
                  <c:v>9.4929313182814584E-2</c:v>
                </c:pt>
                <c:pt idx="8">
                  <c:v>9.5866517156204978E-2</c:v>
                </c:pt>
                <c:pt idx="9">
                  <c:v>9.6803721129595385E-2</c:v>
                </c:pt>
                <c:pt idx="10">
                  <c:v>9.7740925102985779E-2</c:v>
                </c:pt>
                <c:pt idx="11">
                  <c:v>9.8678129076376186E-2</c:v>
                </c:pt>
                <c:pt idx="12">
                  <c:v>9.961533304976658E-2</c:v>
                </c:pt>
                <c:pt idx="13">
                  <c:v>0.10055253702315697</c:v>
                </c:pt>
                <c:pt idx="14">
                  <c:v>0.10148974099654738</c:v>
                </c:pt>
                <c:pt idx="15">
                  <c:v>0.10242694496993777</c:v>
                </c:pt>
                <c:pt idx="16">
                  <c:v>0.10336414894332818</c:v>
                </c:pt>
                <c:pt idx="17">
                  <c:v>0.10430135291671858</c:v>
                </c:pt>
                <c:pt idx="18">
                  <c:v>0.10523855689010897</c:v>
                </c:pt>
                <c:pt idx="19">
                  <c:v>0.10617576086349938</c:v>
                </c:pt>
                <c:pt idx="20">
                  <c:v>0.10711296483688977</c:v>
                </c:pt>
              </c:numCache>
            </c:numRef>
          </c:yVal>
          <c:smooth val="1"/>
          <c:extLst>
            <c:ext xmlns:c16="http://schemas.microsoft.com/office/drawing/2014/chart" uri="{C3380CC4-5D6E-409C-BE32-E72D297353CC}">
              <c16:uniqueId val="{00000000-7A05-4E00-BD7A-AEDCF1E736DD}"/>
            </c:ext>
          </c:extLst>
        </c:ser>
        <c:ser>
          <c:idx val="1"/>
          <c:order val="1"/>
          <c:tx>
            <c:v>CML</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Lit>
              <c:formatCode>General</c:formatCode>
              <c:ptCount val="1"/>
              <c:pt idx="0">
                <c:v>0</c:v>
              </c:pt>
            </c:numLit>
          </c:xVal>
          <c:yVal>
            <c:numRef>
              <c:f>'Capm-Adjusted (CML)'!$G$18</c:f>
              <c:numCache>
                <c:formatCode>0.00%</c:formatCode>
                <c:ptCount val="1"/>
                <c:pt idx="0">
                  <c:v>6.0400000000000002E-2</c:v>
                </c:pt>
              </c:numCache>
            </c:numRef>
          </c:yVal>
          <c:smooth val="1"/>
          <c:extLst>
            <c:ext xmlns:c16="http://schemas.microsoft.com/office/drawing/2014/chart" uri="{C3380CC4-5D6E-409C-BE32-E72D297353CC}">
              <c16:uniqueId val="{00000002-7A05-4E00-BD7A-AEDCF1E736DD}"/>
            </c:ext>
          </c:extLst>
        </c:ser>
        <c:dLbls>
          <c:showLegendKey val="0"/>
          <c:showVal val="0"/>
          <c:showCatName val="0"/>
          <c:showSerName val="0"/>
          <c:showPercent val="0"/>
          <c:showBubbleSize val="0"/>
        </c:dLbls>
        <c:axId val="1710540720"/>
        <c:axId val="1710541136"/>
      </c:scatterChart>
      <c:valAx>
        <c:axId val="1710540720"/>
        <c:scaling>
          <c:orientation val="minMax"/>
          <c:min val="0"/>
        </c:scaling>
        <c:delete val="0"/>
        <c:axPos val="b"/>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0541136"/>
        <c:crosses val="autoZero"/>
        <c:crossBetween val="midCat"/>
      </c:valAx>
      <c:valAx>
        <c:axId val="1710541136"/>
        <c:scaling>
          <c:orientation val="minMax"/>
          <c:min val="5.000000000000001E-2"/>
        </c:scaling>
        <c:delete val="0"/>
        <c:axPos val="l"/>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0540720"/>
        <c:crosses val="autoZero"/>
        <c:crossBetween val="midCat"/>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smoothMarker"/>
        <c:varyColors val="0"/>
        <c:ser>
          <c:idx val="0"/>
          <c:order val="0"/>
          <c:tx>
            <c:v>SER1</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'Capm-Adjusted (CML)'!$C$10:$C$30</c:f>
              <c:numCache>
                <c:formatCode>0.00%</c:formatCode>
                <c:ptCount val="21"/>
                <c:pt idx="0">
                  <c:v>0.29726904542700339</c:v>
                </c:pt>
                <c:pt idx="1">
                  <c:v>0.28414752934849818</c:v>
                </c:pt>
                <c:pt idx="2">
                  <c:v>0.27205231891631992</c:v>
                </c:pt>
                <c:pt idx="3">
                  <c:v>0.26112606677188688</c:v>
                </c:pt>
                <c:pt idx="4">
                  <c:v>0.25152116013346154</c:v>
                </c:pt>
                <c:pt idx="5">
                  <c:v>0.24339407956876513</c:v>
                </c:pt>
                <c:pt idx="6">
                  <c:v>0.23689697058106898</c:v>
                </c:pt>
                <c:pt idx="7">
                  <c:v>0.23216671617388854</c:v>
                </c:pt>
                <c:pt idx="8">
                  <c:v>0.22931268228025131</c:v>
                </c:pt>
                <c:pt idx="9">
                  <c:v>0.22840521258779886</c:v>
                </c:pt>
                <c:pt idx="10">
                  <c:v>0.2294674023627522</c:v>
                </c:pt>
                <c:pt idx="11">
                  <c:v>0.23247225443923064</c:v>
                </c:pt>
                <c:pt idx="12">
                  <c:v>0.23734599669706899</c:v>
                </c:pt>
                <c:pt idx="13">
                  <c:v>0.24397665449650979</c:v>
                </c:pt>
                <c:pt idx="14">
                  <c:v>0.25222570538628902</c:v>
                </c:pt>
                <c:pt idx="15">
                  <c:v>0.26194029415695164</c:v>
                </c:pt>
                <c:pt idx="16">
                  <c:v>0.27296399336829608</c:v>
                </c:pt>
                <c:pt idx="17">
                  <c:v>0.28514501288856781</c:v>
                </c:pt>
                <c:pt idx="18">
                  <c:v>0.29834162934795644</c:v>
                </c:pt>
                <c:pt idx="19">
                  <c:v>0.31242517497135663</c:v>
                </c:pt>
                <c:pt idx="20">
                  <c:v>0.32728117091713321</c:v>
                </c:pt>
              </c:numCache>
            </c:numRef>
          </c:xVal>
          <c:yVal>
            <c:numRef>
              <c:f>'Capm-Adjusted (CML)'!$D$10:$D$30</c:f>
              <c:numCache>
                <c:formatCode>0.00%</c:formatCode>
                <c:ptCount val="21"/>
                <c:pt idx="0">
                  <c:v>8.8368885369081787E-2</c:v>
                </c:pt>
                <c:pt idx="1">
                  <c:v>8.9306089342472181E-2</c:v>
                </c:pt>
                <c:pt idx="2">
                  <c:v>9.0243293315862588E-2</c:v>
                </c:pt>
                <c:pt idx="3">
                  <c:v>9.1180497289252982E-2</c:v>
                </c:pt>
                <c:pt idx="4">
                  <c:v>9.2117701262643389E-2</c:v>
                </c:pt>
                <c:pt idx="5">
                  <c:v>9.3054905236033783E-2</c:v>
                </c:pt>
                <c:pt idx="6">
                  <c:v>9.3992109209424177E-2</c:v>
                </c:pt>
                <c:pt idx="7">
                  <c:v>9.4929313182814584E-2</c:v>
                </c:pt>
                <c:pt idx="8">
                  <c:v>9.5866517156204978E-2</c:v>
                </c:pt>
                <c:pt idx="9">
                  <c:v>9.6803721129595385E-2</c:v>
                </c:pt>
                <c:pt idx="10">
                  <c:v>9.7740925102985779E-2</c:v>
                </c:pt>
                <c:pt idx="11">
                  <c:v>9.8678129076376186E-2</c:v>
                </c:pt>
                <c:pt idx="12">
                  <c:v>9.961533304976658E-2</c:v>
                </c:pt>
                <c:pt idx="13">
                  <c:v>0.10055253702315697</c:v>
                </c:pt>
                <c:pt idx="14">
                  <c:v>0.10148974099654738</c:v>
                </c:pt>
                <c:pt idx="15">
                  <c:v>0.10242694496993777</c:v>
                </c:pt>
                <c:pt idx="16">
                  <c:v>0.10336414894332818</c:v>
                </c:pt>
                <c:pt idx="17">
                  <c:v>0.10430135291671858</c:v>
                </c:pt>
                <c:pt idx="18">
                  <c:v>0.10523855689010897</c:v>
                </c:pt>
                <c:pt idx="19">
                  <c:v>0.10617576086349938</c:v>
                </c:pt>
                <c:pt idx="20">
                  <c:v>0.10711296483688977</c:v>
                </c:pt>
              </c:numCache>
            </c:numRef>
          </c:yVal>
          <c:smooth val="1"/>
          <c:extLst>
            <c:ext xmlns:c16="http://schemas.microsoft.com/office/drawing/2014/chart" uri="{C3380CC4-5D6E-409C-BE32-E72D297353CC}">
              <c16:uniqueId val="{00000000-17EE-4874-8946-3E6577065F14}"/>
            </c:ext>
          </c:extLst>
        </c:ser>
        <c:ser>
          <c:idx val="1"/>
          <c:order val="1"/>
          <c:tx>
            <c:v>SER2</c:v>
          </c:tx>
          <c:spPr>
            <a:ln w="19050" cap="rnd">
              <a:solidFill>
                <a:schemeClr val="accent2"/>
              </a:solid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0"/>
          </c:trendline>
          <c:trendline>
            <c:spPr>
              <a:ln w="19050" cap="rnd">
                <a:solidFill>
                  <a:schemeClr val="accent2"/>
                </a:solidFill>
                <a:prstDash val="sysDot"/>
              </a:ln>
              <a:effectLst/>
            </c:spPr>
            <c:trendlineType val="linear"/>
            <c:forward val="0.5"/>
            <c:backward val="1"/>
            <c:dispRSqr val="0"/>
            <c:dispEq val="0"/>
          </c:trendline>
          <c:xVal>
            <c:numRef>
              <c:f>'CAPM 2ndAdjustment (SML)'!$C$13:$C$33</c:f>
              <c:numCache>
                <c:formatCode>0.00%</c:formatCode>
                <c:ptCount val="21"/>
                <c:pt idx="0">
                  <c:v>0.71435000000000004</c:v>
                </c:pt>
                <c:pt idx="1">
                  <c:v>0.71435000000000004</c:v>
                </c:pt>
                <c:pt idx="2">
                  <c:v>0.71435000000000004</c:v>
                </c:pt>
                <c:pt idx="3">
                  <c:v>0.71435000000000004</c:v>
                </c:pt>
                <c:pt idx="4">
                  <c:v>0.71435000000000004</c:v>
                </c:pt>
                <c:pt idx="5">
                  <c:v>0.71435000000000004</c:v>
                </c:pt>
                <c:pt idx="6">
                  <c:v>0.71435000000000004</c:v>
                </c:pt>
                <c:pt idx="7">
                  <c:v>0.71435000000000004</c:v>
                </c:pt>
                <c:pt idx="8">
                  <c:v>0.71435000000000004</c:v>
                </c:pt>
                <c:pt idx="9">
                  <c:v>0.71435000000000004</c:v>
                </c:pt>
                <c:pt idx="10">
                  <c:v>0.71435000000000004</c:v>
                </c:pt>
                <c:pt idx="11">
                  <c:v>0.71435000000000004</c:v>
                </c:pt>
                <c:pt idx="12">
                  <c:v>0.71435000000000004</c:v>
                </c:pt>
                <c:pt idx="13">
                  <c:v>0.71435000000000004</c:v>
                </c:pt>
                <c:pt idx="14">
                  <c:v>0.71435000000000004</c:v>
                </c:pt>
                <c:pt idx="15">
                  <c:v>0.71435000000000004</c:v>
                </c:pt>
                <c:pt idx="16">
                  <c:v>0.71435000000000004</c:v>
                </c:pt>
                <c:pt idx="17">
                  <c:v>0.71435000000000004</c:v>
                </c:pt>
                <c:pt idx="18">
                  <c:v>0.71435000000000004</c:v>
                </c:pt>
                <c:pt idx="19">
                  <c:v>0.71435000000000004</c:v>
                </c:pt>
                <c:pt idx="20">
                  <c:v>0.71435000000000004</c:v>
                </c:pt>
              </c:numCache>
            </c:numRef>
          </c:xVal>
          <c:yVal>
            <c:numRef>
              <c:f>'CAPM 2ndAdjustment (SML)'!$D$13:$D$33</c:f>
              <c:numCache>
                <c:formatCode>0.00%</c:formatCode>
                <c:ptCount val="21"/>
                <c:pt idx="0">
                  <c:v>0.10512616</c:v>
                </c:pt>
                <c:pt idx="1">
                  <c:v>0.10513966199999999</c:v>
                </c:pt>
                <c:pt idx="2">
                  <c:v>0.10515316399999999</c:v>
                </c:pt>
                <c:pt idx="3">
                  <c:v>0.10516666599999999</c:v>
                </c:pt>
                <c:pt idx="4">
                  <c:v>0.105180168</c:v>
                </c:pt>
                <c:pt idx="5">
                  <c:v>0.10519367</c:v>
                </c:pt>
                <c:pt idx="6">
                  <c:v>0.10520717199999999</c:v>
                </c:pt>
                <c:pt idx="7">
                  <c:v>0.105220674</c:v>
                </c:pt>
                <c:pt idx="8">
                  <c:v>0.10523417600000001</c:v>
                </c:pt>
                <c:pt idx="9">
                  <c:v>0.10524767800000001</c:v>
                </c:pt>
                <c:pt idx="10">
                  <c:v>0.10526118000000001</c:v>
                </c:pt>
                <c:pt idx="11">
                  <c:v>0.10527468200000001</c:v>
                </c:pt>
                <c:pt idx="12">
                  <c:v>0.10528818400000001</c:v>
                </c:pt>
                <c:pt idx="13">
                  <c:v>0.10530168600000001</c:v>
                </c:pt>
                <c:pt idx="14">
                  <c:v>0.105315188</c:v>
                </c:pt>
                <c:pt idx="15">
                  <c:v>0.10532869</c:v>
                </c:pt>
                <c:pt idx="16">
                  <c:v>0.105342192</c:v>
                </c:pt>
                <c:pt idx="17">
                  <c:v>0.10535569400000001</c:v>
                </c:pt>
                <c:pt idx="18">
                  <c:v>0.10536919600000001</c:v>
                </c:pt>
                <c:pt idx="19">
                  <c:v>0.10538269800000001</c:v>
                </c:pt>
                <c:pt idx="20">
                  <c:v>0.10539620000000001</c:v>
                </c:pt>
              </c:numCache>
            </c:numRef>
          </c:yVal>
          <c:smooth val="1"/>
          <c:extLst>
            <c:ext xmlns:c16="http://schemas.microsoft.com/office/drawing/2014/chart" uri="{C3380CC4-5D6E-409C-BE32-E72D297353CC}">
              <c16:uniqueId val="{00000001-17EE-4874-8946-3E6577065F14}"/>
            </c:ext>
          </c:extLst>
        </c:ser>
        <c:dLbls>
          <c:showLegendKey val="0"/>
          <c:showVal val="0"/>
          <c:showCatName val="0"/>
          <c:showSerName val="0"/>
          <c:showPercent val="0"/>
          <c:showBubbleSize val="0"/>
        </c:dLbls>
        <c:axId val="1697196512"/>
        <c:axId val="1697199008"/>
      </c:scatterChart>
      <c:valAx>
        <c:axId val="1697196512"/>
        <c:scaling>
          <c:orientation val="minMax"/>
          <c:max val="0.45"/>
          <c:min val="0.15000000000000002"/>
        </c:scaling>
        <c:delete val="0"/>
        <c:axPos val="b"/>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7199008"/>
        <c:crosses val="autoZero"/>
        <c:crossBetween val="midCat"/>
      </c:valAx>
      <c:valAx>
        <c:axId val="1697199008"/>
        <c:scaling>
          <c:orientation val="minMax"/>
          <c:max val="0.12000000000000001"/>
          <c:min val="4.0000000000000008E-2"/>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7196512"/>
        <c:crosses val="autoZero"/>
        <c:crossBetween val="midCat"/>
      </c:valAx>
      <c:spPr>
        <a:noFill/>
        <a:ln w="25400">
          <a:noFill/>
        </a:ln>
        <a:effectLst/>
      </c:spPr>
    </c:plotArea>
    <c:plotVisOnly val="1"/>
    <c:dispBlanksAs val="gap"/>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CAPM Portfolio Chart 2</a:t>
            </a:r>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6C4B-4D36-BE7A-D5EE7734E3CA}"/>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6C4B-4D36-BE7A-D5EE7734E3CA}"/>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6C4B-4D36-BE7A-D5EE7734E3CA}"/>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6C4B-4D36-BE7A-D5EE7734E3CA}"/>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6C4B-4D36-BE7A-D5EE7734E3CA}"/>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6C4B-4D36-BE7A-D5EE7734E3CA}"/>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6C4B-4D36-BE7A-D5EE7734E3CA}"/>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'CAPM 2ndAdjustment (SML)'!$F$41:$L$41</c:f>
              <c:strCache>
                <c:ptCount val="7"/>
                <c:pt idx="0">
                  <c:v>GP</c:v>
                </c:pt>
                <c:pt idx="1">
                  <c:v>Kohinoor</c:v>
                </c:pt>
                <c:pt idx="2">
                  <c:v>Beximco</c:v>
                </c:pt>
                <c:pt idx="3">
                  <c:v>MPetroleum </c:v>
                </c:pt>
                <c:pt idx="4">
                  <c:v>DBH</c:v>
                </c:pt>
                <c:pt idx="5">
                  <c:v>Marico </c:v>
                </c:pt>
                <c:pt idx="6">
                  <c:v>Olympic</c:v>
                </c:pt>
              </c:strCache>
            </c:strRef>
          </c:cat>
          <c:val>
            <c:numRef>
              <c:f>'CAPM 2ndAdjustment (SML)'!$F$44:$L$44</c:f>
              <c:numCache>
                <c:formatCode>0%</c:formatCode>
                <c:ptCount val="7"/>
                <c:pt idx="0">
                  <c:v>0.19800000000000001</c:v>
                </c:pt>
                <c:pt idx="1">
                  <c:v>0.1265</c:v>
                </c:pt>
                <c:pt idx="2">
                  <c:v>0.11800000000000002</c:v>
                </c:pt>
                <c:pt idx="3">
                  <c:v>0.14200000000000002</c:v>
                </c:pt>
                <c:pt idx="4">
                  <c:v>0.11300000000000002</c:v>
                </c:pt>
                <c:pt idx="5">
                  <c:v>0.16350000000000001</c:v>
                </c:pt>
                <c:pt idx="6">
                  <c:v>0.13900000000000001</c:v>
                </c:pt>
              </c:numCache>
            </c:numRef>
          </c:val>
          <c:extLst>
            <c:ext xmlns:c16="http://schemas.microsoft.com/office/drawing/2014/chart" uri="{C3380CC4-5D6E-409C-BE32-E72D297353CC}">
              <c16:uniqueId val="{00000000-9675-4AE4-A0F7-0C0B4CC518DD}"/>
            </c:ext>
          </c:extLst>
        </c:ser>
        <c:dLbls>
          <c:dLblPos val="ctr"/>
          <c:showLegendKey val="0"/>
          <c:showVal val="0"/>
          <c:showCatName val="0"/>
          <c:showSerName val="0"/>
          <c:showPercent val="1"/>
          <c:showBubbleSize val="0"/>
          <c:showLeaderLines val="1"/>
        </c:dLbls>
      </c:pie3D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CAPM 3rd Adjustment</a:t>
            </a:r>
            <a:r>
              <a:rPr lang="en-GB" baseline="0"/>
              <a:t> CAL LINE</a:t>
            </a:r>
            <a:endParaRPr lang="en-GB"/>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'Capm-3rdAdjusted (using capm)'!$C$13:$C$33</c:f>
              <c:numCache>
                <c:formatCode>0.00%</c:formatCode>
                <c:ptCount val="21"/>
                <c:pt idx="0">
                  <c:v>8.1266174636081046E-2</c:v>
                </c:pt>
                <c:pt idx="1">
                  <c:v>8.1829831473701833E-2</c:v>
                </c:pt>
                <c:pt idx="2">
                  <c:v>8.2408270051668051E-2</c:v>
                </c:pt>
                <c:pt idx="3">
                  <c:v>8.3001181326922316E-2</c:v>
                </c:pt>
                <c:pt idx="4">
                  <c:v>8.360825739891016E-2</c:v>
                </c:pt>
                <c:pt idx="5">
                  <c:v>8.4229191992811911E-2</c:v>
                </c:pt>
                <c:pt idx="6">
                  <c:v>8.4863680907107206E-2</c:v>
                </c:pt>
                <c:pt idx="7">
                  <c:v>8.5511422425933473E-2</c:v>
                </c:pt>
                <c:pt idx="8">
                  <c:v>8.6172117696917183E-2</c:v>
                </c:pt>
                <c:pt idx="9">
                  <c:v>8.6845471075341865E-2</c:v>
                </c:pt>
                <c:pt idx="10">
                  <c:v>8.7531190435675657E-2</c:v>
                </c:pt>
                <c:pt idx="11">
                  <c:v>8.8228987451612409E-2</c:v>
                </c:pt>
                <c:pt idx="12">
                  <c:v>8.893857784588656E-2</c:v>
                </c:pt>
                <c:pt idx="13">
                  <c:v>8.9659681611204994E-2</c:v>
                </c:pt>
                <c:pt idx="14">
                  <c:v>9.0392023203700128E-2</c:v>
                </c:pt>
                <c:pt idx="15">
                  <c:v>9.1135331710350723E-2</c:v>
                </c:pt>
                <c:pt idx="16">
                  <c:v>9.1889340991841054E-2</c:v>
                </c:pt>
                <c:pt idx="17">
                  <c:v>9.2653789802337821E-2</c:v>
                </c:pt>
                <c:pt idx="18">
                  <c:v>9.3428421887659804E-2</c:v>
                </c:pt>
                <c:pt idx="19">
                  <c:v>9.4212986063297463E-2</c:v>
                </c:pt>
                <c:pt idx="20">
                  <c:v>9.5007236273714421E-2</c:v>
                </c:pt>
              </c:numCache>
            </c:numRef>
          </c:xVal>
          <c:yVal>
            <c:numRef>
              <c:f>'Capm-3rdAdjusted (using capm)'!$D$13:$D$33</c:f>
              <c:numCache>
                <c:formatCode>0.00%</c:formatCode>
                <c:ptCount val="21"/>
                <c:pt idx="0">
                  <c:v>0.10459138954749941</c:v>
                </c:pt>
                <c:pt idx="1">
                  <c:v>0.10469445251515853</c:v>
                </c:pt>
                <c:pt idx="2">
                  <c:v>0.10479751548281767</c:v>
                </c:pt>
                <c:pt idx="3">
                  <c:v>0.10490057845047679</c:v>
                </c:pt>
                <c:pt idx="4">
                  <c:v>0.10500364141813594</c:v>
                </c:pt>
                <c:pt idx="5">
                  <c:v>0.10510670438579506</c:v>
                </c:pt>
                <c:pt idx="6">
                  <c:v>0.10520976735345418</c:v>
                </c:pt>
                <c:pt idx="7">
                  <c:v>0.10531283032111331</c:v>
                </c:pt>
                <c:pt idx="8">
                  <c:v>0.10541589328877243</c:v>
                </c:pt>
                <c:pt idx="9">
                  <c:v>0.10551895625643157</c:v>
                </c:pt>
                <c:pt idx="10">
                  <c:v>0.1056220192240907</c:v>
                </c:pt>
                <c:pt idx="11">
                  <c:v>0.10572508219174982</c:v>
                </c:pt>
                <c:pt idx="12">
                  <c:v>0.10582814515940896</c:v>
                </c:pt>
                <c:pt idx="13">
                  <c:v>0.10593120812706808</c:v>
                </c:pt>
                <c:pt idx="14">
                  <c:v>0.10603427109472721</c:v>
                </c:pt>
                <c:pt idx="15">
                  <c:v>0.10613733406238633</c:v>
                </c:pt>
                <c:pt idx="16">
                  <c:v>0.10624039703004547</c:v>
                </c:pt>
                <c:pt idx="17">
                  <c:v>0.10634345999770459</c:v>
                </c:pt>
                <c:pt idx="18">
                  <c:v>0.10644652296536372</c:v>
                </c:pt>
                <c:pt idx="19">
                  <c:v>0.10654958593302286</c:v>
                </c:pt>
                <c:pt idx="20">
                  <c:v>0.10665264890068198</c:v>
                </c:pt>
              </c:numCache>
            </c:numRef>
          </c:yVal>
          <c:smooth val="1"/>
          <c:extLst>
            <c:ext xmlns:c16="http://schemas.microsoft.com/office/drawing/2014/chart" uri="{C3380CC4-5D6E-409C-BE32-E72D297353CC}">
              <c16:uniqueId val="{00000000-2EC1-48B6-8BD9-1B9C4DEB577F}"/>
            </c:ext>
          </c:extLst>
        </c:ser>
        <c:ser>
          <c:idx val="1"/>
          <c:order val="1"/>
          <c:tx>
            <c:v>cal</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Lit>
              <c:formatCode>General</c:formatCode>
              <c:ptCount val="1"/>
              <c:pt idx="0">
                <c:v>0</c:v>
              </c:pt>
            </c:numLit>
          </c:xVal>
          <c:yVal>
            <c:numLit>
              <c:formatCode>General</c:formatCode>
              <c:ptCount val="1"/>
              <c:pt idx="0">
                <c:v>0.08</c:v>
              </c:pt>
            </c:numLit>
          </c:yVal>
          <c:smooth val="1"/>
          <c:extLst>
            <c:ext xmlns:c16="http://schemas.microsoft.com/office/drawing/2014/chart" uri="{C3380CC4-5D6E-409C-BE32-E72D297353CC}">
              <c16:uniqueId val="{00000000-557B-4238-818E-E072E8F27DE4}"/>
            </c:ext>
          </c:extLst>
        </c:ser>
        <c:dLbls>
          <c:showLegendKey val="0"/>
          <c:showVal val="0"/>
          <c:showCatName val="0"/>
          <c:showSerName val="0"/>
          <c:showPercent val="0"/>
          <c:showBubbleSize val="0"/>
        </c:dLbls>
        <c:axId val="1700754288"/>
        <c:axId val="1700750128"/>
      </c:scatterChart>
      <c:valAx>
        <c:axId val="1700754288"/>
        <c:scaling>
          <c:orientation val="minMax"/>
          <c:min val="8.0000000000000016E-2"/>
        </c:scaling>
        <c:delete val="0"/>
        <c:axPos val="b"/>
        <c:majorGridlines>
          <c:spPr>
            <a:ln w="9525" cap="flat" cmpd="sng" algn="ctr">
              <a:solidFill>
                <a:schemeClr val="tx1">
                  <a:lumMod val="15000"/>
                  <a:lumOff val="85000"/>
                </a:schemeClr>
              </a:solidFill>
              <a:round/>
            </a:ln>
            <a:effectLst/>
          </c:spPr>
        </c:majorGridlines>
        <c:numFmt formatCode="0.0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0750128"/>
        <c:crosses val="autoZero"/>
        <c:crossBetween val="midCat"/>
      </c:valAx>
      <c:valAx>
        <c:axId val="1700750128"/>
        <c:scaling>
          <c:orientation val="minMax"/>
          <c:min val="0.10400000000000001"/>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075428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CAPM adjusted</a:t>
            </a:r>
            <a:r>
              <a:rPr lang="en-US" baseline="0"/>
              <a:t> Portfolio</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
          <c:y val="0.15324074074074076"/>
          <c:w val="0.92746455654467519"/>
          <c:h val="0.61343030037911928"/>
        </c:manualLayout>
      </c:layout>
      <c:pie3DChart>
        <c:varyColors val="1"/>
        <c:ser>
          <c:idx val="0"/>
          <c:order val="0"/>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9F77-4872-A380-C239D6A215E7}"/>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9F77-4872-A380-C239D6A215E7}"/>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9F77-4872-A380-C239D6A215E7}"/>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9F77-4872-A380-C239D6A215E7}"/>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9F77-4872-A380-C239D6A215E7}"/>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9F77-4872-A380-C239D6A215E7}"/>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9F77-4872-A380-C239D6A215E7}"/>
              </c:ext>
            </c:extLst>
          </c:dPt>
          <c:cat>
            <c:strRef>
              <c:f>'Capm-3rdAdjusted (using capm)'!$F$41:$L$41</c:f>
              <c:strCache>
                <c:ptCount val="7"/>
                <c:pt idx="0">
                  <c:v>GP</c:v>
                </c:pt>
                <c:pt idx="1">
                  <c:v>Kohinoor</c:v>
                </c:pt>
                <c:pt idx="2">
                  <c:v>Beximco</c:v>
                </c:pt>
                <c:pt idx="3">
                  <c:v>MPetroleum </c:v>
                </c:pt>
                <c:pt idx="4">
                  <c:v>DBH</c:v>
                </c:pt>
                <c:pt idx="5">
                  <c:v>Marico </c:v>
                </c:pt>
                <c:pt idx="6">
                  <c:v>Olympic</c:v>
                </c:pt>
              </c:strCache>
            </c:strRef>
          </c:cat>
          <c:val>
            <c:numRef>
              <c:f>'Capm-3rdAdjusted (using capm)'!$F$44:$L$44</c:f>
              <c:numCache>
                <c:formatCode>0%</c:formatCode>
                <c:ptCount val="7"/>
                <c:pt idx="0">
                  <c:v>0.193</c:v>
                </c:pt>
                <c:pt idx="1">
                  <c:v>0.14649999999999999</c:v>
                </c:pt>
                <c:pt idx="2">
                  <c:v>0.10250000000000001</c:v>
                </c:pt>
                <c:pt idx="3">
                  <c:v>0.158</c:v>
                </c:pt>
                <c:pt idx="4">
                  <c:v>0.13800000000000001</c:v>
                </c:pt>
                <c:pt idx="5">
                  <c:v>0.15</c:v>
                </c:pt>
                <c:pt idx="6">
                  <c:v>0.11199999999999999</c:v>
                </c:pt>
              </c:numCache>
            </c:numRef>
          </c:val>
          <c:extLst>
            <c:ext xmlns:c16="http://schemas.microsoft.com/office/drawing/2014/chart" uri="{C3380CC4-5D6E-409C-BE32-E72D297353CC}">
              <c16:uniqueId val="{00000000-CF4D-4AD8-A95F-6648A62D4F57}"/>
            </c:ext>
          </c:extLst>
        </c:ser>
        <c:dLbls>
          <c:showLegendKey val="0"/>
          <c:showVal val="0"/>
          <c:showCatName val="0"/>
          <c:showSerName val="0"/>
          <c:showPercent val="0"/>
          <c:showBubbleSize val="0"/>
          <c:showLeaderLines val="1"/>
        </c:dLbls>
      </c:pie3D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Benchmark Proportions Portfolio</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7.911447777888523E-3"/>
          <c:y val="0.20087813765547347"/>
          <c:w val="0.93888888888888888"/>
          <c:h val="0.66967811315252257"/>
        </c:manualLayout>
      </c:layout>
      <c:pie3D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1E88-4B0A-8F3B-45AD30662FB2}"/>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1E88-4B0A-8F3B-45AD30662FB2}"/>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1E88-4B0A-8F3B-45AD30662FB2}"/>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1E88-4B0A-8F3B-45AD30662FB2}"/>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1E88-4B0A-8F3B-45AD30662FB2}"/>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1E88-4B0A-8F3B-45AD30662FB2}"/>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D-1E88-4B0A-8F3B-45AD30662FB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15:layout/>
              </c:ext>
            </c:extLst>
          </c:dLbls>
          <c:cat>
            <c:strRef>
              <c:f>'BLM PIE'!$C$5:$I$5</c:f>
              <c:strCache>
                <c:ptCount val="7"/>
                <c:pt idx="0">
                  <c:v>GP</c:v>
                </c:pt>
                <c:pt idx="1">
                  <c:v>Kohinoor</c:v>
                </c:pt>
                <c:pt idx="2">
                  <c:v>Beximco</c:v>
                </c:pt>
                <c:pt idx="3">
                  <c:v>MPetroleum </c:v>
                </c:pt>
                <c:pt idx="4">
                  <c:v>DBH</c:v>
                </c:pt>
                <c:pt idx="5">
                  <c:v>Marico </c:v>
                </c:pt>
                <c:pt idx="6">
                  <c:v>Olympic</c:v>
                </c:pt>
              </c:strCache>
            </c:strRef>
          </c:cat>
          <c:val>
            <c:numRef>
              <c:f>'BLM PIE'!$C$6:$I$6</c:f>
              <c:numCache>
                <c:formatCode>0%</c:formatCode>
                <c:ptCount val="7"/>
                <c:pt idx="0" formatCode="0.00%">
                  <c:v>0.59474952212224208</c:v>
                </c:pt>
                <c:pt idx="1">
                  <c:v>2.3117865996716142E-2</c:v>
                </c:pt>
                <c:pt idx="2">
                  <c:v>0.16728538121433209</c:v>
                </c:pt>
                <c:pt idx="3" formatCode="0.00%">
                  <c:v>3.3538044829266395E-2</c:v>
                </c:pt>
                <c:pt idx="4">
                  <c:v>1.7518375762477993E-2</c:v>
                </c:pt>
                <c:pt idx="5" formatCode="0.00%">
                  <c:v>0.11945147104573056</c:v>
                </c:pt>
                <c:pt idx="6" formatCode="0.00%">
                  <c:v>4.433933902923478E-2</c:v>
                </c:pt>
              </c:numCache>
            </c:numRef>
          </c:val>
          <c:extLst>
            <c:ext xmlns:c16="http://schemas.microsoft.com/office/drawing/2014/chart" uri="{C3380CC4-5D6E-409C-BE32-E72D297353CC}">
              <c16:uniqueId val="{00000000-FAB2-4114-B104-77F2A0A173FB}"/>
            </c:ext>
          </c:extLst>
        </c:ser>
        <c:dLbls>
          <c:dLblPos val="ctr"/>
          <c:showLegendKey val="0"/>
          <c:showVal val="0"/>
          <c:showCatName val="0"/>
          <c:showSerName val="0"/>
          <c:showPercent val="1"/>
          <c:showBubbleSize val="0"/>
          <c:showLeaderLines val="1"/>
        </c:dLbls>
      </c:pie3D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Market Portfolio</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8D67-4550-AE9C-01E23DBD4851}"/>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8D67-4550-AE9C-01E23DBD4851}"/>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8D67-4550-AE9C-01E23DBD4851}"/>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8D67-4550-AE9C-01E23DBD4851}"/>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8D67-4550-AE9C-01E23DBD4851}"/>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8D67-4550-AE9C-01E23DBD4851}"/>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D-8D67-4550-AE9C-01E23DBD485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15:layout/>
              </c:ext>
            </c:extLst>
          </c:dLbls>
          <c:cat>
            <c:strRef>
              <c:f>'BLM PIE'!$C$10:$I$10</c:f>
              <c:strCache>
                <c:ptCount val="7"/>
                <c:pt idx="0">
                  <c:v>GP</c:v>
                </c:pt>
                <c:pt idx="1">
                  <c:v>Kohinoor</c:v>
                </c:pt>
                <c:pt idx="2">
                  <c:v>Beximco</c:v>
                </c:pt>
                <c:pt idx="3">
                  <c:v>MPetroleum </c:v>
                </c:pt>
                <c:pt idx="4">
                  <c:v>DBH</c:v>
                </c:pt>
                <c:pt idx="5">
                  <c:v>Marico </c:v>
                </c:pt>
                <c:pt idx="6">
                  <c:v>Olympic</c:v>
                </c:pt>
              </c:strCache>
            </c:strRef>
          </c:cat>
          <c:val>
            <c:numRef>
              <c:f>'BLM PIE'!$C$11:$I$11</c:f>
              <c:numCache>
                <c:formatCode>0%</c:formatCode>
                <c:ptCount val="7"/>
                <c:pt idx="0" formatCode="0.00%">
                  <c:v>0.25</c:v>
                </c:pt>
                <c:pt idx="1">
                  <c:v>0.1</c:v>
                </c:pt>
                <c:pt idx="2">
                  <c:v>0.15</c:v>
                </c:pt>
                <c:pt idx="3" formatCode="0.00%">
                  <c:v>0.12</c:v>
                </c:pt>
                <c:pt idx="4">
                  <c:v>0.08</c:v>
                </c:pt>
                <c:pt idx="5" formatCode="0.00%">
                  <c:v>0.16</c:v>
                </c:pt>
                <c:pt idx="6" formatCode="0.00%">
                  <c:v>0.14000000000000001</c:v>
                </c:pt>
              </c:numCache>
            </c:numRef>
          </c:val>
          <c:extLst>
            <c:ext xmlns:c16="http://schemas.microsoft.com/office/drawing/2014/chart" uri="{C3380CC4-5D6E-409C-BE32-E72D297353CC}">
              <c16:uniqueId val="{00000000-0CC0-4854-8064-64BFCE7A9198}"/>
            </c:ext>
          </c:extLst>
        </c:ser>
        <c:dLbls>
          <c:dLblPos val="outEnd"/>
          <c:showLegendKey val="0"/>
          <c:showVal val="1"/>
          <c:showCatName val="0"/>
          <c:showSerName val="0"/>
          <c:showPercent val="0"/>
          <c:showBubbleSize val="0"/>
          <c:showLeaderLines val="1"/>
        </c:dLbls>
      </c:pie3D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Opinion adjusted Portfolio</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1.1111111111111112E-2"/>
          <c:y val="0.18240740740740738"/>
          <c:w val="0.93888888888888888"/>
          <c:h val="0.66967811315252257"/>
        </c:manualLayout>
      </c:layout>
      <c:pie3D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21C0-48EE-B35B-ADDD3A149993}"/>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21C0-48EE-B35B-ADDD3A149993}"/>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21C0-48EE-B35B-ADDD3A149993}"/>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21C0-48EE-B35B-ADDD3A149993}"/>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21C0-48EE-B35B-ADDD3A149993}"/>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21C0-48EE-B35B-ADDD3A149993}"/>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3666-44AE-B485-ED5F578CCFF9}"/>
              </c:ext>
            </c:extLst>
          </c:dPt>
          <c:dLbls>
            <c:dLbl>
              <c:idx val="6"/>
              <c:layout>
                <c:manualLayout>
                  <c:x val="-0.13333333333333333"/>
                  <c:y val="4.1666666666666664E-2"/>
                </c:manualLayout>
              </c:layout>
              <c:dLblPos val="bestFit"/>
              <c:showLegendKey val="0"/>
              <c:showVal val="0"/>
              <c:showCatName val="1"/>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1-3666-44AE-B485-ED5F578CCFF9}"/>
                </c:ext>
              </c:extLst>
            </c:dLbl>
            <c:spPr>
              <a:solidFill>
                <a:srgbClr val="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layout/>
              </c:ext>
            </c:extLst>
          </c:dLbls>
          <c:cat>
            <c:strRef>
              <c:f>'BLM PIE'!$C$15:$I$15</c:f>
              <c:strCache>
                <c:ptCount val="7"/>
                <c:pt idx="0">
                  <c:v>GP</c:v>
                </c:pt>
                <c:pt idx="1">
                  <c:v>Kohinoor</c:v>
                </c:pt>
                <c:pt idx="2">
                  <c:v>Beximco</c:v>
                </c:pt>
                <c:pt idx="3">
                  <c:v>MPetroleum </c:v>
                </c:pt>
                <c:pt idx="4">
                  <c:v>DBH</c:v>
                </c:pt>
                <c:pt idx="5">
                  <c:v>Marico </c:v>
                </c:pt>
                <c:pt idx="6">
                  <c:v>Olympic</c:v>
                </c:pt>
              </c:strCache>
            </c:strRef>
          </c:cat>
          <c:val>
            <c:numRef>
              <c:f>'BLM PIE'!$C$16:$I$16</c:f>
              <c:numCache>
                <c:formatCode>0%</c:formatCode>
                <c:ptCount val="7"/>
                <c:pt idx="0" formatCode="0.00%">
                  <c:v>0.24543348647054478</c:v>
                </c:pt>
                <c:pt idx="1">
                  <c:v>9.8173394588217958E-2</c:v>
                </c:pt>
                <c:pt idx="2">
                  <c:v>0.1655261460001482</c:v>
                </c:pt>
                <c:pt idx="3" formatCode="0.00%">
                  <c:v>0.11780807350586137</c:v>
                </c:pt>
                <c:pt idx="4">
                  <c:v>7.8538715670574188E-2</c:v>
                </c:pt>
                <c:pt idx="5" formatCode="0.00%">
                  <c:v>0.15707743134114863</c:v>
                </c:pt>
                <c:pt idx="6" formatCode="0.00%">
                  <c:v>0.13744275242350487</c:v>
                </c:pt>
              </c:numCache>
            </c:numRef>
          </c:val>
          <c:extLst>
            <c:ext xmlns:c16="http://schemas.microsoft.com/office/drawing/2014/chart" uri="{C3380CC4-5D6E-409C-BE32-E72D297353CC}">
              <c16:uniqueId val="{00000000-3666-44AE-B485-ED5F578CCFF9}"/>
            </c:ext>
          </c:extLst>
        </c:ser>
        <c:dLbls>
          <c:showLegendKey val="0"/>
          <c:showVal val="0"/>
          <c:showCatName val="0"/>
          <c:showSerName val="0"/>
          <c:showPercent val="0"/>
          <c:showBubbleSize val="0"/>
          <c:showLeaderLines val="0"/>
        </c:dLbls>
      </c:pie3D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0.xml"/></Relationships>
</file>

<file path=xl/chartsheets/sheet1.xml><?xml version="1.0" encoding="utf-8"?>
<chartsheet xmlns="http://schemas.openxmlformats.org/spreadsheetml/2006/main" xmlns:r="http://schemas.openxmlformats.org/officeDocument/2006/relationships">
  <sheetPr/>
  <sheetViews>
    <sheetView zoomScale="122"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hyperlink" Target="#'Capm-Adjusted (CML)'!A1"/><Relationship Id="rId13" Type="http://schemas.openxmlformats.org/officeDocument/2006/relationships/hyperlink" Target="#'CAPM 2ndAdjustment (SML)'!A1"/><Relationship Id="rId3" Type="http://schemas.openxmlformats.org/officeDocument/2006/relationships/hyperlink" Target="#'Continuos Return'!A1"/><Relationship Id="rId7" Type="http://schemas.openxmlformats.org/officeDocument/2006/relationships/hyperlink" Target="#'Markowitz Model'!A1"/><Relationship Id="rId12" Type="http://schemas.openxmlformats.org/officeDocument/2006/relationships/hyperlink" Target="#'Final Portfolio'!A1"/><Relationship Id="rId2" Type="http://schemas.openxmlformats.org/officeDocument/2006/relationships/hyperlink" Target="#'Price Data'!A1"/><Relationship Id="rId1" Type="http://schemas.openxmlformats.org/officeDocument/2006/relationships/hyperlink" Target="#Sheet3!A1"/><Relationship Id="rId6" Type="http://schemas.openxmlformats.org/officeDocument/2006/relationships/hyperlink" Target="#'Variance-Covariance Matrix '!A1"/><Relationship Id="rId11" Type="http://schemas.openxmlformats.org/officeDocument/2006/relationships/hyperlink" Target="#'BLM PIE'!A1"/><Relationship Id="rId5" Type="http://schemas.openxmlformats.org/officeDocument/2006/relationships/hyperlink" Target="#'Weighted Stats &amp; Excess Returns'!A1"/><Relationship Id="rId10" Type="http://schemas.openxmlformats.org/officeDocument/2006/relationships/hyperlink" Target="#BLM!A1"/><Relationship Id="rId4" Type="http://schemas.openxmlformats.org/officeDocument/2006/relationships/hyperlink" Target="#'Inferential Statistics'!A1"/><Relationship Id="rId9" Type="http://schemas.openxmlformats.org/officeDocument/2006/relationships/hyperlink" Target="#'Capm-3rdAdjusted (using capm)'!A1"/></Relationships>
</file>

<file path=xl/drawings/_rels/drawing3.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_rels/drawing8.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9.xml.rels><?xml version="1.0" encoding="UTF-8" standalone="yes"?>
<Relationships xmlns="http://schemas.openxmlformats.org/package/2006/relationships"><Relationship Id="rId1" Type="http://schemas.openxmlformats.org/officeDocument/2006/relationships/chart" Target="../charts/chart3.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4.xml"/></Relationships>
</file>

<file path=xl/drawings/_rels/drawing12.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13.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16.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8</xdr:col>
      <xdr:colOff>317501</xdr:colOff>
      <xdr:row>2</xdr:row>
      <xdr:rowOff>158750</xdr:rowOff>
    </xdr:from>
    <xdr:to>
      <xdr:col>10</xdr:col>
      <xdr:colOff>444500</xdr:colOff>
      <xdr:row>11</xdr:row>
      <xdr:rowOff>83608</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137276" y="158750"/>
          <a:ext cx="1346199" cy="138218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7</xdr:col>
      <xdr:colOff>104775</xdr:colOff>
      <xdr:row>6</xdr:row>
      <xdr:rowOff>76200</xdr:rowOff>
    </xdr:from>
    <xdr:to>
      <xdr:col>11</xdr:col>
      <xdr:colOff>504825</xdr:colOff>
      <xdr:row>8</xdr:row>
      <xdr:rowOff>76200</xdr:rowOff>
    </xdr:to>
    <xdr:sp macro="" textlink="">
      <xdr:nvSpPr>
        <xdr:cNvPr id="2" name="Rectangle: Rounded Corners 1">
          <a:extLst>
            <a:ext uri="{FF2B5EF4-FFF2-40B4-BE49-F238E27FC236}">
              <a16:creationId xmlns:a16="http://schemas.microsoft.com/office/drawing/2014/main" id="{00000000-0008-0000-0100-000002000000}"/>
            </a:ext>
          </a:extLst>
        </xdr:cNvPr>
        <xdr:cNvSpPr/>
      </xdr:nvSpPr>
      <xdr:spPr>
        <a:xfrm>
          <a:off x="5200650" y="409575"/>
          <a:ext cx="2838450" cy="323850"/>
        </a:xfrm>
        <a:prstGeom prst="roundRect">
          <a:avLst/>
        </a:prstGeom>
        <a:solidFill>
          <a:srgbClr val="000048"/>
        </a:solidFill>
        <a:ln>
          <a:solidFill>
            <a:schemeClr val="accent1">
              <a:lumMod val="40000"/>
              <a:lumOff val="60000"/>
            </a:schemeClr>
          </a:solid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chemeClr val="accent6">
                  <a:lumMod val="20000"/>
                  <a:lumOff val="80000"/>
                </a:schemeClr>
              </a:solidFill>
              <a:latin typeface="Maiandra GD" panose="020E0502030308020204" pitchFamily="34" charset="0"/>
            </a:rPr>
            <a:t>Table of Contents</a:t>
          </a:r>
        </a:p>
      </xdr:txBody>
    </xdr:sp>
    <xdr:clientData/>
  </xdr:twoCellAnchor>
  <xdr:twoCellAnchor>
    <xdr:from>
      <xdr:col>4</xdr:col>
      <xdr:colOff>581025</xdr:colOff>
      <xdr:row>9</xdr:row>
      <xdr:rowOff>9525</xdr:rowOff>
    </xdr:from>
    <xdr:to>
      <xdr:col>8</xdr:col>
      <xdr:colOff>104775</xdr:colOff>
      <xdr:row>10</xdr:row>
      <xdr:rowOff>133350</xdr:rowOff>
    </xdr:to>
    <xdr:sp macro="" textlink="">
      <xdr:nvSpPr>
        <xdr:cNvPr id="3" name="Rectangle: Rounded Corners 3">
          <a:hlinkClick xmlns:r="http://schemas.openxmlformats.org/officeDocument/2006/relationships" r:id="rId1"/>
          <a:extLst>
            <a:ext uri="{FF2B5EF4-FFF2-40B4-BE49-F238E27FC236}">
              <a16:creationId xmlns:a16="http://schemas.microsoft.com/office/drawing/2014/main" id="{00000000-0008-0000-0100-000003000000}"/>
            </a:ext>
          </a:extLst>
        </xdr:cNvPr>
        <xdr:cNvSpPr/>
      </xdr:nvSpPr>
      <xdr:spPr>
        <a:xfrm>
          <a:off x="3019425" y="1476375"/>
          <a:ext cx="1962150" cy="285750"/>
        </a:xfrm>
        <a:prstGeom prst="roundRect">
          <a:avLst/>
        </a:prstGeom>
        <a:solidFill>
          <a:srgbClr val="000048"/>
        </a:solidFill>
        <a:ln>
          <a:solidFill>
            <a:schemeClr val="accent1">
              <a:lumMod val="40000"/>
              <a:lumOff val="60000"/>
            </a:schemeClr>
          </a:solid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1">
              <a:solidFill>
                <a:schemeClr val="accent6">
                  <a:lumMod val="20000"/>
                  <a:lumOff val="80000"/>
                </a:schemeClr>
              </a:solidFill>
              <a:latin typeface="Maiandra GD" panose="020E0502030308020204" pitchFamily="34" charset="0"/>
            </a:rPr>
            <a:t>Company Overview</a:t>
          </a:r>
        </a:p>
      </xdr:txBody>
    </xdr:sp>
    <xdr:clientData/>
  </xdr:twoCellAnchor>
  <xdr:twoCellAnchor>
    <xdr:from>
      <xdr:col>4</xdr:col>
      <xdr:colOff>590550</xdr:colOff>
      <xdr:row>11</xdr:row>
      <xdr:rowOff>66675</xdr:rowOff>
    </xdr:from>
    <xdr:to>
      <xdr:col>8</xdr:col>
      <xdr:colOff>114300</xdr:colOff>
      <xdr:row>13</xdr:row>
      <xdr:rowOff>28575</xdr:rowOff>
    </xdr:to>
    <xdr:sp macro="" textlink="">
      <xdr:nvSpPr>
        <xdr:cNvPr id="4" name="Rectangle: Rounded Corners 5">
          <a:hlinkClick xmlns:r="http://schemas.openxmlformats.org/officeDocument/2006/relationships" r:id="rId2"/>
          <a:extLst>
            <a:ext uri="{FF2B5EF4-FFF2-40B4-BE49-F238E27FC236}">
              <a16:creationId xmlns:a16="http://schemas.microsoft.com/office/drawing/2014/main" id="{00000000-0008-0000-0100-000004000000}"/>
            </a:ext>
          </a:extLst>
        </xdr:cNvPr>
        <xdr:cNvSpPr/>
      </xdr:nvSpPr>
      <xdr:spPr>
        <a:xfrm>
          <a:off x="3028950" y="1857375"/>
          <a:ext cx="1962150" cy="285750"/>
        </a:xfrm>
        <a:prstGeom prst="roundRect">
          <a:avLst/>
        </a:prstGeom>
        <a:solidFill>
          <a:srgbClr val="000048"/>
        </a:solidFill>
        <a:ln>
          <a:solidFill>
            <a:schemeClr val="accent1">
              <a:lumMod val="40000"/>
              <a:lumOff val="60000"/>
            </a:schemeClr>
          </a:solid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1">
              <a:solidFill>
                <a:schemeClr val="accent6">
                  <a:lumMod val="20000"/>
                  <a:lumOff val="80000"/>
                </a:schemeClr>
              </a:solidFill>
              <a:latin typeface="Maiandra GD" panose="020E0502030308020204" pitchFamily="34" charset="0"/>
            </a:rPr>
            <a:t>Price Data</a:t>
          </a:r>
        </a:p>
      </xdr:txBody>
    </xdr:sp>
    <xdr:clientData/>
  </xdr:twoCellAnchor>
  <xdr:twoCellAnchor>
    <xdr:from>
      <xdr:col>4</xdr:col>
      <xdr:colOff>581025</xdr:colOff>
      <xdr:row>13</xdr:row>
      <xdr:rowOff>133350</xdr:rowOff>
    </xdr:from>
    <xdr:to>
      <xdr:col>8</xdr:col>
      <xdr:colOff>104775</xdr:colOff>
      <xdr:row>15</xdr:row>
      <xdr:rowOff>95250</xdr:rowOff>
    </xdr:to>
    <xdr:sp macro="" textlink="">
      <xdr:nvSpPr>
        <xdr:cNvPr id="5" name="Rectangle: Rounded Corners 7">
          <a:hlinkClick xmlns:r="http://schemas.openxmlformats.org/officeDocument/2006/relationships" r:id="rId3"/>
          <a:extLst>
            <a:ext uri="{FF2B5EF4-FFF2-40B4-BE49-F238E27FC236}">
              <a16:creationId xmlns:a16="http://schemas.microsoft.com/office/drawing/2014/main" id="{00000000-0008-0000-0100-000005000000}"/>
            </a:ext>
          </a:extLst>
        </xdr:cNvPr>
        <xdr:cNvSpPr/>
      </xdr:nvSpPr>
      <xdr:spPr>
        <a:xfrm>
          <a:off x="3019425" y="2247900"/>
          <a:ext cx="1962150" cy="285750"/>
        </a:xfrm>
        <a:prstGeom prst="roundRect">
          <a:avLst/>
        </a:prstGeom>
        <a:solidFill>
          <a:srgbClr val="000048"/>
        </a:solidFill>
        <a:ln>
          <a:solidFill>
            <a:schemeClr val="accent1">
              <a:lumMod val="40000"/>
              <a:lumOff val="60000"/>
            </a:schemeClr>
          </a:solid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1">
              <a:solidFill>
                <a:schemeClr val="accent6">
                  <a:lumMod val="20000"/>
                  <a:lumOff val="80000"/>
                </a:schemeClr>
              </a:solidFill>
              <a:latin typeface="Maiandra GD" panose="020E0502030308020204" pitchFamily="34" charset="0"/>
            </a:rPr>
            <a:t>Continuous Returns</a:t>
          </a:r>
        </a:p>
      </xdr:txBody>
    </xdr:sp>
    <xdr:clientData/>
  </xdr:twoCellAnchor>
  <xdr:twoCellAnchor>
    <xdr:from>
      <xdr:col>4</xdr:col>
      <xdr:colOff>590550</xdr:colOff>
      <xdr:row>16</xdr:row>
      <xdr:rowOff>57150</xdr:rowOff>
    </xdr:from>
    <xdr:to>
      <xdr:col>8</xdr:col>
      <xdr:colOff>114300</xdr:colOff>
      <xdr:row>18</xdr:row>
      <xdr:rowOff>19050</xdr:rowOff>
    </xdr:to>
    <xdr:sp macro="" textlink="">
      <xdr:nvSpPr>
        <xdr:cNvPr id="6" name="Rectangle: Rounded Corners 9">
          <a:hlinkClick xmlns:r="http://schemas.openxmlformats.org/officeDocument/2006/relationships" r:id="rId4"/>
          <a:extLst>
            <a:ext uri="{FF2B5EF4-FFF2-40B4-BE49-F238E27FC236}">
              <a16:creationId xmlns:a16="http://schemas.microsoft.com/office/drawing/2014/main" id="{00000000-0008-0000-0100-000006000000}"/>
            </a:ext>
          </a:extLst>
        </xdr:cNvPr>
        <xdr:cNvSpPr/>
      </xdr:nvSpPr>
      <xdr:spPr>
        <a:xfrm>
          <a:off x="3028950" y="2657475"/>
          <a:ext cx="1962150" cy="285750"/>
        </a:xfrm>
        <a:prstGeom prst="roundRect">
          <a:avLst/>
        </a:prstGeom>
        <a:solidFill>
          <a:srgbClr val="000048"/>
        </a:solidFill>
        <a:ln>
          <a:solidFill>
            <a:schemeClr val="accent1">
              <a:lumMod val="40000"/>
              <a:lumOff val="60000"/>
            </a:schemeClr>
          </a:solid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1">
              <a:solidFill>
                <a:schemeClr val="accent6">
                  <a:lumMod val="20000"/>
                  <a:lumOff val="80000"/>
                </a:schemeClr>
              </a:solidFill>
              <a:latin typeface="Maiandra GD" panose="020E0502030308020204" pitchFamily="34" charset="0"/>
            </a:rPr>
            <a:t>Inferential Statistics</a:t>
          </a:r>
        </a:p>
      </xdr:txBody>
    </xdr:sp>
    <xdr:clientData/>
  </xdr:twoCellAnchor>
  <xdr:twoCellAnchor>
    <xdr:from>
      <xdr:col>4</xdr:col>
      <xdr:colOff>571500</xdr:colOff>
      <xdr:row>18</xdr:row>
      <xdr:rowOff>123825</xdr:rowOff>
    </xdr:from>
    <xdr:to>
      <xdr:col>8</xdr:col>
      <xdr:colOff>95250</xdr:colOff>
      <xdr:row>21</xdr:row>
      <xdr:rowOff>114300</xdr:rowOff>
    </xdr:to>
    <xdr:sp macro="" textlink="">
      <xdr:nvSpPr>
        <xdr:cNvPr id="7" name="Rectangle: Rounded Corners 11">
          <a:hlinkClick xmlns:r="http://schemas.openxmlformats.org/officeDocument/2006/relationships" r:id="rId5"/>
          <a:extLst>
            <a:ext uri="{FF2B5EF4-FFF2-40B4-BE49-F238E27FC236}">
              <a16:creationId xmlns:a16="http://schemas.microsoft.com/office/drawing/2014/main" id="{00000000-0008-0000-0100-000007000000}"/>
            </a:ext>
          </a:extLst>
        </xdr:cNvPr>
        <xdr:cNvSpPr/>
      </xdr:nvSpPr>
      <xdr:spPr>
        <a:xfrm>
          <a:off x="3009900" y="3048000"/>
          <a:ext cx="1962150" cy="476250"/>
        </a:xfrm>
        <a:prstGeom prst="roundRect">
          <a:avLst/>
        </a:prstGeom>
        <a:solidFill>
          <a:srgbClr val="000048"/>
        </a:solidFill>
        <a:ln>
          <a:solidFill>
            <a:schemeClr val="accent1">
              <a:lumMod val="40000"/>
              <a:lumOff val="60000"/>
            </a:schemeClr>
          </a:solid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1">
              <a:solidFill>
                <a:schemeClr val="accent6">
                  <a:lumMod val="20000"/>
                  <a:lumOff val="80000"/>
                </a:schemeClr>
              </a:solidFill>
              <a:latin typeface="Maiandra GD" panose="020E0502030308020204" pitchFamily="34" charset="0"/>
            </a:rPr>
            <a:t>Weighted Statistics &amp; Excess</a:t>
          </a:r>
          <a:r>
            <a:rPr lang="en-US" sz="1050" b="1" baseline="0">
              <a:solidFill>
                <a:schemeClr val="accent6">
                  <a:lumMod val="20000"/>
                  <a:lumOff val="80000"/>
                </a:schemeClr>
              </a:solidFill>
              <a:latin typeface="Maiandra GD" panose="020E0502030308020204" pitchFamily="34" charset="0"/>
            </a:rPr>
            <a:t> </a:t>
          </a:r>
          <a:r>
            <a:rPr lang="en-US" sz="1050" b="1">
              <a:solidFill>
                <a:schemeClr val="accent6">
                  <a:lumMod val="20000"/>
                  <a:lumOff val="80000"/>
                </a:schemeClr>
              </a:solidFill>
              <a:latin typeface="Maiandra GD" panose="020E0502030308020204" pitchFamily="34" charset="0"/>
            </a:rPr>
            <a:t>Returns</a:t>
          </a:r>
        </a:p>
      </xdr:txBody>
    </xdr:sp>
    <xdr:clientData/>
  </xdr:twoCellAnchor>
  <xdr:twoCellAnchor>
    <xdr:from>
      <xdr:col>4</xdr:col>
      <xdr:colOff>561975</xdr:colOff>
      <xdr:row>22</xdr:row>
      <xdr:rowOff>57150</xdr:rowOff>
    </xdr:from>
    <xdr:to>
      <xdr:col>8</xdr:col>
      <xdr:colOff>85725</xdr:colOff>
      <xdr:row>24</xdr:row>
      <xdr:rowOff>19050</xdr:rowOff>
    </xdr:to>
    <xdr:sp macro="" textlink="">
      <xdr:nvSpPr>
        <xdr:cNvPr id="8" name="Rectangle: Rounded Corners 13">
          <a:hlinkClick xmlns:r="http://schemas.openxmlformats.org/officeDocument/2006/relationships" r:id="rId6"/>
          <a:extLst>
            <a:ext uri="{FF2B5EF4-FFF2-40B4-BE49-F238E27FC236}">
              <a16:creationId xmlns:a16="http://schemas.microsoft.com/office/drawing/2014/main" id="{00000000-0008-0000-0100-000008000000}"/>
            </a:ext>
          </a:extLst>
        </xdr:cNvPr>
        <xdr:cNvSpPr/>
      </xdr:nvSpPr>
      <xdr:spPr>
        <a:xfrm>
          <a:off x="3000375" y="3629025"/>
          <a:ext cx="1962150" cy="285750"/>
        </a:xfrm>
        <a:prstGeom prst="roundRect">
          <a:avLst/>
        </a:prstGeom>
        <a:solidFill>
          <a:srgbClr val="000048"/>
        </a:solidFill>
        <a:ln>
          <a:solidFill>
            <a:schemeClr val="accent1">
              <a:lumMod val="40000"/>
              <a:lumOff val="60000"/>
            </a:schemeClr>
          </a:solid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1">
              <a:solidFill>
                <a:schemeClr val="accent6">
                  <a:lumMod val="20000"/>
                  <a:lumOff val="80000"/>
                </a:schemeClr>
              </a:solidFill>
              <a:latin typeface="Maiandra GD" panose="020E0502030308020204" pitchFamily="34" charset="0"/>
            </a:rPr>
            <a:t>Variance-Covariance Matrix</a:t>
          </a:r>
        </a:p>
      </xdr:txBody>
    </xdr:sp>
    <xdr:clientData/>
  </xdr:twoCellAnchor>
  <xdr:twoCellAnchor>
    <xdr:from>
      <xdr:col>4</xdr:col>
      <xdr:colOff>571500</xdr:colOff>
      <xdr:row>24</xdr:row>
      <xdr:rowOff>114300</xdr:rowOff>
    </xdr:from>
    <xdr:to>
      <xdr:col>8</xdr:col>
      <xdr:colOff>95250</xdr:colOff>
      <xdr:row>28</xdr:row>
      <xdr:rowOff>57150</xdr:rowOff>
    </xdr:to>
    <xdr:sp macro="" textlink="">
      <xdr:nvSpPr>
        <xdr:cNvPr id="9" name="Rectangle: Rounded Corners 15">
          <a:hlinkClick xmlns:r="http://schemas.openxmlformats.org/officeDocument/2006/relationships" r:id="rId7"/>
          <a:extLst>
            <a:ext uri="{FF2B5EF4-FFF2-40B4-BE49-F238E27FC236}">
              <a16:creationId xmlns:a16="http://schemas.microsoft.com/office/drawing/2014/main" id="{00000000-0008-0000-0100-000009000000}"/>
            </a:ext>
          </a:extLst>
        </xdr:cNvPr>
        <xdr:cNvSpPr/>
      </xdr:nvSpPr>
      <xdr:spPr>
        <a:xfrm>
          <a:off x="3009900" y="4010025"/>
          <a:ext cx="1962150" cy="590550"/>
        </a:xfrm>
        <a:prstGeom prst="roundRect">
          <a:avLst/>
        </a:prstGeom>
        <a:solidFill>
          <a:srgbClr val="000048"/>
        </a:solidFill>
        <a:ln>
          <a:solidFill>
            <a:schemeClr val="accent1">
              <a:lumMod val="40000"/>
              <a:lumOff val="60000"/>
            </a:schemeClr>
          </a:solid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1">
              <a:solidFill>
                <a:schemeClr val="accent6">
                  <a:lumMod val="20000"/>
                  <a:lumOff val="80000"/>
                </a:schemeClr>
              </a:solidFill>
              <a:latin typeface="Maiandra GD" panose="020E0502030308020204" pitchFamily="34" charset="0"/>
            </a:rPr>
            <a:t>Markowritz</a:t>
          </a:r>
          <a:r>
            <a:rPr lang="en-US" sz="1050" b="1" baseline="0">
              <a:solidFill>
                <a:schemeClr val="accent6">
                  <a:lumMod val="20000"/>
                  <a:lumOff val="80000"/>
                </a:schemeClr>
              </a:solidFill>
              <a:latin typeface="Maiandra GD" panose="020E0502030308020204" pitchFamily="34" charset="0"/>
            </a:rPr>
            <a:t> Mean-Variance Model</a:t>
          </a:r>
          <a:endParaRPr lang="en-US" sz="1050" b="1">
            <a:solidFill>
              <a:schemeClr val="accent6">
                <a:lumMod val="20000"/>
                <a:lumOff val="80000"/>
              </a:schemeClr>
            </a:solidFill>
            <a:latin typeface="Maiandra GD" panose="020E0502030308020204" pitchFamily="34" charset="0"/>
          </a:endParaRPr>
        </a:p>
      </xdr:txBody>
    </xdr:sp>
    <xdr:clientData/>
  </xdr:twoCellAnchor>
  <xdr:twoCellAnchor>
    <xdr:from>
      <xdr:col>10</xdr:col>
      <xdr:colOff>209549</xdr:colOff>
      <xdr:row>9</xdr:row>
      <xdr:rowOff>0</xdr:rowOff>
    </xdr:from>
    <xdr:to>
      <xdr:col>14</xdr:col>
      <xdr:colOff>200025</xdr:colOff>
      <xdr:row>10</xdr:row>
      <xdr:rowOff>123825</xdr:rowOff>
    </xdr:to>
    <xdr:sp macro="" textlink="">
      <xdr:nvSpPr>
        <xdr:cNvPr id="10" name="Rectangle: Rounded Corners 17">
          <a:hlinkClick xmlns:r="http://schemas.openxmlformats.org/officeDocument/2006/relationships" r:id="rId8"/>
          <a:extLst>
            <a:ext uri="{FF2B5EF4-FFF2-40B4-BE49-F238E27FC236}">
              <a16:creationId xmlns:a16="http://schemas.microsoft.com/office/drawing/2014/main" id="{00000000-0008-0000-0100-00000A000000}"/>
            </a:ext>
          </a:extLst>
        </xdr:cNvPr>
        <xdr:cNvSpPr/>
      </xdr:nvSpPr>
      <xdr:spPr>
        <a:xfrm>
          <a:off x="6305549" y="1466850"/>
          <a:ext cx="2428876" cy="285750"/>
        </a:xfrm>
        <a:prstGeom prst="roundRect">
          <a:avLst/>
        </a:prstGeom>
        <a:solidFill>
          <a:srgbClr val="000048"/>
        </a:solidFill>
        <a:ln>
          <a:solidFill>
            <a:schemeClr val="accent1">
              <a:lumMod val="40000"/>
              <a:lumOff val="60000"/>
            </a:schemeClr>
          </a:solid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1">
              <a:solidFill>
                <a:schemeClr val="accent6">
                  <a:lumMod val="20000"/>
                  <a:lumOff val="80000"/>
                </a:schemeClr>
              </a:solidFill>
              <a:latin typeface="Maiandra GD" panose="020E0502030308020204" pitchFamily="34" charset="0"/>
            </a:rPr>
            <a:t>CAPM Adjusted Portfolio 1 (CML)</a:t>
          </a:r>
        </a:p>
      </xdr:txBody>
    </xdr:sp>
    <xdr:clientData/>
  </xdr:twoCellAnchor>
  <xdr:twoCellAnchor>
    <xdr:from>
      <xdr:col>10</xdr:col>
      <xdr:colOff>228600</xdr:colOff>
      <xdr:row>13</xdr:row>
      <xdr:rowOff>133350</xdr:rowOff>
    </xdr:from>
    <xdr:to>
      <xdr:col>14</xdr:col>
      <xdr:colOff>190500</xdr:colOff>
      <xdr:row>15</xdr:row>
      <xdr:rowOff>95250</xdr:rowOff>
    </xdr:to>
    <xdr:sp macro="" textlink="">
      <xdr:nvSpPr>
        <xdr:cNvPr id="11" name="Rectangle: Rounded Corners 19">
          <a:hlinkClick xmlns:r="http://schemas.openxmlformats.org/officeDocument/2006/relationships" r:id="rId9"/>
          <a:extLst>
            <a:ext uri="{FF2B5EF4-FFF2-40B4-BE49-F238E27FC236}">
              <a16:creationId xmlns:a16="http://schemas.microsoft.com/office/drawing/2014/main" id="{00000000-0008-0000-0100-00000B000000}"/>
            </a:ext>
          </a:extLst>
        </xdr:cNvPr>
        <xdr:cNvSpPr/>
      </xdr:nvSpPr>
      <xdr:spPr>
        <a:xfrm>
          <a:off x="6324600" y="2247900"/>
          <a:ext cx="2400300" cy="285750"/>
        </a:xfrm>
        <a:prstGeom prst="roundRect">
          <a:avLst/>
        </a:prstGeom>
        <a:solidFill>
          <a:srgbClr val="000048"/>
        </a:solidFill>
        <a:ln>
          <a:solidFill>
            <a:schemeClr val="accent1">
              <a:lumMod val="40000"/>
              <a:lumOff val="60000"/>
            </a:schemeClr>
          </a:solid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1">
              <a:solidFill>
                <a:schemeClr val="accent6">
                  <a:lumMod val="20000"/>
                  <a:lumOff val="80000"/>
                </a:schemeClr>
              </a:solidFill>
              <a:latin typeface="Maiandra GD" panose="020E0502030308020204" pitchFamily="34" charset="0"/>
            </a:rPr>
            <a:t>CAPM</a:t>
          </a:r>
          <a:r>
            <a:rPr lang="en-US" sz="1050" b="1" baseline="0">
              <a:solidFill>
                <a:schemeClr val="accent6">
                  <a:lumMod val="20000"/>
                  <a:lumOff val="80000"/>
                </a:schemeClr>
              </a:solidFill>
              <a:latin typeface="Maiandra GD" panose="020E0502030308020204" pitchFamily="34" charset="0"/>
            </a:rPr>
            <a:t> Adjustment Portfolio 3 (CAL)</a:t>
          </a:r>
          <a:endParaRPr lang="en-US" sz="1050" b="1">
            <a:solidFill>
              <a:schemeClr val="accent6">
                <a:lumMod val="20000"/>
                <a:lumOff val="80000"/>
              </a:schemeClr>
            </a:solidFill>
            <a:latin typeface="Maiandra GD" panose="020E0502030308020204" pitchFamily="34" charset="0"/>
          </a:endParaRPr>
        </a:p>
      </xdr:txBody>
    </xdr:sp>
    <xdr:clientData/>
  </xdr:twoCellAnchor>
  <xdr:twoCellAnchor>
    <xdr:from>
      <xdr:col>10</xdr:col>
      <xdr:colOff>228600</xdr:colOff>
      <xdr:row>16</xdr:row>
      <xdr:rowOff>95250</xdr:rowOff>
    </xdr:from>
    <xdr:to>
      <xdr:col>14</xdr:col>
      <xdr:colOff>152400</xdr:colOff>
      <xdr:row>18</xdr:row>
      <xdr:rowOff>57150</xdr:rowOff>
    </xdr:to>
    <xdr:sp macro="" textlink="">
      <xdr:nvSpPr>
        <xdr:cNvPr id="12" name="Rectangle: Rounded Corners 21">
          <a:hlinkClick xmlns:r="http://schemas.openxmlformats.org/officeDocument/2006/relationships" r:id="rId10"/>
          <a:extLst>
            <a:ext uri="{FF2B5EF4-FFF2-40B4-BE49-F238E27FC236}">
              <a16:creationId xmlns:a16="http://schemas.microsoft.com/office/drawing/2014/main" id="{00000000-0008-0000-0100-00000C000000}"/>
            </a:ext>
          </a:extLst>
        </xdr:cNvPr>
        <xdr:cNvSpPr/>
      </xdr:nvSpPr>
      <xdr:spPr>
        <a:xfrm>
          <a:off x="6324600" y="2695575"/>
          <a:ext cx="2362200" cy="285750"/>
        </a:xfrm>
        <a:prstGeom prst="roundRect">
          <a:avLst/>
        </a:prstGeom>
        <a:solidFill>
          <a:srgbClr val="000048"/>
        </a:solidFill>
        <a:ln>
          <a:solidFill>
            <a:schemeClr val="accent1">
              <a:lumMod val="40000"/>
              <a:lumOff val="60000"/>
            </a:schemeClr>
          </a:solid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1">
              <a:solidFill>
                <a:schemeClr val="accent6">
                  <a:lumMod val="20000"/>
                  <a:lumOff val="80000"/>
                </a:schemeClr>
              </a:solidFill>
              <a:latin typeface="Maiandra GD" panose="020E0502030308020204" pitchFamily="34" charset="0"/>
            </a:rPr>
            <a:t>Black-Litterman Model</a:t>
          </a:r>
        </a:p>
      </xdr:txBody>
    </xdr:sp>
    <xdr:clientData/>
  </xdr:twoCellAnchor>
  <xdr:twoCellAnchor>
    <xdr:from>
      <xdr:col>10</xdr:col>
      <xdr:colOff>247650</xdr:colOff>
      <xdr:row>19</xdr:row>
      <xdr:rowOff>9525</xdr:rowOff>
    </xdr:from>
    <xdr:to>
      <xdr:col>14</xdr:col>
      <xdr:colOff>161925</xdr:colOff>
      <xdr:row>20</xdr:row>
      <xdr:rowOff>133350</xdr:rowOff>
    </xdr:to>
    <xdr:sp macro="" textlink="">
      <xdr:nvSpPr>
        <xdr:cNvPr id="13" name="Rectangle: Rounded Corners 23">
          <a:hlinkClick xmlns:r="http://schemas.openxmlformats.org/officeDocument/2006/relationships" r:id="rId11"/>
          <a:extLst>
            <a:ext uri="{FF2B5EF4-FFF2-40B4-BE49-F238E27FC236}">
              <a16:creationId xmlns:a16="http://schemas.microsoft.com/office/drawing/2014/main" id="{00000000-0008-0000-0100-00000D000000}"/>
            </a:ext>
          </a:extLst>
        </xdr:cNvPr>
        <xdr:cNvSpPr/>
      </xdr:nvSpPr>
      <xdr:spPr>
        <a:xfrm>
          <a:off x="6343650" y="3095625"/>
          <a:ext cx="2352675" cy="285750"/>
        </a:xfrm>
        <a:prstGeom prst="roundRect">
          <a:avLst/>
        </a:prstGeom>
        <a:solidFill>
          <a:srgbClr val="000048"/>
        </a:solidFill>
        <a:ln>
          <a:solidFill>
            <a:schemeClr val="accent1">
              <a:lumMod val="40000"/>
              <a:lumOff val="60000"/>
            </a:schemeClr>
          </a:solid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1">
              <a:solidFill>
                <a:schemeClr val="accent6">
                  <a:lumMod val="20000"/>
                  <a:lumOff val="80000"/>
                </a:schemeClr>
              </a:solidFill>
              <a:latin typeface="Maiandra GD" panose="020E0502030308020204" pitchFamily="34" charset="0"/>
            </a:rPr>
            <a:t>Black-Litterman Pie Charts</a:t>
          </a:r>
        </a:p>
      </xdr:txBody>
    </xdr:sp>
    <xdr:clientData/>
  </xdr:twoCellAnchor>
  <xdr:twoCellAnchor>
    <xdr:from>
      <xdr:col>10</xdr:col>
      <xdr:colOff>238125</xdr:colOff>
      <xdr:row>21</xdr:row>
      <xdr:rowOff>123825</xdr:rowOff>
    </xdr:from>
    <xdr:to>
      <xdr:col>14</xdr:col>
      <xdr:colOff>161925</xdr:colOff>
      <xdr:row>23</xdr:row>
      <xdr:rowOff>85725</xdr:rowOff>
    </xdr:to>
    <xdr:sp macro="" textlink="">
      <xdr:nvSpPr>
        <xdr:cNvPr id="14" name="Rectangle: Rounded Corners 25">
          <a:hlinkClick xmlns:r="http://schemas.openxmlformats.org/officeDocument/2006/relationships" r:id="rId12"/>
          <a:extLst>
            <a:ext uri="{FF2B5EF4-FFF2-40B4-BE49-F238E27FC236}">
              <a16:creationId xmlns:a16="http://schemas.microsoft.com/office/drawing/2014/main" id="{00000000-0008-0000-0100-00000E000000}"/>
            </a:ext>
          </a:extLst>
        </xdr:cNvPr>
        <xdr:cNvSpPr/>
      </xdr:nvSpPr>
      <xdr:spPr>
        <a:xfrm>
          <a:off x="6334125" y="3533775"/>
          <a:ext cx="2362200" cy="285750"/>
        </a:xfrm>
        <a:prstGeom prst="roundRect">
          <a:avLst/>
        </a:prstGeom>
        <a:solidFill>
          <a:srgbClr val="000048"/>
        </a:solidFill>
        <a:ln>
          <a:solidFill>
            <a:schemeClr val="accent1">
              <a:lumMod val="40000"/>
              <a:lumOff val="60000"/>
            </a:schemeClr>
          </a:solid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1">
              <a:solidFill>
                <a:schemeClr val="accent6">
                  <a:lumMod val="20000"/>
                  <a:lumOff val="80000"/>
                </a:schemeClr>
              </a:solidFill>
              <a:latin typeface="Maiandra GD" panose="020E0502030308020204" pitchFamily="34" charset="0"/>
            </a:rPr>
            <a:t>Final Portfolio</a:t>
          </a:r>
        </a:p>
      </xdr:txBody>
    </xdr:sp>
    <xdr:clientData/>
  </xdr:twoCellAnchor>
  <xdr:twoCellAnchor>
    <xdr:from>
      <xdr:col>10</xdr:col>
      <xdr:colOff>219074</xdr:colOff>
      <xdr:row>11</xdr:row>
      <xdr:rowOff>85725</xdr:rowOff>
    </xdr:from>
    <xdr:to>
      <xdr:col>14</xdr:col>
      <xdr:colOff>209550</xdr:colOff>
      <xdr:row>13</xdr:row>
      <xdr:rowOff>47625</xdr:rowOff>
    </xdr:to>
    <xdr:sp macro="" textlink="">
      <xdr:nvSpPr>
        <xdr:cNvPr id="16" name="Rectangle: Rounded Corners 17">
          <a:hlinkClick xmlns:r="http://schemas.openxmlformats.org/officeDocument/2006/relationships" r:id="rId13"/>
          <a:extLst>
            <a:ext uri="{FF2B5EF4-FFF2-40B4-BE49-F238E27FC236}">
              <a16:creationId xmlns:a16="http://schemas.microsoft.com/office/drawing/2014/main" id="{00000000-0008-0000-0100-000010000000}"/>
            </a:ext>
          </a:extLst>
        </xdr:cNvPr>
        <xdr:cNvSpPr/>
      </xdr:nvSpPr>
      <xdr:spPr>
        <a:xfrm>
          <a:off x="6315074" y="1876425"/>
          <a:ext cx="2428876" cy="285750"/>
        </a:xfrm>
        <a:prstGeom prst="roundRect">
          <a:avLst/>
        </a:prstGeom>
        <a:solidFill>
          <a:srgbClr val="000048"/>
        </a:solidFill>
        <a:ln>
          <a:solidFill>
            <a:schemeClr val="accent1">
              <a:lumMod val="40000"/>
              <a:lumOff val="60000"/>
            </a:schemeClr>
          </a:solid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1">
              <a:solidFill>
                <a:schemeClr val="accent6">
                  <a:lumMod val="20000"/>
                  <a:lumOff val="80000"/>
                </a:schemeClr>
              </a:solidFill>
              <a:latin typeface="Maiandra GD" panose="020E0502030308020204" pitchFamily="34" charset="0"/>
            </a:rPr>
            <a:t>CAPM Adjusted Portfolio 2 (SML)</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28576</xdr:colOff>
      <xdr:row>8</xdr:row>
      <xdr:rowOff>19048</xdr:rowOff>
    </xdr:from>
    <xdr:to>
      <xdr:col>10</xdr:col>
      <xdr:colOff>9526</xdr:colOff>
      <xdr:row>17</xdr:row>
      <xdr:rowOff>142874</xdr:rowOff>
    </xdr:to>
    <xdr:sp macro="" textlink="">
      <xdr:nvSpPr>
        <xdr:cNvPr id="3" name="Round Diagonal Corner Rectangle 2">
          <a:extLst>
            <a:ext uri="{FF2B5EF4-FFF2-40B4-BE49-F238E27FC236}">
              <a16:creationId xmlns:a16="http://schemas.microsoft.com/office/drawing/2014/main" id="{00000000-0008-0000-0200-000003000000}"/>
            </a:ext>
          </a:extLst>
        </xdr:cNvPr>
        <xdr:cNvSpPr/>
      </xdr:nvSpPr>
      <xdr:spPr>
        <a:xfrm>
          <a:off x="1870076" y="1310215"/>
          <a:ext cx="5738283" cy="1552576"/>
        </a:xfrm>
        <a:prstGeom prst="round2DiagRect">
          <a:avLst/>
        </a:prstGeom>
        <a:gradFill flip="none" rotWithShape="1">
          <a:gsLst>
            <a:gs pos="0">
              <a:schemeClr val="dk1">
                <a:lumMod val="67000"/>
              </a:schemeClr>
            </a:gs>
            <a:gs pos="48000">
              <a:schemeClr val="dk1">
                <a:lumMod val="97000"/>
                <a:lumOff val="3000"/>
              </a:schemeClr>
            </a:gs>
            <a:gs pos="100000">
              <a:schemeClr val="dk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r>
            <a:rPr lang="en-US" sz="1100">
              <a:solidFill>
                <a:schemeClr val="lt1"/>
              </a:solidFill>
              <a:effectLst/>
              <a:latin typeface="+mn-lt"/>
              <a:ea typeface="+mn-ea"/>
              <a:cs typeface="+mn-cs"/>
            </a:rPr>
            <a:t>Beximco offers PPE suits, masks, aprons, patient scrubs, disposable gowns, caps, shoe covers, hospital bed sheets, pillow covers, and curtains. Moreover, the company engages in the culturing, processing, packaging, and selling of sweet water fish and shrimp; and provision of banking and general-purpose software, and internet services, as well as operates as a real estate developer.</a:t>
          </a:r>
          <a:r>
            <a:rPr lang="en-US" sz="1100" baseline="0">
              <a:solidFill>
                <a:schemeClr val="lt1"/>
              </a:solidFill>
              <a:effectLst/>
              <a:latin typeface="+mn-lt"/>
              <a:ea typeface="+mn-ea"/>
              <a:cs typeface="+mn-cs"/>
            </a:rPr>
            <a:t> </a:t>
          </a:r>
          <a:r>
            <a:rPr lang="en-US" sz="1100">
              <a:solidFill>
                <a:schemeClr val="lt1"/>
              </a:solidFill>
              <a:effectLst/>
              <a:latin typeface="+mn-lt"/>
              <a:ea typeface="+mn-ea"/>
              <a:cs typeface="+mn-cs"/>
            </a:rPr>
            <a:t>It serves textiles, pharmaceuticals, PPE, ceramics, real estate development, construction, trading, marine food, information and communication technologies, media, DTH, financial services, travel and tourism, and energy industries. The company was founded in 1972 and is based in Dhaka, Bangladesh.</a:t>
          </a:r>
        </a:p>
        <a:p>
          <a:pPr algn="l"/>
          <a:endParaRPr lang="en-US" sz="1100"/>
        </a:p>
      </xdr:txBody>
    </xdr:sp>
    <xdr:clientData/>
  </xdr:twoCellAnchor>
  <xdr:twoCellAnchor>
    <xdr:from>
      <xdr:col>3</xdr:col>
      <xdr:colOff>19050</xdr:colOff>
      <xdr:row>32</xdr:row>
      <xdr:rowOff>3173</xdr:rowOff>
    </xdr:from>
    <xdr:to>
      <xdr:col>10</xdr:col>
      <xdr:colOff>9525</xdr:colOff>
      <xdr:row>38</xdr:row>
      <xdr:rowOff>133350</xdr:rowOff>
    </xdr:to>
    <xdr:sp macro="" textlink="">
      <xdr:nvSpPr>
        <xdr:cNvPr id="4" name="Round Diagonal Corner Rectangle 3">
          <a:extLst>
            <a:ext uri="{FF2B5EF4-FFF2-40B4-BE49-F238E27FC236}">
              <a16:creationId xmlns:a16="http://schemas.microsoft.com/office/drawing/2014/main" id="{00000000-0008-0000-0200-000004000000}"/>
            </a:ext>
          </a:extLst>
        </xdr:cNvPr>
        <xdr:cNvSpPr/>
      </xdr:nvSpPr>
      <xdr:spPr>
        <a:xfrm>
          <a:off x="1860550" y="5104340"/>
          <a:ext cx="5747808" cy="1082677"/>
        </a:xfrm>
        <a:prstGeom prst="round2DiagRect">
          <a:avLst/>
        </a:prstGeom>
        <a:gradFill flip="none" rotWithShape="1">
          <a:gsLst>
            <a:gs pos="0">
              <a:schemeClr val="dk1">
                <a:lumMod val="67000"/>
              </a:schemeClr>
            </a:gs>
            <a:gs pos="48000">
              <a:schemeClr val="dk1">
                <a:lumMod val="97000"/>
                <a:lumOff val="3000"/>
              </a:schemeClr>
            </a:gs>
            <a:gs pos="100000">
              <a:schemeClr val="dk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r>
            <a:rPr lang="en-US" sz="1100">
              <a:solidFill>
                <a:schemeClr val="lt1"/>
              </a:solidFill>
              <a:effectLst/>
              <a:latin typeface="+mn-lt"/>
              <a:ea typeface="+mn-ea"/>
              <a:cs typeface="+mn-cs"/>
            </a:rPr>
            <a:t>The principal activities of Olympic are manufacturing and marketing of dry cell battery, biscuit &amp; candy, confectionery and ball pen items. The products are sold in the local market. The company production capacity is 102960000pcs of battery, 42480 MT of biscuit and confectionery, 100000000 pcs of ball pen and 120000 MT of soyabean oil, palm olein and ghee.</a:t>
          </a:r>
        </a:p>
        <a:p>
          <a:pPr algn="l"/>
          <a:endParaRPr lang="en-US" sz="1100"/>
        </a:p>
      </xdr:txBody>
    </xdr:sp>
    <xdr:clientData/>
  </xdr:twoCellAnchor>
  <xdr:twoCellAnchor editAs="oneCell">
    <xdr:from>
      <xdr:col>13</xdr:col>
      <xdr:colOff>180976</xdr:colOff>
      <xdr:row>29</xdr:row>
      <xdr:rowOff>9526</xdr:rowOff>
    </xdr:from>
    <xdr:to>
      <xdr:col>15</xdr:col>
      <xdr:colOff>390526</xdr:colOff>
      <xdr:row>38</xdr:row>
      <xdr:rowOff>104775</xdr:rowOff>
    </xdr:to>
    <xdr:pic>
      <xdr:nvPicPr>
        <xdr:cNvPr id="6" name="Picture 5">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748309" y="4634443"/>
          <a:ext cx="2061634" cy="1523999"/>
        </a:xfrm>
        <a:prstGeom prst="rect">
          <a:avLst/>
        </a:prstGeom>
      </xdr:spPr>
    </xdr:pic>
    <xdr:clientData/>
  </xdr:twoCellAnchor>
  <xdr:twoCellAnchor>
    <xdr:from>
      <xdr:col>9</xdr:col>
      <xdr:colOff>19050</xdr:colOff>
      <xdr:row>53</xdr:row>
      <xdr:rowOff>152398</xdr:rowOff>
    </xdr:from>
    <xdr:to>
      <xdr:col>16</xdr:col>
      <xdr:colOff>609599</xdr:colOff>
      <xdr:row>60</xdr:row>
      <xdr:rowOff>123825</xdr:rowOff>
    </xdr:to>
    <xdr:sp macro="" textlink="">
      <xdr:nvSpPr>
        <xdr:cNvPr id="9" name="Round Diagonal Corner Rectangle 8">
          <a:extLst>
            <a:ext uri="{FF2B5EF4-FFF2-40B4-BE49-F238E27FC236}">
              <a16:creationId xmlns:a16="http://schemas.microsoft.com/office/drawing/2014/main" id="{00000000-0008-0000-0200-000009000000}"/>
            </a:ext>
          </a:extLst>
        </xdr:cNvPr>
        <xdr:cNvSpPr/>
      </xdr:nvSpPr>
      <xdr:spPr>
        <a:xfrm>
          <a:off x="6887633" y="8587315"/>
          <a:ext cx="5913966" cy="1082677"/>
        </a:xfrm>
        <a:prstGeom prst="round2DiagRect">
          <a:avLst/>
        </a:prstGeom>
        <a:gradFill flip="none" rotWithShape="1">
          <a:gsLst>
            <a:gs pos="0">
              <a:schemeClr val="dk1">
                <a:lumMod val="67000"/>
              </a:schemeClr>
            </a:gs>
            <a:gs pos="48000">
              <a:schemeClr val="dk1">
                <a:lumMod val="97000"/>
                <a:lumOff val="3000"/>
              </a:schemeClr>
            </a:gs>
            <a:gs pos="100000">
              <a:schemeClr val="dk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r>
            <a:rPr lang="en-US" sz="1100">
              <a:solidFill>
                <a:schemeClr val="lt1"/>
              </a:solidFill>
              <a:effectLst/>
              <a:latin typeface="+mn-lt"/>
              <a:ea typeface="+mn-ea"/>
              <a:cs typeface="+mn-cs"/>
            </a:rPr>
            <a:t>Kohinoor Chemical Company are the pioneer amongst the soap, cosmetics and toiletries manufacturing industries of Bangladesh, producing highly value added products with quality in the center of focus</a:t>
          </a:r>
          <a:endParaRPr lang="en-US" sz="1100"/>
        </a:p>
      </xdr:txBody>
    </xdr:sp>
    <xdr:clientData/>
  </xdr:twoCellAnchor>
  <xdr:twoCellAnchor>
    <xdr:from>
      <xdr:col>3</xdr:col>
      <xdr:colOff>19051</xdr:colOff>
      <xdr:row>20</xdr:row>
      <xdr:rowOff>19047</xdr:rowOff>
    </xdr:from>
    <xdr:to>
      <xdr:col>10</xdr:col>
      <xdr:colOff>1</xdr:colOff>
      <xdr:row>28</xdr:row>
      <xdr:rowOff>142874</xdr:rowOff>
    </xdr:to>
    <xdr:sp macro="" textlink="">
      <xdr:nvSpPr>
        <xdr:cNvPr id="10" name="Round Diagonal Corner Rectangle 9">
          <a:extLst>
            <a:ext uri="{FF2B5EF4-FFF2-40B4-BE49-F238E27FC236}">
              <a16:creationId xmlns:a16="http://schemas.microsoft.com/office/drawing/2014/main" id="{00000000-0008-0000-0200-00000A000000}"/>
            </a:ext>
          </a:extLst>
        </xdr:cNvPr>
        <xdr:cNvSpPr/>
      </xdr:nvSpPr>
      <xdr:spPr>
        <a:xfrm>
          <a:off x="1860551" y="3215214"/>
          <a:ext cx="5738283" cy="1393827"/>
        </a:xfrm>
        <a:prstGeom prst="round2DiagRect">
          <a:avLst/>
        </a:prstGeom>
        <a:gradFill flip="none" rotWithShape="1">
          <a:gsLst>
            <a:gs pos="0">
              <a:schemeClr val="dk1">
                <a:lumMod val="67000"/>
              </a:schemeClr>
            </a:gs>
            <a:gs pos="48000">
              <a:schemeClr val="dk1">
                <a:lumMod val="97000"/>
                <a:lumOff val="3000"/>
              </a:schemeClr>
            </a:gs>
            <a:gs pos="100000">
              <a:schemeClr val="dk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r>
            <a:rPr lang="en-US" sz="1100">
              <a:solidFill>
                <a:schemeClr val="lt1"/>
              </a:solidFill>
              <a:effectLst/>
              <a:latin typeface="+mn-lt"/>
              <a:ea typeface="+mn-ea"/>
              <a:cs typeface="+mn-cs"/>
            </a:rPr>
            <a:t>Grameenphone is the leading telecommunications service provider in Bangladesh. Grameenphone is the largest mobile phone operator in the country with more than 50 million subscribers. Moreover, it is a joint venture between Telenor and Grameen Telecom Corporation, a non-profit sister concern of the internationally acclaimed microfinance organization and community development bank Grameen Bank. Telenor, the largest telecommunications company in Norway, owns 55.8% shares of Grameenphone, Grameen Telecom owns 34.2% and the remaining 10% is publicly held.</a:t>
          </a:r>
          <a:endParaRPr lang="en-US" sz="1100"/>
        </a:p>
      </xdr:txBody>
    </xdr:sp>
    <xdr:clientData/>
  </xdr:twoCellAnchor>
  <xdr:twoCellAnchor editAs="oneCell">
    <xdr:from>
      <xdr:col>11</xdr:col>
      <xdr:colOff>571501</xdr:colOff>
      <xdr:row>11</xdr:row>
      <xdr:rowOff>133351</xdr:rowOff>
    </xdr:from>
    <xdr:to>
      <xdr:col>16</xdr:col>
      <xdr:colOff>485776</xdr:colOff>
      <xdr:row>28</xdr:row>
      <xdr:rowOff>100967</xdr:rowOff>
    </xdr:to>
    <xdr:pic>
      <xdr:nvPicPr>
        <xdr:cNvPr id="7" name="Picture 6">
          <a:extLst>
            <a:ext uri="{FF2B5EF4-FFF2-40B4-BE49-F238E27FC236}">
              <a16:creationId xmlns:a16="http://schemas.microsoft.com/office/drawing/2014/main" id="{00000000-0008-0000-0200-000007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784168" y="1900768"/>
          <a:ext cx="3893608" cy="2666366"/>
        </a:xfrm>
        <a:prstGeom prst="rect">
          <a:avLst/>
        </a:prstGeom>
      </xdr:spPr>
    </xdr:pic>
    <xdr:clientData/>
  </xdr:twoCellAnchor>
  <xdr:twoCellAnchor editAs="oneCell">
    <xdr:from>
      <xdr:col>11</xdr:col>
      <xdr:colOff>723899</xdr:colOff>
      <xdr:row>9</xdr:row>
      <xdr:rowOff>95250</xdr:rowOff>
    </xdr:from>
    <xdr:to>
      <xdr:col>16</xdr:col>
      <xdr:colOff>534265</xdr:colOff>
      <xdr:row>14</xdr:row>
      <xdr:rowOff>152400</xdr:rowOff>
    </xdr:to>
    <xdr:pic>
      <xdr:nvPicPr>
        <xdr:cNvPr id="5" name="Picture 4" descr="Category:SVG &lt;strong&gt;logos&lt;/strong&gt; of companies of Bangladesh - Wikimedia Commons">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936566" y="1545167"/>
          <a:ext cx="3789699" cy="850900"/>
        </a:xfrm>
        <a:prstGeom prst="rect">
          <a:avLst/>
        </a:prstGeom>
      </xdr:spPr>
    </xdr:pic>
    <xdr:clientData/>
  </xdr:twoCellAnchor>
  <xdr:twoCellAnchor>
    <xdr:from>
      <xdr:col>3</xdr:col>
      <xdr:colOff>38101</xdr:colOff>
      <xdr:row>43</xdr:row>
      <xdr:rowOff>85723</xdr:rowOff>
    </xdr:from>
    <xdr:to>
      <xdr:col>10</xdr:col>
      <xdr:colOff>0</xdr:colOff>
      <xdr:row>49</xdr:row>
      <xdr:rowOff>66675</xdr:rowOff>
    </xdr:to>
    <xdr:sp macro="" textlink="">
      <xdr:nvSpPr>
        <xdr:cNvPr id="12" name="Round Diagonal Corner Rectangle 11">
          <a:extLst>
            <a:ext uri="{FF2B5EF4-FFF2-40B4-BE49-F238E27FC236}">
              <a16:creationId xmlns:a16="http://schemas.microsoft.com/office/drawing/2014/main" id="{00000000-0008-0000-0200-00000C000000}"/>
            </a:ext>
          </a:extLst>
        </xdr:cNvPr>
        <xdr:cNvSpPr/>
      </xdr:nvSpPr>
      <xdr:spPr>
        <a:xfrm>
          <a:off x="1879601" y="6933140"/>
          <a:ext cx="5719232" cy="933452"/>
        </a:xfrm>
        <a:prstGeom prst="round2DiagRect">
          <a:avLst/>
        </a:prstGeom>
        <a:gradFill flip="none" rotWithShape="1">
          <a:gsLst>
            <a:gs pos="0">
              <a:schemeClr val="dk1">
                <a:lumMod val="67000"/>
              </a:schemeClr>
            </a:gs>
            <a:gs pos="48000">
              <a:schemeClr val="dk1">
                <a:lumMod val="97000"/>
                <a:lumOff val="3000"/>
              </a:schemeClr>
            </a:gs>
            <a:gs pos="100000">
              <a:schemeClr val="dk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r>
            <a:rPr lang="en-US" sz="1100">
              <a:solidFill>
                <a:schemeClr val="lt1"/>
              </a:solidFill>
              <a:effectLst/>
              <a:latin typeface="+mn-lt"/>
              <a:ea typeface="+mn-ea"/>
              <a:cs typeface="+mn-cs"/>
            </a:rPr>
            <a:t>Marico’s main principal activities continued to be manufacturing and marketing of Fast Moving Consumer Goods (FMGG). The company is the manufacturer and marketer of well known brands like Parachute, Parachute Advanced, Kaya Skin Care Clinic etc.</a:t>
          </a:r>
        </a:p>
      </xdr:txBody>
    </xdr:sp>
    <xdr:clientData/>
  </xdr:twoCellAnchor>
  <xdr:twoCellAnchor editAs="oneCell">
    <xdr:from>
      <xdr:col>13</xdr:col>
      <xdr:colOff>104775</xdr:colOff>
      <xdr:row>37</xdr:row>
      <xdr:rowOff>123825</xdr:rowOff>
    </xdr:from>
    <xdr:to>
      <xdr:col>15</xdr:col>
      <xdr:colOff>733425</xdr:colOff>
      <xdr:row>53</xdr:row>
      <xdr:rowOff>9525</xdr:rowOff>
    </xdr:to>
    <xdr:pic>
      <xdr:nvPicPr>
        <xdr:cNvPr id="8" name="Picture 7">
          <a:extLst>
            <a:ext uri="{FF2B5EF4-FFF2-40B4-BE49-F238E27FC236}">
              <a16:creationId xmlns:a16="http://schemas.microsoft.com/office/drawing/2014/main" id="{00000000-0008-0000-0200-000008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9672108" y="6018742"/>
          <a:ext cx="2480734" cy="2425700"/>
        </a:xfrm>
        <a:prstGeom prst="rect">
          <a:avLst/>
        </a:prstGeom>
      </xdr:spPr>
    </xdr:pic>
    <xdr:clientData/>
  </xdr:twoCellAnchor>
  <xdr:twoCellAnchor>
    <xdr:from>
      <xdr:col>9</xdr:col>
      <xdr:colOff>28576</xdr:colOff>
      <xdr:row>63</xdr:row>
      <xdr:rowOff>38098</xdr:rowOff>
    </xdr:from>
    <xdr:to>
      <xdr:col>17</xdr:col>
      <xdr:colOff>9526</xdr:colOff>
      <xdr:row>73</xdr:row>
      <xdr:rowOff>95250</xdr:rowOff>
    </xdr:to>
    <xdr:sp macro="" textlink="">
      <xdr:nvSpPr>
        <xdr:cNvPr id="15" name="Round Diagonal Corner Rectangle 14">
          <a:extLst>
            <a:ext uri="{FF2B5EF4-FFF2-40B4-BE49-F238E27FC236}">
              <a16:creationId xmlns:a16="http://schemas.microsoft.com/office/drawing/2014/main" id="{00000000-0008-0000-0200-00000F000000}"/>
            </a:ext>
          </a:extLst>
        </xdr:cNvPr>
        <xdr:cNvSpPr/>
      </xdr:nvSpPr>
      <xdr:spPr>
        <a:xfrm>
          <a:off x="6877051" y="10258423"/>
          <a:ext cx="5905500" cy="1676402"/>
        </a:xfrm>
        <a:prstGeom prst="round2DiagRect">
          <a:avLst/>
        </a:prstGeom>
        <a:gradFill flip="none" rotWithShape="1">
          <a:gsLst>
            <a:gs pos="0">
              <a:schemeClr val="dk1">
                <a:lumMod val="67000"/>
              </a:schemeClr>
            </a:gs>
            <a:gs pos="48000">
              <a:schemeClr val="dk1">
                <a:lumMod val="97000"/>
                <a:lumOff val="3000"/>
              </a:schemeClr>
            </a:gs>
            <a:gs pos="100000">
              <a:schemeClr val="dk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r>
            <a:rPr lang="en-US" sz="1100">
              <a:solidFill>
                <a:schemeClr val="lt1"/>
              </a:solidFill>
              <a:effectLst/>
              <a:latin typeface="+mn-lt"/>
              <a:ea typeface="+mn-ea"/>
              <a:cs typeface="+mn-cs"/>
            </a:rPr>
            <a:t>DBH has been creating homeownership among more than 23,000 families in Dhaka and other major cities of the country. At the same time, the company has been playing an active role in promoting the real estate sector to the large cross sections of prospective clients who had yet unfulfilled dreams of owning a sweet home. Moreover, Emerging Credit Rating Limited (ECRL) has assigned the credit rating of the Company as "AAA" in the long term and "ST-1" in the short term along with a stable outlook based on audited financial statements of the Company up to December 31, 2021 and other relevant quantitative as well as qualitative information up to the date of rating (Dhaka Tribune, 2021).</a:t>
          </a:r>
        </a:p>
      </xdr:txBody>
    </xdr:sp>
    <xdr:clientData/>
  </xdr:twoCellAnchor>
  <xdr:twoCellAnchor editAs="oneCell">
    <xdr:from>
      <xdr:col>4</xdr:col>
      <xdr:colOff>257175</xdr:colOff>
      <xdr:row>58</xdr:row>
      <xdr:rowOff>28575</xdr:rowOff>
    </xdr:from>
    <xdr:to>
      <xdr:col>7</xdr:col>
      <xdr:colOff>381000</xdr:colOff>
      <xdr:row>73</xdr:row>
      <xdr:rowOff>152400</xdr:rowOff>
    </xdr:to>
    <xdr:pic>
      <xdr:nvPicPr>
        <xdr:cNvPr id="14" name="Picture 13">
          <a:extLst>
            <a:ext uri="{FF2B5EF4-FFF2-40B4-BE49-F238E27FC236}">
              <a16:creationId xmlns:a16="http://schemas.microsoft.com/office/drawing/2014/main" id="{00000000-0008-0000-0200-00000E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695575" y="9439275"/>
          <a:ext cx="2952750" cy="2552700"/>
        </a:xfrm>
        <a:prstGeom prst="rect">
          <a:avLst/>
        </a:prstGeom>
      </xdr:spPr>
    </xdr:pic>
    <xdr:clientData/>
  </xdr:twoCellAnchor>
  <xdr:twoCellAnchor editAs="oneCell">
    <xdr:from>
      <xdr:col>2</xdr:col>
      <xdr:colOff>552450</xdr:colOff>
      <xdr:row>51</xdr:row>
      <xdr:rowOff>43656</xdr:rowOff>
    </xdr:from>
    <xdr:to>
      <xdr:col>7</xdr:col>
      <xdr:colOff>866775</xdr:colOff>
      <xdr:row>61</xdr:row>
      <xdr:rowOff>66675</xdr:rowOff>
    </xdr:to>
    <xdr:pic>
      <xdr:nvPicPr>
        <xdr:cNvPr id="11" name="Picture 10">
          <a:extLst>
            <a:ext uri="{FF2B5EF4-FFF2-40B4-BE49-F238E27FC236}">
              <a16:creationId xmlns:a16="http://schemas.microsoft.com/office/drawing/2014/main" id="{00000000-0008-0000-0200-00000B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780117" y="8161073"/>
          <a:ext cx="4367741" cy="1610519"/>
        </a:xfrm>
        <a:prstGeom prst="rect">
          <a:avLst/>
        </a:prstGeom>
      </xdr:spPr>
    </xdr:pic>
    <xdr:clientData/>
  </xdr:twoCellAnchor>
  <xdr:twoCellAnchor>
    <xdr:from>
      <xdr:col>9</xdr:col>
      <xdr:colOff>38101</xdr:colOff>
      <xdr:row>75</xdr:row>
      <xdr:rowOff>38098</xdr:rowOff>
    </xdr:from>
    <xdr:to>
      <xdr:col>17</xdr:col>
      <xdr:colOff>19051</xdr:colOff>
      <xdr:row>89</xdr:row>
      <xdr:rowOff>38100</xdr:rowOff>
    </xdr:to>
    <xdr:sp macro="" textlink="">
      <xdr:nvSpPr>
        <xdr:cNvPr id="18" name="Round Diagonal Corner Rectangle 17">
          <a:extLst>
            <a:ext uri="{FF2B5EF4-FFF2-40B4-BE49-F238E27FC236}">
              <a16:creationId xmlns:a16="http://schemas.microsoft.com/office/drawing/2014/main" id="{00000000-0008-0000-0200-000012000000}"/>
            </a:ext>
          </a:extLst>
        </xdr:cNvPr>
        <xdr:cNvSpPr/>
      </xdr:nvSpPr>
      <xdr:spPr>
        <a:xfrm>
          <a:off x="6886576" y="12201523"/>
          <a:ext cx="5905500" cy="2266952"/>
        </a:xfrm>
        <a:prstGeom prst="round2DiagRect">
          <a:avLst/>
        </a:prstGeom>
        <a:gradFill flip="none" rotWithShape="1">
          <a:gsLst>
            <a:gs pos="0">
              <a:schemeClr val="dk1">
                <a:lumMod val="67000"/>
              </a:schemeClr>
            </a:gs>
            <a:gs pos="48000">
              <a:schemeClr val="dk1">
                <a:lumMod val="97000"/>
                <a:lumOff val="3000"/>
              </a:schemeClr>
            </a:gs>
            <a:gs pos="100000">
              <a:schemeClr val="dk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Meghna petroleum’s activities include the procurement, storage and marketing of all petroleum oil and lubricating products, Bitumen, Liquefied Petroleum Gas (LPG) and Battery Water across the national terrains of Bangladesh. The lubricant products that MPL markets include BP Super V, BP Visco 5000, BP Energol HD 40, BP Vanellus C3 40, BP Vanellus C3 Multigrade and others. MPL has developed a total storage capacity of 138,815 metric ton including 93,110 metric ton at main installations and 45,705 metric ton at 10 up-country depots. The depot networks are divided into Riverine Depots and Railhead Depots. From the main installation of Chittagong, 82 percent of petroleum products are transported by river using coastal tanker and shallow draught tanker, 6 percent by railway using a box wagon, 10 percent by road using tank lorry and truck and 2 percent by other local means. The nationwide distribution outlets include 500 filling stations, 142 packed point dealers, 1,002 agents, 790 LPG dealers.</a:t>
          </a:r>
        </a:p>
      </xdr:txBody>
    </xdr:sp>
    <xdr:clientData/>
  </xdr:twoCellAnchor>
  <xdr:twoCellAnchor editAs="oneCell">
    <xdr:from>
      <xdr:col>5</xdr:col>
      <xdr:colOff>95250</xdr:colOff>
      <xdr:row>76</xdr:row>
      <xdr:rowOff>0</xdr:rowOff>
    </xdr:from>
    <xdr:to>
      <xdr:col>7</xdr:col>
      <xdr:colOff>142875</xdr:colOff>
      <xdr:row>89</xdr:row>
      <xdr:rowOff>20411</xdr:rowOff>
    </xdr:to>
    <xdr:pic>
      <xdr:nvPicPr>
        <xdr:cNvPr id="16" name="Picture 15">
          <a:extLst>
            <a:ext uri="{FF2B5EF4-FFF2-40B4-BE49-F238E27FC236}">
              <a16:creationId xmlns:a16="http://schemas.microsoft.com/office/drawing/2014/main" id="{00000000-0008-0000-0200-000010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279321" y="12436929"/>
          <a:ext cx="2143125" cy="21431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10</xdr:col>
      <xdr:colOff>470646</xdr:colOff>
      <xdr:row>2</xdr:row>
      <xdr:rowOff>56030</xdr:rowOff>
    </xdr:from>
    <xdr:to>
      <xdr:col>14</xdr:col>
      <xdr:colOff>818030</xdr:colOff>
      <xdr:row>15</xdr:row>
      <xdr:rowOff>168088</xdr:rowOff>
    </xdr:to>
    <xdr:sp macro="" textlink="">
      <xdr:nvSpPr>
        <xdr:cNvPr id="2" name="Left Arrow Callout 1"/>
        <xdr:cNvSpPr/>
      </xdr:nvSpPr>
      <xdr:spPr>
        <a:xfrm>
          <a:off x="10208558" y="459442"/>
          <a:ext cx="3709148" cy="2734234"/>
        </a:xfrm>
        <a:prstGeom prst="leftArrowCallout">
          <a:avLst>
            <a:gd name="adj1" fmla="val 18711"/>
            <a:gd name="adj2" fmla="val 19340"/>
            <a:gd name="adj3" fmla="val 16772"/>
            <a:gd name="adj4" fmla="val 69407"/>
          </a:avLst>
        </a:prstGeom>
        <a:solidFill>
          <a:srgbClr val="003366"/>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en-US"/>
            <a:t>We have collected price data from Investing.Com. We collected and organized on a monthly basis, as that is the best practice to follow. Daily prices mostly reflect investor expectations and speculation. Yearly prices are also undesirable because we need to go back several years for data points , which are not practical to predict the future, and the farther we go back in time, the weaker the calculation becomes. Therefore, we used monthly data, which is annualized when needed in further calculations.</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12</xdr:col>
      <xdr:colOff>304796</xdr:colOff>
      <xdr:row>1</xdr:row>
      <xdr:rowOff>114298</xdr:rowOff>
    </xdr:from>
    <xdr:to>
      <xdr:col>23</xdr:col>
      <xdr:colOff>47622</xdr:colOff>
      <xdr:row>69</xdr:row>
      <xdr:rowOff>190500</xdr:rowOff>
    </xdr:to>
    <xdr:sp macro="" textlink="">
      <xdr:nvSpPr>
        <xdr:cNvPr id="2" name="Snip Diagonal Corner Rectangle 1"/>
        <xdr:cNvSpPr/>
      </xdr:nvSpPr>
      <xdr:spPr>
        <a:xfrm flipH="1">
          <a:off x="10306046" y="316704"/>
          <a:ext cx="8910639" cy="13839827"/>
        </a:xfrm>
        <a:prstGeom prst="snip2DiagRect">
          <a:avLst/>
        </a:prstGeom>
        <a:solidFill>
          <a:srgbClr val="003366"/>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en-US" sz="1100"/>
            <a:t>The</a:t>
          </a:r>
          <a:r>
            <a:rPr lang="en-US" sz="1100" baseline="0"/>
            <a:t> weights has been dispersed according to the reasoings we have provided below</a:t>
          </a:r>
        </a:p>
        <a:p>
          <a:pPr algn="l"/>
          <a:endParaRPr lang="en-US" sz="1100" baseline="0"/>
        </a:p>
        <a:p>
          <a:pPr algn="l"/>
          <a:r>
            <a:rPr lang="en-US" sz="1100" baseline="0"/>
            <a:t>Justifications: </a:t>
          </a:r>
        </a:p>
        <a:p>
          <a:pPr rtl="0"/>
          <a:r>
            <a:rPr lang="en-US" sz="1100" b="1" i="0" u="none" strike="noStrike">
              <a:solidFill>
                <a:schemeClr val="lt1"/>
              </a:solidFill>
              <a:effectLst/>
              <a:latin typeface="+mn-lt"/>
              <a:ea typeface="+mn-ea"/>
              <a:cs typeface="+mn-cs"/>
            </a:rPr>
            <a:t>GP</a:t>
          </a:r>
          <a:endParaRPr lang="en-US">
            <a:effectLst/>
          </a:endParaRPr>
        </a:p>
        <a:p>
          <a:pPr rtl="0" fontAlgn="base"/>
          <a:r>
            <a:rPr lang="en-US" sz="1100" b="0" i="0" u="none" strike="noStrike">
              <a:solidFill>
                <a:schemeClr val="lt1"/>
              </a:solidFill>
              <a:effectLst/>
              <a:latin typeface="+mn-lt"/>
              <a:ea typeface="+mn-ea"/>
              <a:cs typeface="+mn-cs"/>
            </a:rPr>
            <a:t>Weight allocations were assigned as per recency and relevancy, a higher weight is assigned to Q3 2021 due to the integration of enabling 4G connectivity in all of its 15500 network towers which boosted both its financial performance and market price.</a:t>
          </a:r>
        </a:p>
        <a:p>
          <a:pPr rtl="0"/>
          <a:r>
            <a:rPr lang="en-US" sz="1100" b="0" i="0" u="none" strike="noStrike">
              <a:solidFill>
                <a:schemeClr val="lt1"/>
              </a:solidFill>
              <a:effectLst/>
              <a:latin typeface="+mn-lt"/>
              <a:ea typeface="+mn-ea"/>
              <a:cs typeface="+mn-cs"/>
            </a:rPr>
            <a:t>Source:https://archive.dhakatribune.com/business/2021/03/28/grameenphone-makes-15-500-of-its-towers-4g-enabled</a:t>
          </a:r>
          <a:endParaRPr lang="en-US">
            <a:effectLst/>
          </a:endParaRPr>
        </a:p>
        <a:p>
          <a:pPr rtl="0" fontAlgn="base"/>
          <a:r>
            <a:rPr lang="en-US" sz="1100" b="0" i="0" u="none" strike="noStrike">
              <a:solidFill>
                <a:schemeClr val="lt1"/>
              </a:solidFill>
              <a:effectLst/>
              <a:latin typeface="+mn-lt"/>
              <a:ea typeface="+mn-ea"/>
              <a:cs typeface="+mn-cs"/>
            </a:rPr>
            <a:t>In Q2 22, GP faced discrepancies with BRTC due to concerns about adequate service hence was given a lower weight compared to Q3 22. </a:t>
          </a:r>
        </a:p>
        <a:p>
          <a:pPr rtl="0"/>
          <a:r>
            <a:rPr lang="en-US" sz="1100" b="0" i="0" u="none" strike="noStrike">
              <a:solidFill>
                <a:schemeClr val="lt1"/>
              </a:solidFill>
              <a:effectLst/>
              <a:latin typeface="+mn-lt"/>
              <a:ea typeface="+mn-ea"/>
              <a:cs typeface="+mn-cs"/>
            </a:rPr>
            <a:t>Source:https://www.dhakatribune.com/bangladesh/2022/06/29/brtc-bans-sale-of-grameenphone-sim-cards-for-poor-service</a:t>
          </a:r>
          <a:endParaRPr lang="en-US">
            <a:effectLst/>
          </a:endParaRPr>
        </a:p>
        <a:p>
          <a:pPr rtl="0" fontAlgn="base"/>
          <a:r>
            <a:rPr lang="en-US" sz="1100" b="0" i="0" u="none" strike="noStrike">
              <a:solidFill>
                <a:schemeClr val="lt1"/>
              </a:solidFill>
              <a:effectLst/>
              <a:latin typeface="+mn-lt"/>
              <a:ea typeface="+mn-ea"/>
              <a:cs typeface="+mn-cs"/>
            </a:rPr>
            <a:t>The Lowest weights were assigned to the quarters of 2018 due to the Tax evasion dispute by Grameenphone LTD. </a:t>
          </a:r>
        </a:p>
        <a:p>
          <a:pPr rtl="0"/>
          <a:r>
            <a:rPr lang="en-US" sz="1100" b="0" i="0" u="none" strike="noStrike">
              <a:solidFill>
                <a:schemeClr val="lt1"/>
              </a:solidFill>
              <a:effectLst/>
              <a:latin typeface="+mn-lt"/>
              <a:ea typeface="+mn-ea"/>
              <a:cs typeface="+mn-cs"/>
            </a:rPr>
            <a:t>Source:https://www.dhakatribune.com/business/2018/01/31/grameenphones-unpaid-taxes-reach-new-heights  </a:t>
          </a:r>
          <a:endParaRPr lang="en-US">
            <a:effectLst/>
          </a:endParaRPr>
        </a:p>
        <a:p>
          <a:pPr rtl="0"/>
          <a:r>
            <a:rPr lang="en-US"/>
            <a:t/>
          </a:r>
          <a:br>
            <a:rPr lang="en-US"/>
          </a:br>
          <a:r>
            <a:rPr lang="en-US" sz="1100" b="1" i="0" u="none" strike="noStrike">
              <a:solidFill>
                <a:schemeClr val="lt1"/>
              </a:solidFill>
              <a:effectLst/>
              <a:latin typeface="+mn-lt"/>
              <a:ea typeface="+mn-ea"/>
              <a:cs typeface="+mn-cs"/>
            </a:rPr>
            <a:t>Kohinoor</a:t>
          </a:r>
          <a:endParaRPr lang="en-US">
            <a:effectLst/>
          </a:endParaRPr>
        </a:p>
        <a:p>
          <a:pPr rtl="0" fontAlgn="base"/>
          <a:r>
            <a:rPr lang="en-US" sz="1100" b="0" i="0" u="none" strike="noStrike">
              <a:solidFill>
                <a:schemeClr val="lt1"/>
              </a:solidFill>
              <a:effectLst/>
              <a:latin typeface="+mn-lt"/>
              <a:ea typeface="+mn-ea"/>
              <a:cs typeface="+mn-cs"/>
            </a:rPr>
            <a:t>Q3 22 has been assigned a lower weight in comparison to Q2 22 due to massive growth in share price without any disclosed information behind the rise, though trade volume has been the highest in the last 5 years. Hence we considered a higher weight in comparison to Q1 22 considering relevancy.</a:t>
          </a:r>
        </a:p>
        <a:p>
          <a:pPr rtl="0" fontAlgn="base"/>
          <a:r>
            <a:rPr lang="en-US" sz="1100" b="0" i="0" u="none" strike="noStrike">
              <a:solidFill>
                <a:schemeClr val="lt1"/>
              </a:solidFill>
              <a:effectLst/>
              <a:latin typeface="+mn-lt"/>
              <a:ea typeface="+mn-ea"/>
              <a:cs typeface="+mn-cs"/>
            </a:rPr>
            <a:t>In Q1 2021, profit grew massively by 398%, hence was provided a higher weight</a:t>
          </a:r>
        </a:p>
        <a:p>
          <a:pPr rtl="0" fontAlgn="base"/>
          <a:r>
            <a:rPr lang="en-US" sz="1100" b="0" i="0" u="none" strike="noStrike">
              <a:solidFill>
                <a:schemeClr val="lt1"/>
              </a:solidFill>
              <a:effectLst/>
              <a:latin typeface="+mn-lt"/>
              <a:ea typeface="+mn-ea"/>
              <a:cs typeface="+mn-cs"/>
            </a:rPr>
            <a:t>In Q3 2019, Kohinoor issued 3.5crore worth of shares for expansion and was assigned a higher weight in comparison to the other quarters since it boosted their stock price in the next quarter.</a:t>
          </a:r>
        </a:p>
        <a:p>
          <a:pPr rtl="0"/>
          <a:r>
            <a:rPr lang="en-US"/>
            <a:t/>
          </a:r>
          <a:br>
            <a:rPr lang="en-US"/>
          </a:br>
          <a:r>
            <a:rPr lang="en-US" sz="1100" b="1" i="0" u="none" strike="noStrike">
              <a:solidFill>
                <a:schemeClr val="lt1"/>
              </a:solidFill>
              <a:effectLst/>
              <a:latin typeface="+mn-lt"/>
              <a:ea typeface="+mn-ea"/>
              <a:cs typeface="+mn-cs"/>
            </a:rPr>
            <a:t>BEXIMCO</a:t>
          </a:r>
          <a:endParaRPr lang="en-US">
            <a:effectLst/>
          </a:endParaRPr>
        </a:p>
        <a:p>
          <a:pPr rtl="0" fontAlgn="base"/>
          <a:r>
            <a:rPr lang="en-US" sz="1100" b="0" i="0" u="none" strike="noStrike">
              <a:solidFill>
                <a:schemeClr val="lt1"/>
              </a:solidFill>
              <a:effectLst/>
              <a:latin typeface="+mn-lt"/>
              <a:ea typeface="+mn-ea"/>
              <a:cs typeface="+mn-cs"/>
            </a:rPr>
            <a:t>Bilateral Agreement signed between Minister Group and Akash DTH in Q3 2022,.Hence has been assigned highest weight due to recency and relevancy</a:t>
          </a:r>
        </a:p>
        <a:p>
          <a:pPr rtl="0" fontAlgn="base"/>
          <a:r>
            <a:rPr lang="en-US" sz="1100" b="0" i="0" u="none" strike="noStrike">
              <a:solidFill>
                <a:schemeClr val="lt1"/>
              </a:solidFill>
              <a:effectLst/>
              <a:latin typeface="+mn-lt"/>
              <a:ea typeface="+mn-ea"/>
              <a:cs typeface="+mn-cs"/>
            </a:rPr>
            <a:t>A higher weight was assigned to Q1 22 due to Beximco’s sales nearly doubling, and profits growing even more.</a:t>
          </a:r>
        </a:p>
        <a:p>
          <a:pPr rtl="0" fontAlgn="base"/>
          <a:r>
            <a:rPr lang="en-US" sz="1100" b="0" i="0" u="none" strike="noStrike">
              <a:solidFill>
                <a:schemeClr val="lt1"/>
              </a:solidFill>
              <a:effectLst/>
              <a:latin typeface="+mn-lt"/>
              <a:ea typeface="+mn-ea"/>
              <a:cs typeface="+mn-cs"/>
            </a:rPr>
            <a:t>Beximco has been the key facilitator of the imports and exports of Covid-related drugs during the pandemic and has been assigned a higher weight in Q2 21</a:t>
          </a:r>
        </a:p>
        <a:p>
          <a:pPr rtl="0"/>
          <a:r>
            <a:rPr lang="en-US"/>
            <a:t/>
          </a:r>
          <a:br>
            <a:rPr lang="en-US"/>
          </a:br>
          <a:r>
            <a:rPr lang="en-US" sz="1100" b="1" i="0" u="none" strike="noStrike">
              <a:solidFill>
                <a:schemeClr val="lt1"/>
              </a:solidFill>
              <a:effectLst/>
              <a:latin typeface="+mn-lt"/>
              <a:ea typeface="+mn-ea"/>
              <a:cs typeface="+mn-cs"/>
            </a:rPr>
            <a:t>MPETROLEUM</a:t>
          </a:r>
          <a:endParaRPr lang="en-US">
            <a:effectLst/>
          </a:endParaRPr>
        </a:p>
        <a:p>
          <a:pPr rtl="0" fontAlgn="base"/>
          <a:r>
            <a:rPr lang="en-US" sz="1100" b="0" i="0" u="none" strike="noStrike">
              <a:solidFill>
                <a:schemeClr val="lt1"/>
              </a:solidFill>
              <a:effectLst/>
              <a:latin typeface="+mn-lt"/>
              <a:ea typeface="+mn-ea"/>
              <a:cs typeface="+mn-cs"/>
            </a:rPr>
            <a:t>Higher weight has been assigned to Q3 21 due to the agreement signed with Delta LP to sell LPG (Auto Gas) by establishing LPG (Auto Gas) Refueling Station parallel to the sale of Petroleum Oil through the Company's registered Fillings Stations, receiving 0.50tk commission per liter of sale.</a:t>
          </a:r>
        </a:p>
        <a:p>
          <a:pPr rtl="0" fontAlgn="base"/>
          <a:r>
            <a:rPr lang="en-US" sz="1100" b="0" i="0" u="none" strike="noStrike">
              <a:solidFill>
                <a:schemeClr val="lt1"/>
              </a:solidFill>
              <a:effectLst/>
              <a:latin typeface="+mn-lt"/>
              <a:ea typeface="+mn-ea"/>
              <a:cs typeface="+mn-cs"/>
            </a:rPr>
            <a:t>In Q3 20, a higher weight was assigned due to Meghna Petroleum signing sales deals of LPG for expansion with various companies including JMI Industrial Gas Ltd. </a:t>
          </a:r>
        </a:p>
        <a:p>
          <a:pPr rtl="0"/>
          <a:r>
            <a:rPr lang="en-US" sz="1100" b="0" i="0" u="none" strike="noStrike">
              <a:solidFill>
                <a:schemeClr val="lt1"/>
              </a:solidFill>
              <a:effectLst/>
              <a:latin typeface="+mn-lt"/>
              <a:ea typeface="+mn-ea"/>
              <a:cs typeface="+mn-cs"/>
            </a:rPr>
            <a:t>Source: </a:t>
          </a:r>
          <a:r>
            <a:rPr lang="en-US" sz="1100" b="0" i="0" u="sng" strike="noStrike">
              <a:solidFill>
                <a:schemeClr val="lt1"/>
              </a:solidFill>
              <a:effectLst/>
              <a:latin typeface="+mn-lt"/>
              <a:ea typeface="+mn-ea"/>
              <a:cs typeface="+mn-cs"/>
              <a:hlinkClick xmlns:r="http://schemas.openxmlformats.org/officeDocument/2006/relationships" r:id=""/>
            </a:rPr>
            <a:t>https://thefinancialexpress.com.bd/public/index.php/stock/meghna-petroleum-jmi-sign-deal-to-expand-lpg-business-1600593204</a:t>
          </a:r>
          <a:endParaRPr lang="en-US">
            <a:effectLst/>
          </a:endParaRPr>
        </a:p>
        <a:p>
          <a:pPr rtl="0"/>
          <a:r>
            <a:rPr lang="en-US" sz="1100" b="1" i="0" u="none" strike="noStrike">
              <a:solidFill>
                <a:schemeClr val="lt1"/>
              </a:solidFill>
              <a:effectLst/>
              <a:latin typeface="+mn-lt"/>
              <a:ea typeface="+mn-ea"/>
              <a:cs typeface="+mn-cs"/>
            </a:rPr>
            <a:t>DBH</a:t>
          </a:r>
          <a:endParaRPr lang="en-US">
            <a:effectLst/>
          </a:endParaRPr>
        </a:p>
        <a:p>
          <a:pPr rtl="0" fontAlgn="base"/>
          <a:r>
            <a:rPr lang="en-US" sz="1100" b="0" i="0" u="none" strike="noStrike">
              <a:solidFill>
                <a:schemeClr val="lt1"/>
              </a:solidFill>
              <a:effectLst/>
              <a:latin typeface="+mn-lt"/>
              <a:ea typeface="+mn-ea"/>
              <a:cs typeface="+mn-cs"/>
            </a:rPr>
            <a:t>Delta Brac Housing’s profit jumped 28% in Q2 22 and has been assigned the highest weight</a:t>
          </a:r>
        </a:p>
        <a:p>
          <a:pPr rtl="0"/>
          <a:r>
            <a:rPr lang="en-US" sz="1100" b="0" i="0" u="none" strike="noStrike">
              <a:solidFill>
                <a:schemeClr val="lt1"/>
              </a:solidFill>
              <a:effectLst/>
              <a:latin typeface="+mn-lt"/>
              <a:ea typeface="+mn-ea"/>
              <a:cs typeface="+mn-cs"/>
            </a:rPr>
            <a:t>Source: </a:t>
          </a:r>
          <a:r>
            <a:rPr lang="en-US" sz="1100" b="0" i="0" u="sng" strike="noStrike">
              <a:solidFill>
                <a:schemeClr val="lt1"/>
              </a:solidFill>
              <a:effectLst/>
              <a:latin typeface="+mn-lt"/>
              <a:ea typeface="+mn-ea"/>
              <a:cs typeface="+mn-cs"/>
              <a:hlinkClick xmlns:r="http://schemas.openxmlformats.org/officeDocument/2006/relationships" r:id=""/>
            </a:rPr>
            <a:t>https://www.thedailystar.net/business/news/delta-brac-housings-profit-jumps-28-3081706</a:t>
          </a:r>
          <a:endParaRPr lang="en-US">
            <a:effectLst/>
          </a:endParaRPr>
        </a:p>
        <a:p>
          <a:pPr rtl="0" fontAlgn="base"/>
          <a:r>
            <a:rPr lang="en-US"/>
            <a:t/>
          </a:r>
          <a:br>
            <a:rPr lang="en-US"/>
          </a:br>
          <a:r>
            <a:rPr lang="en-US"/>
            <a:t/>
          </a:r>
          <a:br>
            <a:rPr lang="en-US"/>
          </a:br>
          <a:r>
            <a:rPr lang="en-US" sz="1100" b="0" i="0" u="none" strike="noStrike">
              <a:solidFill>
                <a:schemeClr val="lt1"/>
              </a:solidFill>
              <a:effectLst/>
              <a:latin typeface="+mn-lt"/>
              <a:ea typeface="+mn-ea"/>
              <a:cs typeface="+mn-cs"/>
            </a:rPr>
            <a:t>Higher weights have been assigned for the most recent years due to relevance.</a:t>
          </a:r>
        </a:p>
        <a:p>
          <a:pPr rtl="0"/>
          <a:r>
            <a:rPr lang="en-US"/>
            <a:t/>
          </a:r>
          <a:br>
            <a:rPr lang="en-US"/>
          </a:br>
          <a:r>
            <a:rPr lang="en-US" sz="1100" b="1" i="0" u="none" strike="noStrike">
              <a:solidFill>
                <a:schemeClr val="lt1"/>
              </a:solidFill>
              <a:effectLst/>
              <a:latin typeface="+mn-lt"/>
              <a:ea typeface="+mn-ea"/>
              <a:cs typeface="+mn-cs"/>
            </a:rPr>
            <a:t>MARICO</a:t>
          </a:r>
          <a:endParaRPr lang="en-US">
            <a:effectLst/>
          </a:endParaRPr>
        </a:p>
        <a:p>
          <a:pPr rtl="0" fontAlgn="base"/>
          <a:r>
            <a:rPr lang="en-US" sz="1100" b="0" i="0" u="none" strike="noStrike">
              <a:solidFill>
                <a:schemeClr val="lt1"/>
              </a:solidFill>
              <a:effectLst/>
              <a:latin typeface="+mn-lt"/>
              <a:ea typeface="+mn-ea"/>
              <a:cs typeface="+mn-cs"/>
            </a:rPr>
            <a:t>Q3 22 was assigned a lower weight despite recency due to the expulsion from Tax Benefit</a:t>
          </a:r>
        </a:p>
        <a:p>
          <a:pPr rtl="0"/>
          <a:r>
            <a:rPr lang="en-US" sz="1100" b="0" i="0" u="none" strike="noStrike">
              <a:solidFill>
                <a:schemeClr val="lt1"/>
              </a:solidFill>
              <a:effectLst/>
              <a:latin typeface="+mn-lt"/>
              <a:ea typeface="+mn-ea"/>
              <a:cs typeface="+mn-cs"/>
            </a:rPr>
            <a:t>Source: https://www.thedailystar.net/business/economy/industries/tax-customes/news/berger-marico-united-power-may-miss-out-benefit-3045156</a:t>
          </a:r>
          <a:endParaRPr lang="en-US">
            <a:effectLst/>
          </a:endParaRPr>
        </a:p>
        <a:p>
          <a:pPr rtl="0" fontAlgn="base"/>
          <a:r>
            <a:rPr lang="en-US"/>
            <a:t/>
          </a:r>
          <a:br>
            <a:rPr lang="en-US"/>
          </a:br>
          <a:r>
            <a:rPr lang="en-US" sz="1100" b="0" i="0" u="none" strike="noStrike">
              <a:solidFill>
                <a:schemeClr val="lt1"/>
              </a:solidFill>
              <a:effectLst/>
              <a:latin typeface="+mn-lt"/>
              <a:ea typeface="+mn-ea"/>
              <a:cs typeface="+mn-cs"/>
            </a:rPr>
            <a:t>Q2 21 has been assigned a higher weight for Marico’s expansion investment of Tk 227cr in a new unit to establish a new manufacturing unit at the Bangabandhu Sheikh Mujib Shilpa Nagar (BSMSN) in Mirsarai, Chattogram as a part of its efforts to catch a greater share of the growing market for fast-moving consumer goods.</a:t>
          </a:r>
        </a:p>
        <a:p>
          <a:pPr rtl="0"/>
          <a:r>
            <a:rPr lang="en-US" sz="1100" b="0" i="0" u="none" strike="noStrike">
              <a:solidFill>
                <a:schemeClr val="lt1"/>
              </a:solidFill>
              <a:effectLst/>
              <a:latin typeface="+mn-lt"/>
              <a:ea typeface="+mn-ea"/>
              <a:cs typeface="+mn-cs"/>
            </a:rPr>
            <a:t>Source: https://www.thedailystar.net/business/economy/news/marico-invest-tk-227cr-new-unit-2105705</a:t>
          </a:r>
          <a:endParaRPr lang="en-US">
            <a:effectLst/>
          </a:endParaRPr>
        </a:p>
        <a:p>
          <a:pPr rtl="0" fontAlgn="base"/>
          <a:r>
            <a:rPr lang="en-US"/>
            <a:t/>
          </a:r>
          <a:br>
            <a:rPr lang="en-US"/>
          </a:br>
          <a:r>
            <a:rPr lang="en-US" sz="1100" b="0" i="0" u="none" strike="noStrike">
              <a:solidFill>
                <a:schemeClr val="lt1"/>
              </a:solidFill>
              <a:effectLst/>
              <a:latin typeface="+mn-lt"/>
              <a:ea typeface="+mn-ea"/>
              <a:cs typeface="+mn-cs"/>
            </a:rPr>
            <a:t>Marico made a record profit despite pandemic in Q4 2020 and hence was assigned the highest quarter weight for the year 2020.</a:t>
          </a:r>
        </a:p>
        <a:p>
          <a:pPr rtl="0"/>
          <a:r>
            <a:rPr lang="en-US"/>
            <a:t/>
          </a:r>
          <a:br>
            <a:rPr lang="en-US"/>
          </a:br>
          <a:r>
            <a:rPr lang="en-US" sz="1100" b="1" i="0" u="none" strike="noStrike">
              <a:solidFill>
                <a:schemeClr val="lt1"/>
              </a:solidFill>
              <a:effectLst/>
              <a:latin typeface="+mn-lt"/>
              <a:ea typeface="+mn-ea"/>
              <a:cs typeface="+mn-cs"/>
            </a:rPr>
            <a:t>OLYMPIC</a:t>
          </a:r>
          <a:endParaRPr lang="en-US">
            <a:effectLst/>
          </a:endParaRPr>
        </a:p>
        <a:p>
          <a:pPr rtl="0"/>
          <a:r>
            <a:rPr lang="en-US"/>
            <a:t/>
          </a:r>
          <a:br>
            <a:rPr lang="en-US"/>
          </a:br>
          <a:r>
            <a:rPr lang="en-US" sz="1100" b="1" i="0" u="none" strike="noStrike">
              <a:solidFill>
                <a:schemeClr val="lt1"/>
              </a:solidFill>
              <a:effectLst/>
              <a:latin typeface="+mn-lt"/>
              <a:ea typeface="+mn-ea"/>
              <a:cs typeface="+mn-cs"/>
            </a:rPr>
            <a:t>-    </a:t>
          </a:r>
          <a:r>
            <a:rPr lang="en-US" sz="1100" b="0" i="0" u="none" strike="noStrike">
              <a:solidFill>
                <a:schemeClr val="lt1"/>
              </a:solidFill>
              <a:effectLst/>
              <a:latin typeface="+mn-lt"/>
              <a:ea typeface="+mn-ea"/>
              <a:cs typeface="+mn-cs"/>
            </a:rPr>
            <a:t>Olympic invested for expansion in machinery,development works &amp; operations extension including an agreement with Lucerne Cocoa &amp; Chocolate Products Limited for 2 (two) years to sale their products under Olympic’s name in Q3 22 and has been assigned the highest weight.</a:t>
          </a:r>
          <a:endParaRPr lang="en-US">
            <a:effectLst/>
          </a:endParaRPr>
        </a:p>
        <a:p>
          <a:pPr rtl="0"/>
          <a:r>
            <a:rPr lang="en-US"/>
            <a:t/>
          </a:r>
          <a:br>
            <a:rPr lang="en-US"/>
          </a:br>
          <a:r>
            <a:rPr lang="en-US" sz="1100" b="0" i="0" u="none" strike="noStrike">
              <a:solidFill>
                <a:schemeClr val="lt1"/>
              </a:solidFill>
              <a:effectLst/>
              <a:latin typeface="+mn-lt"/>
              <a:ea typeface="+mn-ea"/>
              <a:cs typeface="+mn-cs"/>
            </a:rPr>
            <a:t>Source: </a:t>
          </a:r>
          <a:r>
            <a:rPr lang="en-US" sz="1100" b="0" i="0" u="sng" strike="noStrike">
              <a:solidFill>
                <a:schemeClr val="lt1"/>
              </a:solidFill>
              <a:effectLst/>
              <a:latin typeface="+mn-lt"/>
              <a:ea typeface="+mn-ea"/>
              <a:cs typeface="+mn-cs"/>
              <a:hlinkClick xmlns:r="http://schemas.openxmlformats.org/officeDocument/2006/relationships" r:id=""/>
            </a:rPr>
            <a:t>https://thefinancialexpress.com.bd/public/stock/olympic-industries-to-boost-production-capacity-1662101537</a:t>
          </a:r>
          <a:endParaRPr lang="en-US">
            <a:effectLst/>
          </a:endParaRPr>
        </a:p>
        <a:p>
          <a:pPr rtl="0" fontAlgn="base"/>
          <a:r>
            <a:rPr lang="en-US"/>
            <a:t/>
          </a:r>
          <a:br>
            <a:rPr lang="en-US"/>
          </a:br>
          <a:r>
            <a:rPr lang="en-US" sz="1100" b="0" i="0" u="none" strike="noStrike">
              <a:solidFill>
                <a:schemeClr val="lt1"/>
              </a:solidFill>
              <a:effectLst/>
              <a:latin typeface="+mn-lt"/>
              <a:ea typeface="+mn-ea"/>
              <a:cs typeface="+mn-cs"/>
            </a:rPr>
            <a:t>For Q4 2021, Olympic recorded the lowest earnings in 6 years and has been assigned the lower weight. </a:t>
          </a:r>
        </a:p>
        <a:p>
          <a:pPr rtl="0"/>
          <a:r>
            <a:rPr lang="en-US"/>
            <a:t/>
          </a:r>
          <a:br>
            <a:rPr lang="en-US"/>
          </a:br>
          <a:r>
            <a:rPr lang="en-US" sz="1100" b="1" i="0" u="none" strike="noStrike">
              <a:solidFill>
                <a:schemeClr val="lt1"/>
              </a:solidFill>
              <a:effectLst/>
              <a:latin typeface="+mn-lt"/>
              <a:ea typeface="+mn-ea"/>
              <a:cs typeface="+mn-cs"/>
            </a:rPr>
            <a:t>DSE</a:t>
          </a:r>
          <a:endParaRPr lang="en-US">
            <a:effectLst/>
          </a:endParaRPr>
        </a:p>
        <a:p>
          <a:pPr rtl="0" fontAlgn="base"/>
          <a:r>
            <a:rPr lang="en-US" sz="1100" b="0" i="0" u="none" strike="noStrike">
              <a:solidFill>
                <a:schemeClr val="lt1"/>
              </a:solidFill>
              <a:effectLst/>
              <a:latin typeface="+mn-lt"/>
              <a:ea typeface="+mn-ea"/>
              <a:cs typeface="+mn-cs"/>
            </a:rPr>
            <a:t>For DSEX, higher weights have been assigned to most recent years, and relevancy has been considered considering economic factors. Hence Q2 22, has been assigned a lower weight in comparison due to the supply-chain shock because of the Russia-Ukraine war and deficit in dollar reserves.</a:t>
          </a:r>
        </a:p>
        <a:p>
          <a:pPr rtl="0" fontAlgn="base"/>
          <a:r>
            <a:rPr lang="en-US" sz="1100" b="0" i="0" u="none" strike="noStrike">
              <a:solidFill>
                <a:schemeClr val="lt1"/>
              </a:solidFill>
              <a:effectLst/>
              <a:latin typeface="+mn-lt"/>
              <a:ea typeface="+mn-ea"/>
              <a:cs typeface="+mn-cs"/>
            </a:rPr>
            <a:t>The lowest weight has been assigned during the pandemic quarter, when market was on-and-off due to uncertainty of Covid-19</a:t>
          </a:r>
        </a:p>
        <a:p>
          <a:pPr algn="l"/>
          <a:endParaRPr lang="en-US" sz="1100"/>
        </a:p>
      </xdr:txBody>
    </xdr:sp>
    <xdr:clientData/>
  </xdr:twoCellAnchor>
  <xdr:twoCellAnchor>
    <xdr:from>
      <xdr:col>11</xdr:col>
      <xdr:colOff>297656</xdr:colOff>
      <xdr:row>1</xdr:row>
      <xdr:rowOff>11906</xdr:rowOff>
    </xdr:from>
    <xdr:to>
      <xdr:col>13</xdr:col>
      <xdr:colOff>119062</xdr:colOff>
      <xdr:row>5</xdr:row>
      <xdr:rowOff>83344</xdr:rowOff>
    </xdr:to>
    <xdr:cxnSp macro="">
      <xdr:nvCxnSpPr>
        <xdr:cNvPr id="4" name="Straight Arrow Connector 3"/>
        <xdr:cNvCxnSpPr/>
      </xdr:nvCxnSpPr>
      <xdr:spPr>
        <a:xfrm>
          <a:off x="9465469" y="214312"/>
          <a:ext cx="1488281" cy="881063"/>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10</xdr:col>
      <xdr:colOff>571500</xdr:colOff>
      <xdr:row>1</xdr:row>
      <xdr:rowOff>180974</xdr:rowOff>
    </xdr:from>
    <xdr:to>
      <xdr:col>15</xdr:col>
      <xdr:colOff>400050</xdr:colOff>
      <xdr:row>14</xdr:row>
      <xdr:rowOff>190500</xdr:rowOff>
    </xdr:to>
    <xdr:sp macro="" textlink="">
      <xdr:nvSpPr>
        <xdr:cNvPr id="2" name="Snip Diagonal Corner Rectangle 1"/>
        <xdr:cNvSpPr/>
      </xdr:nvSpPr>
      <xdr:spPr>
        <a:xfrm>
          <a:off x="9372600" y="380999"/>
          <a:ext cx="4019550" cy="2609851"/>
        </a:xfrm>
        <a:prstGeom prst="snip2DiagRect">
          <a:avLst/>
        </a:prstGeom>
        <a:solidFill>
          <a:srgbClr val="003366"/>
        </a:solidFill>
        <a:ln>
          <a:noFill/>
        </a:ln>
      </xdr:spPr>
      <xdr:style>
        <a:lnRef idx="0">
          <a:scrgbClr r="0" g="0" b="0"/>
        </a:lnRef>
        <a:fillRef idx="1002">
          <a:schemeClr val="dk2"/>
        </a:fillRef>
        <a:effectRef idx="0">
          <a:scrgbClr r="0" g="0" b="0"/>
        </a:effectRef>
        <a:fontRef idx="minor">
          <a:schemeClr val="lt1"/>
        </a:fontRef>
      </xdr:style>
      <xdr:txBody>
        <a:bodyPr vertOverflow="clip" horzOverflow="clip" rtlCol="0" anchor="t"/>
        <a:lstStyle/>
        <a:p>
          <a:pPr algn="l"/>
          <a:r>
            <a:rPr lang="en-US" b="0"/>
            <a:t>We have set respective weights according to the quarterly average returns of the fiscal years 2018, 2019,2020,2021, and up to 3rd quarters of 2022 after having calculated the quarterly averages to calculate the annualized Statistical calculations. After that, since we wanted to generate the best possible return due to the fact that during every fiscal year the market did not remain consistently stable, we decided to take quarterly weighted returns which were annualized for further calculations. In the years 2018 and 2019 the market was recovering from the liquidity crisis as well as the effects of the election, and then in 2020 the world was hit by Covid-19 pandemic</a:t>
          </a:r>
          <a:r>
            <a:rPr lang="en-US" b="1"/>
            <a:t>.</a:t>
          </a:r>
          <a:endParaRPr lang="en-US" sz="1100" b="1">
            <a:gradFill flip="none" rotWithShape="1">
              <a:gsLst>
                <a:gs pos="0">
                  <a:schemeClr val="lt1">
                    <a:shade val="30000"/>
                    <a:satMod val="115000"/>
                  </a:schemeClr>
                </a:gs>
                <a:gs pos="50000">
                  <a:schemeClr val="lt1">
                    <a:shade val="67500"/>
                    <a:satMod val="115000"/>
                  </a:schemeClr>
                </a:gs>
                <a:gs pos="100000">
                  <a:schemeClr val="lt1">
                    <a:shade val="100000"/>
                    <a:satMod val="115000"/>
                  </a:schemeClr>
                </a:gs>
              </a:gsLst>
              <a:path path="circle">
                <a:fillToRect t="100000" r="100000"/>
              </a:path>
              <a:tileRect l="-100000" b="-100000"/>
            </a:gradFill>
          </a:endParaRPr>
        </a:p>
      </xdr:txBody>
    </xdr:sp>
    <xdr:clientData/>
  </xdr:twoCellAnchor>
  <xdr:twoCellAnchor>
    <xdr:from>
      <xdr:col>9</xdr:col>
      <xdr:colOff>828675</xdr:colOff>
      <xdr:row>0</xdr:row>
      <xdr:rowOff>190500</xdr:rowOff>
    </xdr:from>
    <xdr:to>
      <xdr:col>13</xdr:col>
      <xdr:colOff>66675</xdr:colOff>
      <xdr:row>1</xdr:row>
      <xdr:rowOff>180974</xdr:rowOff>
    </xdr:to>
    <xdr:cxnSp macro="">
      <xdr:nvCxnSpPr>
        <xdr:cNvPr id="6" name="Elbow Connector 5"/>
        <xdr:cNvCxnSpPr>
          <a:endCxn id="2" idx="3"/>
        </xdr:cNvCxnSpPr>
      </xdr:nvCxnSpPr>
      <xdr:spPr>
        <a:xfrm>
          <a:off x="8791575" y="190500"/>
          <a:ext cx="2590800" cy="190499"/>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600075</xdr:colOff>
      <xdr:row>20</xdr:row>
      <xdr:rowOff>9525</xdr:rowOff>
    </xdr:from>
    <xdr:to>
      <xdr:col>14</xdr:col>
      <xdr:colOff>123825</xdr:colOff>
      <xdr:row>26</xdr:row>
      <xdr:rowOff>19050</xdr:rowOff>
    </xdr:to>
    <xdr:sp macro="" textlink="">
      <xdr:nvSpPr>
        <xdr:cNvPr id="7" name="Left Arrow Callout 6"/>
        <xdr:cNvSpPr/>
      </xdr:nvSpPr>
      <xdr:spPr>
        <a:xfrm>
          <a:off x="10239375" y="4010025"/>
          <a:ext cx="2038350" cy="1209675"/>
        </a:xfrm>
        <a:prstGeom prst="leftArrowCallout">
          <a:avLst/>
        </a:prstGeom>
        <a:solidFill>
          <a:srgbClr val="00336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t>Monthly Excess returns has been calculated to show the deviation of each data from the mean.</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12</xdr:col>
      <xdr:colOff>257175</xdr:colOff>
      <xdr:row>0</xdr:row>
      <xdr:rowOff>0</xdr:rowOff>
    </xdr:from>
    <xdr:to>
      <xdr:col>16</xdr:col>
      <xdr:colOff>428625</xdr:colOff>
      <xdr:row>16</xdr:row>
      <xdr:rowOff>57150</xdr:rowOff>
    </xdr:to>
    <xdr:sp macro="" textlink="">
      <xdr:nvSpPr>
        <xdr:cNvPr id="2" name="Snip Diagonal Corner Rectangle 1"/>
        <xdr:cNvSpPr/>
      </xdr:nvSpPr>
      <xdr:spPr>
        <a:xfrm>
          <a:off x="13011150" y="0"/>
          <a:ext cx="3524250" cy="3257550"/>
        </a:xfrm>
        <a:prstGeom prst="snip2DiagRect">
          <a:avLst/>
        </a:prstGeom>
        <a:solidFill>
          <a:srgbClr val="00336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t>A shrinkage factor of 40% was applied because we are assuming that 60% of the historical relationships between the assets in the portfolio are projected to persist in the future. The DSE market is also getting more developed after the Chinese conglomerate took over 25% of the DSE, for which the market will become more speculative compared to the past. Moreover, 2018 has been a depressing year because of the downward trend in the stock market. The major reasons for such a downward trend are the liquidity crisis the banks have been facing and also the election. We estimate that 40% of the links between the assets will change from their previous state.</a:t>
          </a:r>
          <a:endParaRPr lang="en-US" sz="1100"/>
        </a:p>
      </xdr:txBody>
    </xdr:sp>
    <xdr:clientData/>
  </xdr:twoCellAnchor>
  <xdr:twoCellAnchor>
    <xdr:from>
      <xdr:col>10</xdr:col>
      <xdr:colOff>1009651</xdr:colOff>
      <xdr:row>0</xdr:row>
      <xdr:rowOff>152399</xdr:rowOff>
    </xdr:from>
    <xdr:to>
      <xdr:col>12</xdr:col>
      <xdr:colOff>257176</xdr:colOff>
      <xdr:row>8</xdr:row>
      <xdr:rowOff>28574</xdr:rowOff>
    </xdr:to>
    <xdr:cxnSp macro="">
      <xdr:nvCxnSpPr>
        <xdr:cNvPr id="4" name="Elbow Connector 3"/>
        <xdr:cNvCxnSpPr>
          <a:endCxn id="2" idx="2"/>
        </xdr:cNvCxnSpPr>
      </xdr:nvCxnSpPr>
      <xdr:spPr>
        <a:xfrm rot="16200000" flipH="1">
          <a:off x="11720513" y="338137"/>
          <a:ext cx="1476375" cy="1104900"/>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285749</xdr:colOff>
      <xdr:row>14</xdr:row>
      <xdr:rowOff>47625</xdr:rowOff>
    </xdr:from>
    <xdr:to>
      <xdr:col>12</xdr:col>
      <xdr:colOff>561975</xdr:colOff>
      <xdr:row>35</xdr:row>
      <xdr:rowOff>180975</xdr:rowOff>
    </xdr:to>
    <xdr:sp macro="" textlink="">
      <xdr:nvSpPr>
        <xdr:cNvPr id="5" name="Snip Diagonal Corner Rectangle 4"/>
        <xdr:cNvSpPr/>
      </xdr:nvSpPr>
      <xdr:spPr>
        <a:xfrm>
          <a:off x="10344149" y="2847975"/>
          <a:ext cx="2971801" cy="4333875"/>
        </a:xfrm>
        <a:prstGeom prst="snip2DiagRect">
          <a:avLst/>
        </a:prstGeom>
        <a:solidFill>
          <a:srgbClr val="00336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t>Var-Covar Matrix is important to inferential statistics. It calculates the relationship between the assets in our portfolio in terms of both distance and magnitude. We have calculated the Variance-Covariance Matrix by using the excess returns of our stocks, and it is known to entirely represent the historical relationship between our portfolio's assets. We calculated the Var-Covar Matrix, which indicates that, based on the historical relationship, we are assuming what the future relationship between the stocks will be. Although prior data might provide us with useful insights, we shouldn't assume the future will mirror the past. We needed to figure out size and distance, so we used the Shrinkage Factor to make matrix calculations and our own judgment match up.</a:t>
          </a:r>
          <a:endParaRPr lang="en-US" sz="1100"/>
        </a:p>
      </xdr:txBody>
    </xdr:sp>
    <xdr:clientData/>
  </xdr:twoCellAnchor>
  <xdr:twoCellAnchor>
    <xdr:from>
      <xdr:col>8</xdr:col>
      <xdr:colOff>1104900</xdr:colOff>
      <xdr:row>10</xdr:row>
      <xdr:rowOff>76200</xdr:rowOff>
    </xdr:from>
    <xdr:to>
      <xdr:col>10</xdr:col>
      <xdr:colOff>933450</xdr:colOff>
      <xdr:row>14</xdr:row>
      <xdr:rowOff>47625</xdr:rowOff>
    </xdr:to>
    <xdr:cxnSp macro="">
      <xdr:nvCxnSpPr>
        <xdr:cNvPr id="7" name="Elbow Connector 6"/>
        <xdr:cNvCxnSpPr>
          <a:endCxn id="5" idx="3"/>
        </xdr:cNvCxnSpPr>
      </xdr:nvCxnSpPr>
      <xdr:spPr>
        <a:xfrm>
          <a:off x="9915525" y="2076450"/>
          <a:ext cx="1914525" cy="771525"/>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9525</xdr:colOff>
      <xdr:row>18</xdr:row>
      <xdr:rowOff>19049</xdr:rowOff>
    </xdr:from>
    <xdr:to>
      <xdr:col>16</xdr:col>
      <xdr:colOff>581025</xdr:colOff>
      <xdr:row>31</xdr:row>
      <xdr:rowOff>66675</xdr:rowOff>
    </xdr:to>
    <xdr:sp macro="" textlink="">
      <xdr:nvSpPr>
        <xdr:cNvPr id="8" name="Snip Single Corner Rectangle 7"/>
        <xdr:cNvSpPr/>
      </xdr:nvSpPr>
      <xdr:spPr>
        <a:xfrm>
          <a:off x="13601700" y="3619499"/>
          <a:ext cx="3086100" cy="2647951"/>
        </a:xfrm>
        <a:prstGeom prst="snip1Rect">
          <a:avLst/>
        </a:prstGeom>
        <a:solidFill>
          <a:srgbClr val="00336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effectLst/>
            </a:rPr>
            <a:t>Correlation is the measurement of a relationship. It shows how asset classes are historically related to one another. We know that every asset in our portfolio has some degree of relationship with one another. Moreover, a movement in the same direction would indicate that they are positively correlated and a movement in the opposite direction would indicate that they are negatively correlated. By interpreting the correlation matrix, we can maximize our profits and/or minimize our risk.</a:t>
          </a:r>
        </a:p>
        <a:p>
          <a:pPr algn="l"/>
          <a:endParaRPr lang="en-US" sz="1100"/>
        </a:p>
      </xdr:txBody>
    </xdr:sp>
    <xdr:clientData/>
  </xdr:twoCellAnchor>
  <xdr:twoCellAnchor>
    <xdr:from>
      <xdr:col>8</xdr:col>
      <xdr:colOff>1228725</xdr:colOff>
      <xdr:row>30</xdr:row>
      <xdr:rowOff>123825</xdr:rowOff>
    </xdr:from>
    <xdr:to>
      <xdr:col>14</xdr:col>
      <xdr:colOff>714375</xdr:colOff>
      <xdr:row>31</xdr:row>
      <xdr:rowOff>66675</xdr:rowOff>
    </xdr:to>
    <xdr:cxnSp macro="">
      <xdr:nvCxnSpPr>
        <xdr:cNvPr id="10" name="Elbow Connector 9"/>
        <xdr:cNvCxnSpPr>
          <a:endCxn id="8" idx="1"/>
        </xdr:cNvCxnSpPr>
      </xdr:nvCxnSpPr>
      <xdr:spPr>
        <a:xfrm>
          <a:off x="10039350" y="6124575"/>
          <a:ext cx="5105400" cy="142875"/>
        </a:xfrm>
        <a:prstGeom prst="bentConnector4">
          <a:avLst>
            <a:gd name="adj1" fmla="val 3731"/>
            <a:gd name="adj2" fmla="val 12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19049</xdr:colOff>
      <xdr:row>58</xdr:row>
      <xdr:rowOff>123825</xdr:rowOff>
    </xdr:from>
    <xdr:to>
      <xdr:col>7</xdr:col>
      <xdr:colOff>285749</xdr:colOff>
      <xdr:row>74</xdr:row>
      <xdr:rowOff>123825</xdr:rowOff>
    </xdr:to>
    <xdr:graphicFrame macro="">
      <xdr:nvGraphicFramePr>
        <xdr:cNvPr id="3" name="Chart 2">
          <a:extLst>
            <a:ext uri="{FF2B5EF4-FFF2-40B4-BE49-F238E27FC236}">
              <a16:creationId xmlns:a16="http://schemas.microsoft.com/office/drawing/2014/main" id="{00000000-0008-0000-08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419099</xdr:colOff>
      <xdr:row>6</xdr:row>
      <xdr:rowOff>0</xdr:rowOff>
    </xdr:from>
    <xdr:to>
      <xdr:col>14</xdr:col>
      <xdr:colOff>695325</xdr:colOff>
      <xdr:row>22</xdr:row>
      <xdr:rowOff>38100</xdr:rowOff>
    </xdr:to>
    <xdr:sp macro="" textlink="">
      <xdr:nvSpPr>
        <xdr:cNvPr id="2" name="Snip Diagonal Corner Rectangle 1"/>
        <xdr:cNvSpPr/>
      </xdr:nvSpPr>
      <xdr:spPr>
        <a:xfrm>
          <a:off x="6105524" y="1200150"/>
          <a:ext cx="6981826" cy="3238500"/>
        </a:xfrm>
        <a:prstGeom prst="snip2DiagRect">
          <a:avLst/>
        </a:prstGeom>
        <a:solidFill>
          <a:srgbClr val="00336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t>Modern portfolio theory argues that an investment's risk and return characteristics should not be viewed alone, but should be evaluated by how the investment affects the overall portfolio's risk and return. It is a theory on how risk-averse investors can construct portfolios to optimize or maximize expected return based on a given level of market risk, emphasizing that risk is an inherent part of higher reward. According to this theory, it's possible to construct an efficient frontier of optimal portfolios offering the maximum possible expected return for a given level of risk. Moreover, Harry Markowitz suggested that risk and return will never have a linear relationship. So, The Mean-Variance Portfolio model theoretically proves that the relationship between risk and return is not linear. It is convex. It is a form of technical analysis and heavily relies on historical data.This model refers to looking at the past while predicting for the future. Hence It is not very practical as it does not take into account the other investors in the market and assumes that the market only has the stocks in our portfolio. We allocated weights randomly to Portfolio A &amp; B mostly based on the Market Cap &amp; Share price of the stocks ( with minor adjustments for one or two). The randomly distributed weights were combined to calculate the Portfolio Expected Returns.Based on the expected return and standard deviation in combination with different proportion of weights for the portfolios we chose the most optimal one</a:t>
          </a:r>
          <a:endParaRPr lang="en-US" sz="1100"/>
        </a:p>
      </xdr:txBody>
    </xdr:sp>
    <xdr:clientData/>
  </xdr:twoCellAnchor>
  <xdr:twoCellAnchor>
    <xdr:from>
      <xdr:col>4</xdr:col>
      <xdr:colOff>466724</xdr:colOff>
      <xdr:row>24</xdr:row>
      <xdr:rowOff>1</xdr:rowOff>
    </xdr:from>
    <xdr:to>
      <xdr:col>10</xdr:col>
      <xdr:colOff>771525</xdr:colOff>
      <xdr:row>46</xdr:row>
      <xdr:rowOff>133351</xdr:rowOff>
    </xdr:to>
    <xdr:graphicFrame macro="">
      <xdr:nvGraphicFramePr>
        <xdr:cNvPr id="4"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9</xdr:col>
      <xdr:colOff>131445</xdr:colOff>
      <xdr:row>32</xdr:row>
      <xdr:rowOff>36755</xdr:rowOff>
    </xdr:from>
    <xdr:to>
      <xdr:col>13</xdr:col>
      <xdr:colOff>317463</xdr:colOff>
      <xdr:row>47</xdr:row>
      <xdr:rowOff>32274</xdr:rowOff>
    </xdr:to>
    <xdr:graphicFrame macro="">
      <xdr:nvGraphicFramePr>
        <xdr:cNvPr id="3" name="Chart 2">
          <a:extLst>
            <a:ext uri="{FF2B5EF4-FFF2-40B4-BE49-F238E27FC236}">
              <a16:creationId xmlns:a16="http://schemas.microsoft.com/office/drawing/2014/main" id="{00000000-0008-0000-0A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470648</xdr:colOff>
      <xdr:row>8</xdr:row>
      <xdr:rowOff>11208</xdr:rowOff>
    </xdr:from>
    <xdr:to>
      <xdr:col>19</xdr:col>
      <xdr:colOff>78442</xdr:colOff>
      <xdr:row>15</xdr:row>
      <xdr:rowOff>168090</xdr:rowOff>
    </xdr:to>
    <xdr:sp macro="" textlink="">
      <xdr:nvSpPr>
        <xdr:cNvPr id="4" name="Snip Single Corner Rectangle 3"/>
        <xdr:cNvSpPr/>
      </xdr:nvSpPr>
      <xdr:spPr>
        <a:xfrm>
          <a:off x="15318442" y="1535208"/>
          <a:ext cx="4191000" cy="1501588"/>
        </a:xfrm>
        <a:prstGeom prst="snip1Rect">
          <a:avLst/>
        </a:prstGeom>
        <a:solidFill>
          <a:srgbClr val="00336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t>Capital Asset Pricing Model (CAPM) adjusted portfolios take into account the risk free rate, the volatility of assets and the market risk premium. This fundamental model mitigates two assumptions of the Mean-Variance portfolio model (no other investors and no other stocks in the market). In this project we have created two portfolios with CAPM adjustment.</a:t>
          </a:r>
          <a:endParaRPr lang="en-US" sz="1100"/>
        </a:p>
      </xdr:txBody>
    </xdr:sp>
    <xdr:clientData/>
  </xdr:twoCellAnchor>
  <xdr:twoCellAnchor>
    <xdr:from>
      <xdr:col>15</xdr:col>
      <xdr:colOff>56029</xdr:colOff>
      <xdr:row>15</xdr:row>
      <xdr:rowOff>89648</xdr:rowOff>
    </xdr:from>
    <xdr:to>
      <xdr:col>21</xdr:col>
      <xdr:colOff>235324</xdr:colOff>
      <xdr:row>29</xdr:row>
      <xdr:rowOff>156882</xdr:rowOff>
    </xdr:to>
    <xdr:sp macro="" textlink="">
      <xdr:nvSpPr>
        <xdr:cNvPr id="2" name="Snip Diagonal Corner Rectangle 1"/>
        <xdr:cNvSpPr/>
      </xdr:nvSpPr>
      <xdr:spPr>
        <a:xfrm>
          <a:off x="16125264" y="2958354"/>
          <a:ext cx="5221942" cy="2835087"/>
        </a:xfrm>
        <a:prstGeom prst="snip2DiagRect">
          <a:avLst/>
        </a:prstGeom>
        <a:solidFill>
          <a:srgbClr val="00336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t>We have constructed a Capital Market Line (CML) on the same diagram with our efficient frontier for the first portfolio. A vector has been extended from expected return level of 6.04% at an approximate 45 degree angle towards the efficient frontier. The CML intersects the efficient frontier at a point which is the market portfolio.The market portfolio reflects that at this point all the investors are in agreement in terms of minimum returns. This adjustment accounts for the assumption that there are no investors in the market in the Mean-Variance model. The CML construction allows to label another set of infeasible portfolios (portfolios with less than 9.59% returns on the efficient frontier). The CML adjustment also aids in determining if the optimal portfolio is overvalued or undervalued. Our efficient frontier intersects with CML which makes our optimal portfolio Fundamentally Undervalued as we have created a combination which allows us to earn more than what the market expects.</a:t>
          </a:r>
          <a:endParaRPr lang="en-US" sz="1100"/>
        </a:p>
      </xdr:txBody>
    </xdr:sp>
    <xdr:clientData/>
  </xdr:twoCellAnchor>
</xdr:wsDr>
</file>

<file path=xl/drawings/drawing10.xml><?xml version="1.0" encoding="utf-8"?>
<xdr:wsDr xmlns:xdr="http://schemas.openxmlformats.org/drawingml/2006/spreadsheetDrawing" xmlns:a="http://schemas.openxmlformats.org/drawingml/2006/main">
  <xdr:absoluteAnchor>
    <xdr:pos x="0" y="0"/>
    <xdr:ext cx="9306393" cy="6081947"/>
    <xdr:graphicFrame macro="">
      <xdr:nvGraphicFramePr>
        <xdr:cNvPr id="2" name="Chart 1">
          <a:extLst>
            <a:ext uri="{FF2B5EF4-FFF2-40B4-BE49-F238E27FC236}">
              <a16:creationId xmlns:a16="http://schemas.microsoft.com/office/drawing/2014/main" id="{00000000-0008-0000-0B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1.xml><?xml version="1.0" encoding="utf-8"?>
<c:userShapes xmlns:c="http://schemas.openxmlformats.org/drawingml/2006/chart">
  <cdr:relSizeAnchor xmlns:cdr="http://schemas.openxmlformats.org/drawingml/2006/chartDrawing">
    <cdr:from>
      <cdr:x>0.05956</cdr:x>
      <cdr:y>0.0706</cdr:y>
    </cdr:from>
    <cdr:to>
      <cdr:x>0.82383</cdr:x>
      <cdr:y>0.77664</cdr:y>
    </cdr:to>
    <cdr:cxnSp macro="">
      <cdr:nvCxnSpPr>
        <cdr:cNvPr id="3" name="Straight Connector 2">
          <a:extLst xmlns:a="http://schemas.openxmlformats.org/drawingml/2006/main">
            <a:ext uri="{FF2B5EF4-FFF2-40B4-BE49-F238E27FC236}">
              <a16:creationId xmlns:a16="http://schemas.microsoft.com/office/drawing/2014/main" id="{13CACD91-F74F-30B0-4503-1C050213DD84}"/>
            </a:ext>
          </a:extLst>
        </cdr:cNvPr>
        <cdr:cNvCxnSpPr/>
      </cdr:nvCxnSpPr>
      <cdr:spPr>
        <a:xfrm xmlns:a="http://schemas.openxmlformats.org/drawingml/2006/main" flipV="1">
          <a:off x="554324" y="429406"/>
          <a:ext cx="7112520" cy="4294058"/>
        </a:xfrm>
        <a:prstGeom xmlns:a="http://schemas.openxmlformats.org/drawingml/2006/main" prst="line">
          <a:avLst/>
        </a:prstGeom>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drawings/drawing12.xml><?xml version="1.0" encoding="utf-8"?>
<xdr:wsDr xmlns:xdr="http://schemas.openxmlformats.org/drawingml/2006/spreadsheetDrawing" xmlns:a="http://schemas.openxmlformats.org/drawingml/2006/main">
  <xdr:twoCellAnchor>
    <xdr:from>
      <xdr:col>8</xdr:col>
      <xdr:colOff>253093</xdr:colOff>
      <xdr:row>20</xdr:row>
      <xdr:rowOff>38100</xdr:rowOff>
    </xdr:from>
    <xdr:to>
      <xdr:col>13</xdr:col>
      <xdr:colOff>639536</xdr:colOff>
      <xdr:row>36</xdr:row>
      <xdr:rowOff>73478</xdr:rowOff>
    </xdr:to>
    <xdr:graphicFrame macro="">
      <xdr:nvGraphicFramePr>
        <xdr:cNvPr id="5" name="Chart 4">
          <a:extLst>
            <a:ext uri="{FF2B5EF4-FFF2-40B4-BE49-F238E27FC236}">
              <a16:creationId xmlns:a16="http://schemas.microsoft.com/office/drawing/2014/main" id="{00000000-0008-0000-0C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807720</xdr:colOff>
      <xdr:row>45</xdr:row>
      <xdr:rowOff>140970</xdr:rowOff>
    </xdr:from>
    <xdr:to>
      <xdr:col>8</xdr:col>
      <xdr:colOff>640080</xdr:colOff>
      <xdr:row>60</xdr:row>
      <xdr:rowOff>26670</xdr:rowOff>
    </xdr:to>
    <xdr:graphicFrame macro="">
      <xdr:nvGraphicFramePr>
        <xdr:cNvPr id="2" name="Chart 1">
          <a:extLst>
            <a:ext uri="{FF2B5EF4-FFF2-40B4-BE49-F238E27FC236}">
              <a16:creationId xmlns:a16="http://schemas.microsoft.com/office/drawing/2014/main" id="{0B02FC1A-7F9B-5ADD-EDDC-54876BFE05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598713</xdr:colOff>
      <xdr:row>8</xdr:row>
      <xdr:rowOff>81642</xdr:rowOff>
    </xdr:from>
    <xdr:to>
      <xdr:col>17</xdr:col>
      <xdr:colOff>204107</xdr:colOff>
      <xdr:row>19</xdr:row>
      <xdr:rowOff>27214</xdr:rowOff>
    </xdr:to>
    <xdr:sp macro="" textlink="">
      <xdr:nvSpPr>
        <xdr:cNvPr id="3" name="Snip Diagonal Corner Rectangle 2"/>
        <xdr:cNvSpPr/>
      </xdr:nvSpPr>
      <xdr:spPr>
        <a:xfrm>
          <a:off x="10178142" y="1496785"/>
          <a:ext cx="7198179" cy="2081893"/>
        </a:xfrm>
        <a:prstGeom prst="snip2DiagRect">
          <a:avLst/>
        </a:prstGeom>
        <a:solidFill>
          <a:srgbClr val="00336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S</a:t>
          </a:r>
          <a:r>
            <a:rPr lang="en-US"/>
            <a:t>Instead of using weighted average of past returns, we have used the formula of CAPM for calculating expected return. Incorporating the CAPM formula takes into account the minimum expectation of investors in the market and the average returns of the market while developing the efficient frontier. The risk free rate taken is 6.04% (3 month T-Bond Rate), market risk premium is 6.28% (Annualized Weighted Market Return) and for volatility of stocks the individual beta of the assets in the portfolio have been used. Expected returns for each asset are calculated followed by statistical calculations for Portfolio A and B in order to plot the efficient frontier.The CAPM adjusted mean-variance portfolio still doesn’t mitigate the assumption that the past reflects the future despite taking more considerations into account while forming the optimal portfolio. We still use historic data in our computation which is why the CAPM adjusted mean-variance portfolio does not depict the real scenario for the investment decision.</a:t>
          </a:r>
          <a:endParaRPr 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8</xdr:col>
      <xdr:colOff>236856</xdr:colOff>
      <xdr:row>17</xdr:row>
      <xdr:rowOff>3493</xdr:rowOff>
    </xdr:from>
    <xdr:to>
      <xdr:col>13</xdr:col>
      <xdr:colOff>601981</xdr:colOff>
      <xdr:row>33</xdr:row>
      <xdr:rowOff>78423</xdr:rowOff>
    </xdr:to>
    <xdr:graphicFrame macro="">
      <xdr:nvGraphicFramePr>
        <xdr:cNvPr id="2" name="Chart 1">
          <a:extLst>
            <a:ext uri="{FF2B5EF4-FFF2-40B4-BE49-F238E27FC236}">
              <a16:creationId xmlns:a16="http://schemas.microsoft.com/office/drawing/2014/main" id="{00000000-0008-0000-0D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144780</xdr:colOff>
      <xdr:row>45</xdr:row>
      <xdr:rowOff>11430</xdr:rowOff>
    </xdr:from>
    <xdr:to>
      <xdr:col>7</xdr:col>
      <xdr:colOff>1577340</xdr:colOff>
      <xdr:row>59</xdr:row>
      <xdr:rowOff>87630</xdr:rowOff>
    </xdr:to>
    <xdr:graphicFrame macro="">
      <xdr:nvGraphicFramePr>
        <xdr:cNvPr id="3" name="Chart 2">
          <a:extLst>
            <a:ext uri="{FF2B5EF4-FFF2-40B4-BE49-F238E27FC236}">
              <a16:creationId xmlns:a16="http://schemas.microsoft.com/office/drawing/2014/main" id="{00000000-0008-0000-0D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257174</xdr:colOff>
      <xdr:row>1</xdr:row>
      <xdr:rowOff>47625</xdr:rowOff>
    </xdr:from>
    <xdr:to>
      <xdr:col>13</xdr:col>
      <xdr:colOff>361949</xdr:colOff>
      <xdr:row>15</xdr:row>
      <xdr:rowOff>133351</xdr:rowOff>
    </xdr:to>
    <xdr:sp macro="" textlink="">
      <xdr:nvSpPr>
        <xdr:cNvPr id="4" name="Snip Diagonal Corner Rectangle 3"/>
        <xdr:cNvSpPr/>
      </xdr:nvSpPr>
      <xdr:spPr>
        <a:xfrm>
          <a:off x="11420474" y="209550"/>
          <a:ext cx="2619375" cy="2676526"/>
        </a:xfrm>
        <a:prstGeom prst="snip2DiagRect">
          <a:avLst/>
        </a:prstGeom>
        <a:solidFill>
          <a:srgbClr val="00336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t>Capital Asset Pricing Model (CAPM) adjusted portfolios take into account the risk free rate, the volatility of assets and the market risk premium. This fundamental model mitigates two assumptions of the Mean-Variance portfolio model (no other investors and no other stocks in the market). In this project we have created two portfolios with CAPM adjustment.</a:t>
          </a:r>
          <a:endParaRPr lang="en-US" sz="1100"/>
        </a:p>
      </xdr:txBody>
    </xdr:sp>
    <xdr:clientData/>
  </xdr:twoCellAnchor>
</xdr:wsDr>
</file>

<file path=xl/drawings/drawing14.xml><?xml version="1.0" encoding="utf-8"?>
<c:userShapes xmlns:c="http://schemas.openxmlformats.org/drawingml/2006/chart">
  <cdr:relSizeAnchor xmlns:cdr="http://schemas.openxmlformats.org/drawingml/2006/chartDrawing">
    <cdr:from>
      <cdr:x>0.12571</cdr:x>
      <cdr:y>0.24376</cdr:y>
    </cdr:from>
    <cdr:to>
      <cdr:x>0.40794</cdr:x>
      <cdr:y>0.4105</cdr:y>
    </cdr:to>
    <cdr:cxnSp macro="">
      <cdr:nvCxnSpPr>
        <cdr:cNvPr id="3" name="Straight Connector 2">
          <a:extLst xmlns:a="http://schemas.openxmlformats.org/drawingml/2006/main">
            <a:ext uri="{FF2B5EF4-FFF2-40B4-BE49-F238E27FC236}">
              <a16:creationId xmlns:a16="http://schemas.microsoft.com/office/drawing/2014/main" id="{BAFF627C-9377-F92F-D419-179341F506C2}"/>
            </a:ext>
          </a:extLst>
        </cdr:cNvPr>
        <cdr:cNvCxnSpPr/>
      </cdr:nvCxnSpPr>
      <cdr:spPr>
        <a:xfrm xmlns:a="http://schemas.openxmlformats.org/drawingml/2006/main" flipV="1">
          <a:off x="572769" y="682307"/>
          <a:ext cx="1285875" cy="466726"/>
        </a:xfrm>
        <a:prstGeom xmlns:a="http://schemas.openxmlformats.org/drawingml/2006/main" prst="line">
          <a:avLst/>
        </a:prstGeom>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drawings/drawing15.xml><?xml version="1.0" encoding="utf-8"?>
<xdr:wsDr xmlns:xdr="http://schemas.openxmlformats.org/drawingml/2006/spreadsheetDrawing" xmlns:a="http://schemas.openxmlformats.org/drawingml/2006/main">
  <xdr:twoCellAnchor>
    <xdr:from>
      <xdr:col>18</xdr:col>
      <xdr:colOff>622299</xdr:colOff>
      <xdr:row>1</xdr:row>
      <xdr:rowOff>9524</xdr:rowOff>
    </xdr:from>
    <xdr:to>
      <xdr:col>27</xdr:col>
      <xdr:colOff>488951</xdr:colOff>
      <xdr:row>57</xdr:row>
      <xdr:rowOff>171450</xdr:rowOff>
    </xdr:to>
    <xdr:sp macro="" textlink="">
      <xdr:nvSpPr>
        <xdr:cNvPr id="3" name="Snip Diagonal Corner Rectangle 2"/>
        <xdr:cNvSpPr/>
      </xdr:nvSpPr>
      <xdr:spPr>
        <a:xfrm>
          <a:off x="20021549" y="200024"/>
          <a:ext cx="7439027" cy="10639426"/>
        </a:xfrm>
        <a:prstGeom prst="snip2DiagRect">
          <a:avLst/>
        </a:prstGeom>
        <a:solidFill>
          <a:srgbClr val="00336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rtl="0"/>
          <a:r>
            <a:rPr lang="en-US" sz="1100" b="0" i="0" u="none" strike="noStrike">
              <a:solidFill>
                <a:schemeClr val="lt1"/>
              </a:solidFill>
              <a:effectLst/>
              <a:latin typeface="+mn-lt"/>
              <a:ea typeface="+mn-ea"/>
              <a:cs typeface="+mn-cs"/>
            </a:rPr>
            <a:t>BLM JUSTIFICATION</a:t>
          </a:r>
          <a:endParaRPr lang="en-US">
            <a:effectLst/>
          </a:endParaRPr>
        </a:p>
        <a:p>
          <a:pPr rtl="0"/>
          <a:r>
            <a:rPr lang="en-US"/>
            <a:t/>
          </a:r>
          <a:br>
            <a:rPr lang="en-US"/>
          </a:br>
          <a:r>
            <a:rPr lang="en-US" sz="1100" b="0" i="0" u="none" strike="noStrike">
              <a:solidFill>
                <a:schemeClr val="lt1"/>
              </a:solidFill>
              <a:effectLst/>
              <a:latin typeface="+mn-lt"/>
              <a:ea typeface="+mn-ea"/>
              <a:cs typeface="+mn-cs"/>
            </a:rPr>
            <a:t>GP is the largest mobile operator company in Bangladesh, with a market share of almost 50% with consistent growth in revenue. They are also the first company in Bangladesh to have integrated 4G connectivity in all their network operators. GP has also acquired a 60Mhz spectrum for 5G connectivity, which will further expand their subscriber base in the future. Lastly, GP’s price has been fundamentally undervalued from its intrinsic value of approx. 351 taka (Lanka Bangla, 2021), and since DSE is in a corrective move, it is imperative that GP’s price will reverse gracefully to the North after consolidation. Hence we have allocated the highest weight to GP.</a:t>
          </a:r>
          <a:endParaRPr lang="en-US">
            <a:effectLst/>
          </a:endParaRPr>
        </a:p>
        <a:p>
          <a:pPr rtl="0"/>
          <a:r>
            <a:rPr lang="en-US"/>
            <a:t/>
          </a:r>
          <a:br>
            <a:rPr lang="en-US"/>
          </a:br>
          <a:r>
            <a:rPr lang="en-US" sz="1100" b="0" i="0" u="none" strike="noStrike">
              <a:solidFill>
                <a:schemeClr val="lt1"/>
              </a:solidFill>
              <a:effectLst/>
              <a:latin typeface="+mn-lt"/>
              <a:ea typeface="+mn-ea"/>
              <a:cs typeface="+mn-cs"/>
            </a:rPr>
            <a:t>Kohinoor Chemical Company (Bangladesh) Limited has been awarded 2nd position in the category of "Large Industry" in  National Productivity Excellence &amp; Institutional Appreciation-2020. They also incurred a 398% profit in Q2 2021 which boosted their stock price backed by the strong financials. They have also invested 3.5crore in the expansion of their product lines. Notable products of Kohinoor include Tibet, Sandalina, and Fast Wash Detergent.</a:t>
          </a:r>
          <a:endParaRPr lang="en-US">
            <a:effectLst/>
          </a:endParaRPr>
        </a:p>
        <a:p>
          <a:pPr rtl="0"/>
          <a:r>
            <a:rPr lang="en-US" sz="1100" b="0" i="0" u="none" strike="noStrike">
              <a:solidFill>
                <a:schemeClr val="lt1"/>
              </a:solidFill>
              <a:effectLst/>
              <a:latin typeface="+mn-lt"/>
              <a:ea typeface="+mn-ea"/>
              <a:cs typeface="+mn-cs"/>
            </a:rPr>
            <a:t>Due to the recent spike in price and trading volume despite no undisclosed information, we have assigned a lower weight due to short-term price action’s viability.</a:t>
          </a:r>
          <a:endParaRPr lang="en-US">
            <a:effectLst/>
          </a:endParaRPr>
        </a:p>
        <a:p>
          <a:pPr rtl="0"/>
          <a:r>
            <a:rPr lang="en-US"/>
            <a:t/>
          </a:r>
          <a:br>
            <a:rPr lang="en-US"/>
          </a:br>
          <a:r>
            <a:rPr lang="en-US" sz="1100" b="0" i="0" u="none" strike="noStrike">
              <a:solidFill>
                <a:schemeClr val="lt1"/>
              </a:solidFill>
              <a:effectLst/>
              <a:latin typeface="+mn-lt"/>
              <a:ea typeface="+mn-ea"/>
              <a:cs typeface="+mn-cs"/>
            </a:rPr>
            <a:t>Beximco was all set to witness a significant increase in sales. Revenue of Taka 42.02 billion compared to the previous year’s Revenue of Taka 19.82 billion which has more than doubled in the year. Alongside, Beximco has been the greatest facilitator of imports and exports in Covid-19-related products. For future growth, they have also invested in expansion projects including signing deals with Minister Group for the distribution of AKASH DTH. As a result, we have assigned the third-highest weight to Beximco.</a:t>
          </a:r>
          <a:endParaRPr lang="en-US">
            <a:effectLst/>
          </a:endParaRPr>
        </a:p>
        <a:p>
          <a:pPr rtl="0"/>
          <a:r>
            <a:rPr lang="en-US"/>
            <a:t/>
          </a:r>
          <a:br>
            <a:rPr lang="en-US"/>
          </a:br>
          <a:r>
            <a:rPr lang="en-US" sz="1100" b="0" i="0" u="none" strike="noStrike">
              <a:solidFill>
                <a:schemeClr val="lt1"/>
              </a:solidFill>
              <a:effectLst/>
              <a:latin typeface="+mn-lt"/>
              <a:ea typeface="+mn-ea"/>
              <a:cs typeface="+mn-cs"/>
            </a:rPr>
            <a:t>Marico is one of the fastest consumer products companies in Bangladesh. Marico is also one of the best-performing companies amid Covid-19 setting record profits of Tk310.87 in the fiscal year 2020-21. With consistent dividend growth, alongside high trading volume in DSEX, Marico is also one of the least volatile stocks with a beta of 0.14 (Amarstock, 2022). However, due to its exemption from Tax benefits in the fiscal year 2022, we have allocated a lower weight to Marico than GP. </a:t>
          </a:r>
          <a:endParaRPr lang="en-US">
            <a:effectLst/>
          </a:endParaRPr>
        </a:p>
        <a:p>
          <a:pPr rtl="0"/>
          <a:r>
            <a:rPr lang="en-US"/>
            <a:t/>
          </a:r>
          <a:br>
            <a:rPr lang="en-US"/>
          </a:br>
          <a:r>
            <a:rPr lang="en-US"/>
            <a:t/>
          </a:r>
          <a:br>
            <a:rPr lang="en-US"/>
          </a:br>
          <a:r>
            <a:rPr lang="en-US" sz="1100" b="0" i="0" u="none" strike="noStrike">
              <a:solidFill>
                <a:schemeClr val="lt1"/>
              </a:solidFill>
              <a:effectLst/>
              <a:latin typeface="+mn-lt"/>
              <a:ea typeface="+mn-ea"/>
              <a:cs typeface="+mn-cs"/>
            </a:rPr>
            <a:t>Olympic Industries Ltd is one of the leading biscuit manufacturers in the country. Olympic has been expanding its operations since the last quarter of 2021. They have also signed a 2-year agreement to sell a number of Lucerne Chocolate’s best-selling products under their name. To meet the growing demand for its products, Olympic Industries Limited has expanded its cracker and hard dough biscuits line with an investment of Tk42 crore on February 22. With confluences of expansion and due to the stock reconciling from its downtrend, we expect a heavy bullish reversal on the Olympics and hence allocated this weight. </a:t>
          </a:r>
          <a:endParaRPr lang="en-US">
            <a:effectLst/>
          </a:endParaRPr>
        </a:p>
        <a:p>
          <a:pPr rtl="0"/>
          <a:r>
            <a:rPr lang="en-US"/>
            <a:t/>
          </a:r>
          <a:br>
            <a:rPr lang="en-US"/>
          </a:br>
          <a:r>
            <a:rPr lang="en-US" sz="1100" b="0" i="0" u="none" strike="noStrike">
              <a:solidFill>
                <a:schemeClr val="lt1"/>
              </a:solidFill>
              <a:effectLst/>
              <a:latin typeface="+mn-lt"/>
              <a:ea typeface="+mn-ea"/>
              <a:cs typeface="+mn-cs"/>
            </a:rPr>
            <a:t>Meghna Petroleum has a very consistent dividend payout every year. Alongside this, MPetroleum has a good reputation for creating royalty-based revenue streams by partnering up with various companies. In the last 2 years, Mpetroleum has signed agreements such as Delta LP Gas, EPGL, LAUGFS, and many more acquiring 0.50 Taka per liter of LPG sale. Hence we have allocated this weight.</a:t>
          </a:r>
          <a:endParaRPr lang="en-US">
            <a:effectLst/>
          </a:endParaRPr>
        </a:p>
        <a:p>
          <a:pPr rtl="0"/>
          <a:r>
            <a:rPr lang="en-US"/>
            <a:t/>
          </a:r>
          <a:br>
            <a:rPr lang="en-US"/>
          </a:br>
          <a:r>
            <a:rPr lang="en-US"/>
            <a:t/>
          </a:r>
          <a:br>
            <a:rPr lang="en-US"/>
          </a:br>
          <a:r>
            <a:rPr lang="en-US" sz="1100" b="0" i="0" u="none" strike="noStrike">
              <a:solidFill>
                <a:schemeClr val="lt1"/>
              </a:solidFill>
              <a:effectLst/>
              <a:latin typeface="+mn-lt"/>
              <a:ea typeface="+mn-ea"/>
              <a:cs typeface="+mn-cs"/>
            </a:rPr>
            <a:t>In line with global as well as national recovery from the COVID-19 pandemic, DBH has made a remarkable comeback in 2021. At the close of December 31, 2021, the loans and advances portfolio of DBH stands at Tk. 43.83 billion. During the year DBH has financed Tk. 10.33 billion worth of home loans to around 3,000 households marking a growth of 58.18 percent when compared to that of the previous year. Their profits also soared to 59% in the first three quarters of 2021. However, due to the economy going into a deflationary phase, housing prices may be affected. Hence we put a lower weight on DBH. </a:t>
          </a:r>
          <a:endParaRPr lang="en-US">
            <a:effectLst/>
          </a:endParaRPr>
        </a:p>
        <a:p>
          <a:pPr algn="l"/>
          <a:endParaRPr lang="en-US" sz="1100"/>
        </a:p>
      </xdr:txBody>
    </xdr:sp>
    <xdr:clientData/>
  </xdr:twoCellAnchor>
  <xdr:twoCellAnchor>
    <xdr:from>
      <xdr:col>10</xdr:col>
      <xdr:colOff>638174</xdr:colOff>
      <xdr:row>14</xdr:row>
      <xdr:rowOff>15876</xdr:rowOff>
    </xdr:from>
    <xdr:to>
      <xdr:col>18</xdr:col>
      <xdr:colOff>158749</xdr:colOff>
      <xdr:row>50</xdr:row>
      <xdr:rowOff>174626</xdr:rowOff>
    </xdr:to>
    <xdr:sp macro="" textlink="">
      <xdr:nvSpPr>
        <xdr:cNvPr id="4" name="Snip Diagonal Corner Rectangle 3"/>
        <xdr:cNvSpPr/>
      </xdr:nvSpPr>
      <xdr:spPr>
        <a:xfrm>
          <a:off x="13306424" y="2492376"/>
          <a:ext cx="6251575" cy="7016750"/>
        </a:xfrm>
        <a:prstGeom prst="snip2DiagRect">
          <a:avLst/>
        </a:prstGeom>
        <a:solidFill>
          <a:srgbClr val="00336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rtl="0"/>
          <a:r>
            <a:rPr lang="en-US" sz="1100" b="0" i="0" u="none" strike="noStrike">
              <a:solidFill>
                <a:schemeClr val="lt1"/>
              </a:solidFill>
              <a:effectLst/>
              <a:latin typeface="+mn-lt"/>
              <a:ea typeface="+mn-ea"/>
              <a:cs typeface="+mn-cs"/>
            </a:rPr>
            <a:t>DSEX (Why 11%)</a:t>
          </a:r>
          <a:br>
            <a:rPr lang="en-US" sz="1100" b="0" i="0" u="none" strike="noStrike">
              <a:solidFill>
                <a:schemeClr val="lt1"/>
              </a:solidFill>
              <a:effectLst/>
              <a:latin typeface="+mn-lt"/>
              <a:ea typeface="+mn-ea"/>
              <a:cs typeface="+mn-cs"/>
            </a:rPr>
          </a:br>
          <a:r>
            <a:rPr lang="en-US" sz="1100" b="0" i="0" u="none" strike="noStrike">
              <a:solidFill>
                <a:schemeClr val="lt1"/>
              </a:solidFill>
              <a:effectLst/>
              <a:latin typeface="+mn-lt"/>
              <a:ea typeface="+mn-ea"/>
              <a:cs typeface="+mn-cs"/>
            </a:rPr>
            <a:t/>
          </a:r>
          <a:br>
            <a:rPr lang="en-US" sz="1100" b="0" i="0" u="none" strike="noStrike">
              <a:solidFill>
                <a:schemeClr val="lt1"/>
              </a:solidFill>
              <a:effectLst/>
              <a:latin typeface="+mn-lt"/>
              <a:ea typeface="+mn-ea"/>
              <a:cs typeface="+mn-cs"/>
            </a:rPr>
          </a:br>
          <a:endParaRPr lang="en-US">
            <a:effectLst/>
          </a:endParaRPr>
        </a:p>
        <a:p>
          <a:pPr rtl="0" fontAlgn="base"/>
          <a:r>
            <a:rPr lang="en-US" sz="1100" b="0" i="0" u="none" strike="noStrike">
              <a:solidFill>
                <a:schemeClr val="lt1"/>
              </a:solidFill>
              <a:effectLst/>
              <a:latin typeface="+mn-lt"/>
              <a:ea typeface="+mn-ea"/>
              <a:cs typeface="+mn-cs"/>
            </a:rPr>
            <a:t>Due to the Russian-Ukraine war in Q1 of 2022, there has been a supply chain shock throughout the world, causing DSEX to be heavily affected. This also led to the rise in Oil prices. However, the level of such discrepancies has had its maximum downside magnitude in the short term. Bangladesh's government is playing a crucial role in consolidating such price hikes and is reducing the oil price periodically. Therefore, it is imperative that supply chain conditions will improve in the future, and will be reflected in the upside in DSEX. </a:t>
          </a:r>
        </a:p>
        <a:p>
          <a:pPr rtl="0" fontAlgn="base"/>
          <a:endParaRPr lang="en-US" sz="1100" b="0" i="0" u="none" strike="noStrike">
            <a:solidFill>
              <a:schemeClr val="lt1"/>
            </a:solidFill>
            <a:effectLst/>
            <a:latin typeface="+mn-lt"/>
            <a:ea typeface="+mn-ea"/>
            <a:cs typeface="+mn-cs"/>
          </a:endParaRPr>
        </a:p>
        <a:p>
          <a:pPr rtl="0" fontAlgn="base"/>
          <a:r>
            <a:rPr lang="en-US" sz="1100" b="0" i="0" u="none" strike="noStrike">
              <a:solidFill>
                <a:schemeClr val="lt1"/>
              </a:solidFill>
              <a:effectLst/>
              <a:latin typeface="+mn-lt"/>
              <a:ea typeface="+mn-ea"/>
              <a:cs typeface="+mn-cs"/>
            </a:rPr>
            <a:t>The ongoing inflationary crisis has been a rising concern, but growth rates have inclined steadily. It is expected that inflation will be lower in the next quarter as reported by the Ministry. If inflation decreases, investors will be more confident in investing in stocks as they will have more purchasing power.</a:t>
          </a:r>
        </a:p>
        <a:p>
          <a:pPr rtl="0" fontAlgn="base"/>
          <a:r>
            <a:rPr lang="en-US"/>
            <a:t/>
          </a:r>
          <a:br>
            <a:rPr lang="en-US"/>
          </a:br>
          <a:r>
            <a:rPr lang="en-US" sz="1100" b="0" i="0" u="none" strike="noStrike">
              <a:solidFill>
                <a:schemeClr val="lt1"/>
              </a:solidFill>
              <a:effectLst/>
              <a:latin typeface="+mn-lt"/>
              <a:ea typeface="+mn-ea"/>
              <a:cs typeface="+mn-cs"/>
            </a:rPr>
            <a:t>The despicable rise and instability of the dollar will eventually subside from its year-long bull run. With even higher remittances entering the country every year, Bangladesh’s foreign exchange reserve is also believed to rise from its pitfall. Additionally, Bangladesh Govt. is also intervening banks not to sell dollars at a high spread.  </a:t>
          </a:r>
        </a:p>
        <a:p>
          <a:pPr rtl="0" fontAlgn="base"/>
          <a:endParaRPr lang="en-US" sz="1100" b="0" i="0" u="none" strike="noStrike">
            <a:solidFill>
              <a:schemeClr val="lt1"/>
            </a:solidFill>
            <a:effectLst/>
            <a:latin typeface="+mn-lt"/>
            <a:ea typeface="+mn-ea"/>
            <a:cs typeface="+mn-cs"/>
          </a:endParaRPr>
        </a:p>
        <a:p>
          <a:pPr rtl="0" fontAlgn="base"/>
          <a:r>
            <a:rPr lang="en-US" sz="1100" b="0" i="0" u="none" strike="noStrike">
              <a:solidFill>
                <a:schemeClr val="lt1"/>
              </a:solidFill>
              <a:effectLst/>
              <a:latin typeface="+mn-lt"/>
              <a:ea typeface="+mn-ea"/>
              <a:cs typeface="+mn-cs"/>
            </a:rPr>
            <a:t>Mobile Financial services are also highly interested in facilitating the liquidity of investors in DSE. Many brokerage houses such as Midland, Lanka Bangla, etc, have already integrated Bkash payments. This indicates that DSE will have a much higher liquidity base in the future from the introduction of new investors in the market. </a:t>
          </a:r>
        </a:p>
        <a:p>
          <a:pPr rtl="0" fontAlgn="base"/>
          <a:endParaRPr lang="en-US" sz="1100" b="0" i="0" u="none" strike="noStrike">
            <a:solidFill>
              <a:schemeClr val="lt1"/>
            </a:solidFill>
            <a:effectLst/>
            <a:latin typeface="+mn-lt"/>
            <a:ea typeface="+mn-ea"/>
            <a:cs typeface="+mn-cs"/>
          </a:endParaRPr>
        </a:p>
        <a:p>
          <a:pPr rtl="0" fontAlgn="base"/>
          <a:r>
            <a:rPr lang="en-US" sz="1100" b="0" i="0" u="none" strike="noStrike">
              <a:solidFill>
                <a:schemeClr val="lt1"/>
              </a:solidFill>
              <a:effectLst/>
              <a:latin typeface="+mn-lt"/>
              <a:ea typeface="+mn-ea"/>
              <a:cs typeface="+mn-cs"/>
            </a:rPr>
            <a:t>According to technical analysis of the DSEX index, DSEX has retraced 78.6% from its All-Time-High as per Fibonacci ratio entry levels. This is an indication that the market has retraced enough from its high for investors and market movers to reverse its sentiment alongside the price. Long-term support which is also the previous resistance/support flip remains solid, and since DSEX halted its downside around these ranges, we believe the bottom is near and a high reversal is imperative. In layman’s terms, we may be at the bottom of the bear market, and it is better to invest in stocks when prices are the lowest.</a:t>
          </a:r>
        </a:p>
        <a:p>
          <a:pPr algn="l"/>
          <a:endParaRPr lang="en-US" sz="1100"/>
        </a:p>
      </xdr:txBody>
    </xdr:sp>
    <xdr:clientData/>
  </xdr:twoCellAnchor>
  <xdr:twoCellAnchor>
    <xdr:from>
      <xdr:col>11</xdr:col>
      <xdr:colOff>476249</xdr:colOff>
      <xdr:row>2</xdr:row>
      <xdr:rowOff>1059</xdr:rowOff>
    </xdr:from>
    <xdr:to>
      <xdr:col>18</xdr:col>
      <xdr:colOff>38099</xdr:colOff>
      <xdr:row>11</xdr:row>
      <xdr:rowOff>42333</xdr:rowOff>
    </xdr:to>
    <xdr:sp macro="" textlink="">
      <xdr:nvSpPr>
        <xdr:cNvPr id="5" name="Snip Diagonal Corner Rectangle 4"/>
        <xdr:cNvSpPr/>
      </xdr:nvSpPr>
      <xdr:spPr>
        <a:xfrm>
          <a:off x="14022916" y="360892"/>
          <a:ext cx="5414433" cy="1597024"/>
        </a:xfrm>
        <a:prstGeom prst="snip2DiagRect">
          <a:avLst/>
        </a:prstGeom>
        <a:solidFill>
          <a:srgbClr val="00336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0" i="0" u="none" strike="noStrike">
              <a:solidFill>
                <a:schemeClr val="lt1"/>
              </a:solidFill>
              <a:effectLst/>
              <a:latin typeface="+mn-lt"/>
              <a:ea typeface="+mn-ea"/>
              <a:cs typeface="+mn-cs"/>
            </a:rPr>
            <a:t>Firstly, we have not chosen the T-bill rate of 6.05% because T-bill rates have a simple interest scheme, alongside tax charges and limitations. Additionally, T-bills require sources of funds and various documents for verification which often hinders a potential investor’s interest due to the discrete procedures. Secondly, the average interest rate of 6% in Banks’ savings accounts is not feasible since the inflation rate is even higher. Thirdly, real estate investments require a long time to yield returns and have high regulations upon their trades. Investors seek an efficient and fluid system upon investing their money for passive income. Hence, investors go to the stock market hoping to get at least 7%.</a:t>
          </a:r>
          <a:endParaRPr lang="en-US" sz="1100"/>
        </a:p>
      </xdr:txBody>
    </xdr:sp>
    <xdr:clientData/>
  </xdr:twoCellAnchor>
  <xdr:twoCellAnchor>
    <xdr:from>
      <xdr:col>3</xdr:col>
      <xdr:colOff>10583</xdr:colOff>
      <xdr:row>6</xdr:row>
      <xdr:rowOff>42333</xdr:rowOff>
    </xdr:from>
    <xdr:to>
      <xdr:col>11</xdr:col>
      <xdr:colOff>243416</xdr:colOff>
      <xdr:row>14</xdr:row>
      <xdr:rowOff>21167</xdr:rowOff>
    </xdr:to>
    <xdr:cxnSp macro="">
      <xdr:nvCxnSpPr>
        <xdr:cNvPr id="15" name="Elbow Connector 14"/>
        <xdr:cNvCxnSpPr/>
      </xdr:nvCxnSpPr>
      <xdr:spPr>
        <a:xfrm>
          <a:off x="4138083" y="1090083"/>
          <a:ext cx="9652000" cy="1386417"/>
        </a:xfrm>
        <a:prstGeom prst="bentConnector3">
          <a:avLst>
            <a:gd name="adj1" fmla="val 1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2</xdr:row>
      <xdr:rowOff>137584</xdr:rowOff>
    </xdr:from>
    <xdr:to>
      <xdr:col>11</xdr:col>
      <xdr:colOff>455083</xdr:colOff>
      <xdr:row>7</xdr:row>
      <xdr:rowOff>63501</xdr:rowOff>
    </xdr:to>
    <xdr:cxnSp macro="">
      <xdr:nvCxnSpPr>
        <xdr:cNvPr id="22" name="Elbow Connector 21"/>
        <xdr:cNvCxnSpPr/>
      </xdr:nvCxnSpPr>
      <xdr:spPr>
        <a:xfrm flipV="1">
          <a:off x="4127500" y="497417"/>
          <a:ext cx="9874250" cy="772584"/>
        </a:xfrm>
        <a:prstGeom prst="bentConnector3">
          <a:avLst>
            <a:gd name="adj1" fmla="val 7486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1</xdr:row>
      <xdr:rowOff>95250</xdr:rowOff>
    </xdr:from>
    <xdr:to>
      <xdr:col>18</xdr:col>
      <xdr:colOff>619125</xdr:colOff>
      <xdr:row>15</xdr:row>
      <xdr:rowOff>158750</xdr:rowOff>
    </xdr:to>
    <xdr:cxnSp macro="">
      <xdr:nvCxnSpPr>
        <xdr:cNvPr id="29" name="Elbow Connector 28"/>
        <xdr:cNvCxnSpPr/>
      </xdr:nvCxnSpPr>
      <xdr:spPr>
        <a:xfrm>
          <a:off x="11303000" y="285750"/>
          <a:ext cx="8715375" cy="2540000"/>
        </a:xfrm>
        <a:prstGeom prst="bentConnector3">
          <a:avLst>
            <a:gd name="adj1" fmla="val 9699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1131093</xdr:colOff>
      <xdr:row>34</xdr:row>
      <xdr:rowOff>0</xdr:rowOff>
    </xdr:from>
    <xdr:to>
      <xdr:col>8</xdr:col>
      <xdr:colOff>1226344</xdr:colOff>
      <xdr:row>43</xdr:row>
      <xdr:rowOff>23812</xdr:rowOff>
    </xdr:to>
    <xdr:sp macro="" textlink="">
      <xdr:nvSpPr>
        <xdr:cNvPr id="38" name="Snip Diagonal Corner Rectangle 37"/>
        <xdr:cNvSpPr/>
      </xdr:nvSpPr>
      <xdr:spPr>
        <a:xfrm>
          <a:off x="5250656" y="6286500"/>
          <a:ext cx="5536407" cy="1738312"/>
        </a:xfrm>
        <a:prstGeom prst="snip2DiagRect">
          <a:avLst/>
        </a:prstGeom>
        <a:solidFill>
          <a:srgbClr val="00336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l" defTabSz="914400" rtl="0" eaLnBrk="1" fontAlgn="auto" latinLnBrk="0" hangingPunct="1">
            <a:lnSpc>
              <a:spcPct val="100000"/>
            </a:lnSpc>
            <a:spcBef>
              <a:spcPts val="0"/>
            </a:spcBef>
            <a:spcAft>
              <a:spcPts val="0"/>
            </a:spcAft>
            <a:buClrTx/>
            <a:buSzTx/>
            <a:buFontTx/>
            <a:buNone/>
            <a:tabLst/>
            <a:defRPr/>
          </a:pPr>
          <a:r>
            <a:rPr lang="en-US" sz="1100" b="0" i="0" u="none" strike="noStrike">
              <a:solidFill>
                <a:schemeClr val="lt1"/>
              </a:solidFill>
              <a:effectLst/>
              <a:latin typeface="+mn-lt"/>
              <a:ea typeface="+mn-ea"/>
              <a:cs typeface="+mn-cs"/>
            </a:rPr>
            <a:t>As we do not fully agree with the market portfolio, we decided to slightly adjust our expected return to one stock using our judgment to create an Opinion Adjusted Portfolio. We believe that BEXIMCO needed a slight adjustment of 0.15% since the company’s revenue grew more than double in the fiscal year of 2021, along with its EPS boosting to 7.53 against the previous year’s 0.51 allowing them to launch Beximco Health which should achieve steady growth in both sales and profit not only for this financial year but also in future years.</a:t>
          </a:r>
          <a:endParaRPr lang="en-US">
            <a:effectLst/>
          </a:endParaRPr>
        </a:p>
        <a:p>
          <a:pPr algn="l"/>
          <a:endParaRPr lang="en-US" sz="1100"/>
        </a:p>
      </xdr:txBody>
    </xdr:sp>
    <xdr:clientData/>
  </xdr:twoCellAnchor>
  <xdr:twoCellAnchor>
    <xdr:from>
      <xdr:col>8</xdr:col>
      <xdr:colOff>1226345</xdr:colOff>
      <xdr:row>26</xdr:row>
      <xdr:rowOff>83344</xdr:rowOff>
    </xdr:from>
    <xdr:to>
      <xdr:col>9</xdr:col>
      <xdr:colOff>11918</xdr:colOff>
      <xdr:row>38</xdr:row>
      <xdr:rowOff>107155</xdr:rowOff>
    </xdr:to>
    <xdr:cxnSp macro="">
      <xdr:nvCxnSpPr>
        <xdr:cNvPr id="42" name="Elbow Connector 41"/>
        <xdr:cNvCxnSpPr>
          <a:endCxn id="38" idx="0"/>
        </xdr:cNvCxnSpPr>
      </xdr:nvCxnSpPr>
      <xdr:spPr>
        <a:xfrm rot="5400000">
          <a:off x="9900054" y="5732854"/>
          <a:ext cx="2309811" cy="53579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6.xml><?xml version="1.0" encoding="utf-8"?>
<xdr:wsDr xmlns:xdr="http://schemas.openxmlformats.org/drawingml/2006/spreadsheetDrawing" xmlns:a="http://schemas.openxmlformats.org/drawingml/2006/main">
  <xdr:twoCellAnchor>
    <xdr:from>
      <xdr:col>12</xdr:col>
      <xdr:colOff>333375</xdr:colOff>
      <xdr:row>1</xdr:row>
      <xdr:rowOff>57150</xdr:rowOff>
    </xdr:from>
    <xdr:to>
      <xdr:col>19</xdr:col>
      <xdr:colOff>581025</xdr:colOff>
      <xdr:row>17</xdr:row>
      <xdr:rowOff>152400</xdr:rowOff>
    </xdr:to>
    <xdr:graphicFrame macro="">
      <xdr:nvGraphicFramePr>
        <xdr:cNvPr id="2" name="Chart 1">
          <a:extLst>
            <a:ext uri="{FF2B5EF4-FFF2-40B4-BE49-F238E27FC236}">
              <a16:creationId xmlns:a16="http://schemas.microsoft.com/office/drawing/2014/main" id="{00000000-0008-0000-0F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114300</xdr:colOff>
      <xdr:row>18</xdr:row>
      <xdr:rowOff>123824</xdr:rowOff>
    </xdr:from>
    <xdr:to>
      <xdr:col>21</xdr:col>
      <xdr:colOff>38099</xdr:colOff>
      <xdr:row>41</xdr:row>
      <xdr:rowOff>9524</xdr:rowOff>
    </xdr:to>
    <xdr:graphicFrame macro="">
      <xdr:nvGraphicFramePr>
        <xdr:cNvPr id="3" name="Chart 2">
          <a:extLst>
            <a:ext uri="{FF2B5EF4-FFF2-40B4-BE49-F238E27FC236}">
              <a16:creationId xmlns:a16="http://schemas.microsoft.com/office/drawing/2014/main" id="{00000000-0008-0000-0F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23812</xdr:colOff>
      <xdr:row>19</xdr:row>
      <xdr:rowOff>28575</xdr:rowOff>
    </xdr:from>
    <xdr:to>
      <xdr:col>10</xdr:col>
      <xdr:colOff>171450</xdr:colOff>
      <xdr:row>41</xdr:row>
      <xdr:rowOff>0</xdr:rowOff>
    </xdr:to>
    <xdr:graphicFrame macro="">
      <xdr:nvGraphicFramePr>
        <xdr:cNvPr id="4" name="Chart 3">
          <a:extLst>
            <a:ext uri="{FF2B5EF4-FFF2-40B4-BE49-F238E27FC236}">
              <a16:creationId xmlns:a16="http://schemas.microsoft.com/office/drawing/2014/main" id="{00000000-0008-0000-0F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7.xml><?xml version="1.0" encoding="utf-8"?>
<xdr:wsDr xmlns:xdr="http://schemas.openxmlformats.org/drawingml/2006/spreadsheetDrawing" xmlns:a="http://schemas.openxmlformats.org/drawingml/2006/main">
  <xdr:twoCellAnchor>
    <xdr:from>
      <xdr:col>3</xdr:col>
      <xdr:colOff>866775</xdr:colOff>
      <xdr:row>14</xdr:row>
      <xdr:rowOff>104774</xdr:rowOff>
    </xdr:from>
    <xdr:to>
      <xdr:col>10</xdr:col>
      <xdr:colOff>247650</xdr:colOff>
      <xdr:row>58</xdr:row>
      <xdr:rowOff>123825</xdr:rowOff>
    </xdr:to>
    <xdr:sp macro="" textlink="">
      <xdr:nvSpPr>
        <xdr:cNvPr id="2" name="Snip Diagonal Corner Rectangle 1"/>
        <xdr:cNvSpPr/>
      </xdr:nvSpPr>
      <xdr:spPr>
        <a:xfrm>
          <a:off x="2695575" y="2600324"/>
          <a:ext cx="7362825" cy="7143751"/>
        </a:xfrm>
        <a:prstGeom prst="snip2DiagRect">
          <a:avLst/>
        </a:prstGeom>
        <a:solidFill>
          <a:srgbClr val="00336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t>The Mean-Variance Portfolio Model is built based on technical analysis . This model, based on the Modern Portfolio Theory, states that the past will reflect approximately the future, which is unlikely to be the case in the real world. In this model, two unreasonable assumptions are made. First and foremost, it assumes that there are no other investors in the market. Secondly, there are no other stocks in the market other than the stocks that we have in our portfolio, which makes the mean-variance model unrealistic. Therefore, we assigned 0% weights in this model.</a:t>
          </a:r>
        </a:p>
        <a:p>
          <a:pPr algn="l"/>
          <a:endParaRPr lang="en-US" sz="1100"/>
        </a:p>
        <a:p>
          <a:pPr marL="0" marR="0" indent="0" algn="l" defTabSz="914400" eaLnBrk="1" fontAlgn="auto" latinLnBrk="0" hangingPunct="1">
            <a:lnSpc>
              <a:spcPct val="100000"/>
            </a:lnSpc>
            <a:spcBef>
              <a:spcPts val="0"/>
            </a:spcBef>
            <a:spcAft>
              <a:spcPts val="0"/>
            </a:spcAft>
            <a:buClrTx/>
            <a:buSzTx/>
            <a:buFontTx/>
            <a:buNone/>
            <a:tabLst/>
            <a:defRPr/>
          </a:pPr>
          <a:r>
            <a:rPr lang="en-US">
              <a:effectLst/>
            </a:rPr>
            <a:t>The CAPM adjusted portfolio model considers both past and present to predict the future. This model is considered as the reconciled version of the mean-variance model as it tries to reconcile the limitations of the Markowitz Model by acknowledging other investors and other stocks in the market. In the first CAPM adjusted portfolio model by plotting the CML vector, the CAPM adjusted portfolio takes into account all other investors' expectations based on minimum returns. The CML takes account of the risk-free rate, which is the lowest rate that all investors would expect. According to the CAPM model, everyone has the same level of minimal expectations, although this varies from investor to investor. However, the real world is not based on minimum expectations and we never want to invest in the stock market to get the minimum returns as our expectations are usually much higher.</a:t>
          </a:r>
        </a:p>
        <a:p>
          <a:pPr marL="0" marR="0" indent="0" algn="l" defTabSz="914400" eaLnBrk="1" fontAlgn="auto" latinLnBrk="0" hangingPunct="1">
            <a:lnSpc>
              <a:spcPct val="100000"/>
            </a:lnSpc>
            <a:spcBef>
              <a:spcPts val="0"/>
            </a:spcBef>
            <a:spcAft>
              <a:spcPts val="0"/>
            </a:spcAft>
            <a:buClrTx/>
            <a:buSzTx/>
            <a:buFontTx/>
            <a:buNone/>
            <a:tabLst/>
            <a:defRPr/>
          </a:pPr>
          <a:endParaRPr lang="en-US">
            <a:effectLst/>
          </a:endParaRPr>
        </a:p>
        <a:p>
          <a:pPr algn="l"/>
          <a:r>
            <a:rPr lang="en-US"/>
            <a:t>The Third CAPM adjusted portfolio model represents the minimum expectations of all investors in the market and the average returns of the market where we calculated all the expected returns of the companies by CAPM formula and incorporated them in the efficient frontier. Despite reconciling the limitations of the Mean-Variance Model to a certain extent, the CAPM adjusted portfolio still heavily relies on historical data to base their decisions, which makes this model impractical to build our portfolio hence we will not consider this as our portfolio model either</a:t>
          </a:r>
        </a:p>
        <a:p>
          <a:pPr algn="l"/>
          <a:endParaRPr lang="en-US"/>
        </a:p>
        <a:p>
          <a:pPr algn="l"/>
          <a:r>
            <a:rPr lang="en-US"/>
            <a:t>The Black-Litterman Model considers past, present and judgment to predict the future. That’s why this model is based on judgmental analysis. We have considered this portfolio model as more realistic because it takes the most practical approach by asking two basic questions, what the market thinks about the stocks in our portfolio and if we or investors agree with what the market thinks or not. This model highly depends on Eugene F. Fama’s Efficient Market Hypotheses (EMH), which suggests that no investor can consistently beat the market.In our calculation of this model.</a:t>
          </a:r>
          <a:r>
            <a:rPr lang="en-US" baseline="0"/>
            <a:t> However, we have slightly decided to argue with the market and believe that the BEXIMCO will provide us a higher return in future with its strong financials and aggressive expansion plans.</a:t>
          </a:r>
          <a:endParaRPr lang="en-US" sz="1100"/>
        </a:p>
        <a:p>
          <a:pPr algn="l"/>
          <a:endParaRPr lang="en-US" sz="1100"/>
        </a:p>
      </xdr:txBody>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P26"/>
  <sheetViews>
    <sheetView showGridLines="0" workbookViewId="0">
      <selection activeCell="B20" sqref="B20"/>
    </sheetView>
  </sheetViews>
  <sheetFormatPr defaultRowHeight="12.75"/>
  <cols>
    <col min="3" max="3" width="6" customWidth="1"/>
    <col min="4" max="4" width="10.85546875" customWidth="1"/>
    <col min="5" max="5" width="17.42578125" customWidth="1"/>
    <col min="12" max="12" width="9.28515625" customWidth="1"/>
    <col min="13" max="13" width="14.5703125" customWidth="1"/>
    <col min="14" max="14" width="10.5703125" customWidth="1"/>
    <col min="15" max="15" width="13.28515625" customWidth="1"/>
  </cols>
  <sheetData>
    <row r="3" spans="4:16" ht="13.5" thickBot="1"/>
    <row r="4" spans="4:16">
      <c r="D4" s="38"/>
      <c r="E4" s="39"/>
      <c r="F4" s="39"/>
      <c r="G4" s="39"/>
      <c r="H4" s="39"/>
      <c r="I4" s="39"/>
      <c r="J4" s="39"/>
      <c r="K4" s="39"/>
      <c r="L4" s="39"/>
      <c r="M4" s="39"/>
      <c r="N4" s="39"/>
      <c r="O4" s="39"/>
      <c r="P4" s="40"/>
    </row>
    <row r="5" spans="4:16">
      <c r="D5" s="41"/>
      <c r="E5" s="42"/>
      <c r="F5" s="42"/>
      <c r="G5" s="42"/>
      <c r="H5" s="42"/>
      <c r="I5" s="42"/>
      <c r="J5" s="42"/>
      <c r="K5" s="42"/>
      <c r="L5" s="42"/>
      <c r="M5" s="42"/>
      <c r="N5" s="42"/>
      <c r="O5" s="42"/>
      <c r="P5" s="43"/>
    </row>
    <row r="6" spans="4:16">
      <c r="D6" s="41"/>
      <c r="E6" s="42"/>
      <c r="F6" s="42"/>
      <c r="G6" s="42"/>
      <c r="H6" s="42"/>
      <c r="I6" s="42"/>
      <c r="J6" s="42"/>
      <c r="K6" s="42"/>
      <c r="L6" s="42"/>
      <c r="M6" s="42"/>
      <c r="N6" s="42"/>
      <c r="O6" s="42"/>
      <c r="P6" s="43"/>
    </row>
    <row r="7" spans="4:16">
      <c r="D7" s="41"/>
      <c r="E7" s="42"/>
      <c r="F7" s="42"/>
      <c r="G7" s="42"/>
      <c r="H7" s="42"/>
      <c r="I7" s="42"/>
      <c r="J7" s="42"/>
      <c r="K7" s="42"/>
      <c r="L7" s="42"/>
      <c r="M7" s="42"/>
      <c r="N7" s="42"/>
      <c r="O7" s="42"/>
      <c r="P7" s="43"/>
    </row>
    <row r="8" spans="4:16">
      <c r="D8" s="41"/>
      <c r="E8" s="42"/>
      <c r="F8" s="42"/>
      <c r="G8" s="42"/>
      <c r="H8" s="42"/>
      <c r="I8" s="42"/>
      <c r="J8" s="42"/>
      <c r="K8" s="42"/>
      <c r="L8" s="42"/>
      <c r="M8" s="42"/>
      <c r="N8" s="42"/>
      <c r="O8" s="42"/>
      <c r="P8" s="43"/>
    </row>
    <row r="9" spans="4:16">
      <c r="D9" s="41"/>
      <c r="E9" s="42"/>
      <c r="F9" s="42"/>
      <c r="G9" s="42"/>
      <c r="H9" s="42"/>
      <c r="I9" s="42"/>
      <c r="J9" s="42"/>
      <c r="K9" s="42"/>
      <c r="L9" s="42"/>
      <c r="M9" s="42"/>
      <c r="N9" s="42"/>
      <c r="O9" s="42"/>
      <c r="P9" s="43"/>
    </row>
    <row r="10" spans="4:16">
      <c r="D10" s="41"/>
      <c r="E10" s="42"/>
      <c r="F10" s="42"/>
      <c r="G10" s="42"/>
      <c r="H10" s="42"/>
      <c r="I10" s="42"/>
      <c r="J10" s="42"/>
      <c r="K10" s="42"/>
      <c r="L10" s="42"/>
      <c r="M10" s="42"/>
      <c r="N10" s="42"/>
      <c r="O10" s="42"/>
      <c r="P10" s="43"/>
    </row>
    <row r="11" spans="4:16">
      <c r="D11" s="41"/>
      <c r="E11" s="42"/>
      <c r="F11" s="42"/>
      <c r="G11" s="42"/>
      <c r="H11" s="42"/>
      <c r="I11" s="42"/>
      <c r="J11" s="42"/>
      <c r="K11" s="42"/>
      <c r="L11" s="42"/>
      <c r="M11" s="42"/>
      <c r="N11" s="42"/>
      <c r="O11" s="42"/>
      <c r="P11" s="43"/>
    </row>
    <row r="12" spans="4:16">
      <c r="D12" s="41"/>
      <c r="E12" s="42"/>
      <c r="F12" s="42"/>
      <c r="G12" s="42"/>
      <c r="H12" s="42"/>
      <c r="I12" s="42"/>
      <c r="J12" s="42"/>
      <c r="K12" s="42"/>
      <c r="L12" s="42"/>
      <c r="M12" s="42"/>
      <c r="N12" s="42"/>
      <c r="O12" s="42"/>
      <c r="P12" s="43"/>
    </row>
    <row r="13" spans="4:16" ht="15.75">
      <c r="D13" s="41"/>
      <c r="E13" s="42"/>
      <c r="F13" s="42"/>
      <c r="G13" s="42"/>
      <c r="H13" s="446" t="s">
        <v>135</v>
      </c>
      <c r="I13" s="446"/>
      <c r="J13" s="446"/>
      <c r="K13" s="446"/>
      <c r="L13" s="446"/>
      <c r="M13" s="42"/>
      <c r="N13" s="42"/>
      <c r="O13" s="42"/>
      <c r="P13" s="43"/>
    </row>
    <row r="14" spans="4:16" ht="14.25">
      <c r="D14" s="41"/>
      <c r="E14" s="42"/>
      <c r="F14" s="42"/>
      <c r="G14" s="42"/>
      <c r="H14" s="48"/>
      <c r="I14" s="447" t="s">
        <v>124</v>
      </c>
      <c r="J14" s="447"/>
      <c r="K14" s="447"/>
      <c r="L14" s="48"/>
      <c r="M14" s="42"/>
      <c r="N14" s="42"/>
      <c r="O14" s="42"/>
      <c r="P14" s="43"/>
    </row>
    <row r="15" spans="4:16">
      <c r="D15" s="41"/>
      <c r="E15" s="42"/>
      <c r="F15" s="42"/>
      <c r="G15" s="42"/>
      <c r="H15" s="48"/>
      <c r="I15" s="48"/>
      <c r="J15" s="48"/>
      <c r="K15" s="48"/>
      <c r="L15" s="48"/>
      <c r="M15" s="42"/>
      <c r="N15" s="42"/>
      <c r="O15" s="42"/>
      <c r="P15" s="43"/>
    </row>
    <row r="16" spans="4:16" ht="14.25">
      <c r="D16" s="41"/>
      <c r="E16" s="42"/>
      <c r="F16" s="42"/>
      <c r="G16" s="42"/>
      <c r="H16" s="48"/>
      <c r="I16" s="447" t="s">
        <v>125</v>
      </c>
      <c r="J16" s="447"/>
      <c r="K16" s="447"/>
      <c r="L16" s="48"/>
      <c r="M16" s="42"/>
      <c r="N16" s="42"/>
      <c r="O16" s="42"/>
      <c r="P16" s="43"/>
    </row>
    <row r="17" spans="4:16">
      <c r="D17" s="51"/>
      <c r="E17" s="448" t="s">
        <v>126</v>
      </c>
      <c r="F17" s="448"/>
      <c r="G17" s="449"/>
      <c r="H17" s="42"/>
      <c r="I17" s="42"/>
      <c r="J17" s="42"/>
      <c r="K17" s="42"/>
      <c r="L17" s="42"/>
      <c r="M17" s="450" t="s">
        <v>127</v>
      </c>
      <c r="N17" s="448"/>
      <c r="O17" s="451"/>
      <c r="P17" s="43"/>
    </row>
    <row r="18" spans="4:16">
      <c r="D18" s="51"/>
      <c r="E18" s="49"/>
      <c r="F18" s="49"/>
      <c r="G18" s="50"/>
      <c r="H18" s="56"/>
      <c r="I18" s="42"/>
      <c r="J18" s="42"/>
      <c r="K18" s="42"/>
      <c r="L18" s="42"/>
      <c r="M18" s="443" t="s">
        <v>128</v>
      </c>
      <c r="N18" s="444"/>
      <c r="O18" s="445"/>
      <c r="P18" s="43"/>
    </row>
    <row r="19" spans="4:16">
      <c r="D19" s="51"/>
      <c r="E19" s="435" t="s">
        <v>129</v>
      </c>
      <c r="F19" s="435"/>
      <c r="G19" s="436"/>
      <c r="H19" s="44"/>
      <c r="I19" s="42"/>
      <c r="J19" s="42"/>
      <c r="K19" s="42"/>
      <c r="L19" s="42"/>
      <c r="M19" s="437" t="s">
        <v>130</v>
      </c>
      <c r="N19" s="438"/>
      <c r="O19" s="52" t="s">
        <v>131</v>
      </c>
      <c r="P19" s="43"/>
    </row>
    <row r="20" spans="4:16">
      <c r="D20" s="51"/>
      <c r="E20" s="441" t="s">
        <v>132</v>
      </c>
      <c r="F20" s="441"/>
      <c r="G20" s="442"/>
      <c r="H20" s="44"/>
      <c r="I20" s="42"/>
      <c r="J20" s="42"/>
      <c r="K20" s="42"/>
      <c r="L20" s="42"/>
      <c r="M20" s="437" t="s">
        <v>136</v>
      </c>
      <c r="N20" s="438"/>
      <c r="O20" s="54">
        <v>1821592630</v>
      </c>
      <c r="P20" s="43"/>
    </row>
    <row r="21" spans="4:16">
      <c r="D21" s="51"/>
      <c r="E21" s="441" t="s">
        <v>133</v>
      </c>
      <c r="F21" s="441"/>
      <c r="G21" s="442"/>
      <c r="H21" s="44"/>
      <c r="I21" s="42"/>
      <c r="J21" s="42"/>
      <c r="K21" s="42"/>
      <c r="L21" s="42"/>
      <c r="M21" s="437" t="s">
        <v>137</v>
      </c>
      <c r="N21" s="438"/>
      <c r="O21" s="55">
        <v>1912284030</v>
      </c>
      <c r="P21" s="43"/>
    </row>
    <row r="22" spans="4:16">
      <c r="D22" s="51"/>
      <c r="E22" s="435" t="s">
        <v>134</v>
      </c>
      <c r="F22" s="435"/>
      <c r="G22" s="436"/>
      <c r="H22" s="44"/>
      <c r="I22" s="42"/>
      <c r="J22" s="42"/>
      <c r="K22" s="42"/>
      <c r="L22" s="42"/>
      <c r="M22" s="437" t="s">
        <v>138</v>
      </c>
      <c r="N22" s="438"/>
      <c r="O22" s="53">
        <v>1921026030</v>
      </c>
      <c r="P22" s="43"/>
    </row>
    <row r="23" spans="4:16">
      <c r="D23" s="51"/>
      <c r="E23" s="58"/>
      <c r="F23" s="59"/>
      <c r="G23" s="60"/>
      <c r="H23" s="56"/>
      <c r="I23" s="42"/>
      <c r="J23" s="42"/>
      <c r="K23" s="42"/>
      <c r="L23" s="42"/>
      <c r="M23" s="439" t="s">
        <v>139</v>
      </c>
      <c r="N23" s="436"/>
      <c r="O23" s="55">
        <v>1921480630</v>
      </c>
      <c r="P23" s="43"/>
    </row>
    <row r="24" spans="4:16">
      <c r="D24" s="41"/>
      <c r="E24" s="42"/>
      <c r="F24" s="42"/>
      <c r="G24" s="42"/>
      <c r="H24" s="42"/>
      <c r="I24" s="42"/>
      <c r="J24" s="42"/>
      <c r="K24" s="42"/>
      <c r="L24" s="42"/>
      <c r="M24" s="440"/>
      <c r="N24" s="440"/>
      <c r="O24" s="57"/>
      <c r="P24" s="43"/>
    </row>
    <row r="25" spans="4:16">
      <c r="D25" s="41"/>
      <c r="E25" s="42"/>
      <c r="F25" s="42"/>
      <c r="G25" s="42"/>
      <c r="H25" s="42"/>
      <c r="I25" s="42"/>
      <c r="J25" s="42"/>
      <c r="K25" s="42"/>
      <c r="L25" s="42"/>
      <c r="M25" s="42"/>
      <c r="N25" s="42"/>
      <c r="O25" s="42"/>
      <c r="P25" s="43"/>
    </row>
    <row r="26" spans="4:16" ht="13.5" thickBot="1">
      <c r="D26" s="45"/>
      <c r="E26" s="46"/>
      <c r="F26" s="46"/>
      <c r="G26" s="46"/>
      <c r="H26" s="46"/>
      <c r="I26" s="46"/>
      <c r="J26" s="46"/>
      <c r="K26" s="46"/>
      <c r="L26" s="46"/>
      <c r="M26" s="46"/>
      <c r="N26" s="46"/>
      <c r="O26" s="46"/>
      <c r="P26" s="47"/>
    </row>
  </sheetData>
  <mergeCells count="16">
    <mergeCell ref="M18:O18"/>
    <mergeCell ref="H13:L13"/>
    <mergeCell ref="I14:K14"/>
    <mergeCell ref="I16:K16"/>
    <mergeCell ref="E17:G17"/>
    <mergeCell ref="M17:O17"/>
    <mergeCell ref="E22:G22"/>
    <mergeCell ref="M22:N22"/>
    <mergeCell ref="M23:N23"/>
    <mergeCell ref="M24:N24"/>
    <mergeCell ref="E19:G19"/>
    <mergeCell ref="M19:N19"/>
    <mergeCell ref="E20:G20"/>
    <mergeCell ref="M20:N20"/>
    <mergeCell ref="E21:G21"/>
    <mergeCell ref="M21:N2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5:P29"/>
  <sheetViews>
    <sheetView showGridLines="0" workbookViewId="0">
      <selection activeCell="K37" sqref="K37"/>
    </sheetView>
  </sheetViews>
  <sheetFormatPr defaultRowHeight="12.75"/>
  <sheetData>
    <row r="5" spans="5:16" ht="13.5" thickBot="1"/>
    <row r="6" spans="5:16">
      <c r="E6" s="61"/>
      <c r="F6" s="62"/>
      <c r="G6" s="62"/>
      <c r="H6" s="62"/>
      <c r="I6" s="62"/>
      <c r="J6" s="62"/>
      <c r="K6" s="62"/>
      <c r="L6" s="62"/>
      <c r="M6" s="62"/>
      <c r="N6" s="62"/>
      <c r="O6" s="62"/>
      <c r="P6" s="63"/>
    </row>
    <row r="7" spans="5:16">
      <c r="E7" s="64"/>
      <c r="F7" s="42"/>
      <c r="G7" s="42"/>
      <c r="H7" s="42"/>
      <c r="I7" s="42"/>
      <c r="J7" s="42"/>
      <c r="K7" s="42"/>
      <c r="L7" s="42"/>
      <c r="M7" s="42"/>
      <c r="N7" s="42"/>
      <c r="O7" s="42"/>
      <c r="P7" s="65"/>
    </row>
    <row r="8" spans="5:16">
      <c r="E8" s="64"/>
      <c r="F8" s="42"/>
      <c r="G8" s="42"/>
      <c r="H8" s="42"/>
      <c r="I8" s="42"/>
      <c r="J8" s="42"/>
      <c r="K8" s="42"/>
      <c r="L8" s="42"/>
      <c r="M8" s="42"/>
      <c r="N8" s="42"/>
      <c r="O8" s="42"/>
      <c r="P8" s="65"/>
    </row>
    <row r="9" spans="5:16">
      <c r="E9" s="64"/>
      <c r="F9" s="42"/>
      <c r="G9" s="42"/>
      <c r="H9" s="42"/>
      <c r="I9" s="42"/>
      <c r="J9" s="42"/>
      <c r="K9" s="42"/>
      <c r="L9" s="42"/>
      <c r="M9" s="42"/>
      <c r="N9" s="42"/>
      <c r="O9" s="42"/>
      <c r="P9" s="65"/>
    </row>
    <row r="10" spans="5:16">
      <c r="E10" s="64"/>
      <c r="F10" s="42"/>
      <c r="G10" s="42"/>
      <c r="H10" s="42"/>
      <c r="I10" s="42"/>
      <c r="J10" s="42"/>
      <c r="K10" s="42"/>
      <c r="L10" s="42"/>
      <c r="M10" s="42"/>
      <c r="N10" s="42"/>
      <c r="O10" s="42"/>
      <c r="P10" s="65"/>
    </row>
    <row r="11" spans="5:16">
      <c r="E11" s="64"/>
      <c r="F11" s="42"/>
      <c r="G11" s="42"/>
      <c r="H11" s="42"/>
      <c r="I11" s="42"/>
      <c r="J11" s="42"/>
      <c r="K11" s="42"/>
      <c r="L11" s="42"/>
      <c r="M11" s="42"/>
      <c r="N11" s="42"/>
      <c r="O11" s="42"/>
      <c r="P11" s="65"/>
    </row>
    <row r="12" spans="5:16">
      <c r="E12" s="64"/>
      <c r="F12" s="42"/>
      <c r="G12" s="42"/>
      <c r="H12" s="42"/>
      <c r="I12" s="42"/>
      <c r="J12" s="42"/>
      <c r="K12" s="42"/>
      <c r="L12" s="42"/>
      <c r="M12" s="42"/>
      <c r="N12" s="42"/>
      <c r="O12" s="42"/>
      <c r="P12" s="65"/>
    </row>
    <row r="13" spans="5:16">
      <c r="E13" s="64"/>
      <c r="F13" s="42"/>
      <c r="G13" s="42"/>
      <c r="H13" s="42"/>
      <c r="I13" s="42"/>
      <c r="J13" s="42"/>
      <c r="K13" s="42"/>
      <c r="L13" s="42"/>
      <c r="M13" s="42"/>
      <c r="N13" s="42"/>
      <c r="O13" s="42"/>
      <c r="P13" s="65"/>
    </row>
    <row r="14" spans="5:16">
      <c r="E14" s="64"/>
      <c r="F14" s="42"/>
      <c r="G14" s="42"/>
      <c r="H14" s="42"/>
      <c r="I14" s="42"/>
      <c r="J14" s="42"/>
      <c r="K14" s="42"/>
      <c r="L14" s="42"/>
      <c r="M14" s="42"/>
      <c r="N14" s="42"/>
      <c r="O14" s="42"/>
      <c r="P14" s="65"/>
    </row>
    <row r="15" spans="5:16">
      <c r="E15" s="64"/>
      <c r="F15" s="42"/>
      <c r="G15" s="42"/>
      <c r="H15" s="42"/>
      <c r="I15" s="42"/>
      <c r="J15" s="42"/>
      <c r="K15" s="42"/>
      <c r="L15" s="42"/>
      <c r="M15" s="42"/>
      <c r="N15" s="42"/>
      <c r="O15" s="42"/>
      <c r="P15" s="65"/>
    </row>
    <row r="16" spans="5:16">
      <c r="E16" s="64"/>
      <c r="F16" s="42"/>
      <c r="G16" s="42"/>
      <c r="H16" s="42"/>
      <c r="I16" s="42"/>
      <c r="J16" s="42"/>
      <c r="K16" s="42"/>
      <c r="L16" s="42"/>
      <c r="M16" s="42"/>
      <c r="N16" s="42"/>
      <c r="O16" s="42"/>
      <c r="P16" s="65"/>
    </row>
    <row r="17" spans="5:16">
      <c r="E17" s="64"/>
      <c r="F17" s="42"/>
      <c r="G17" s="42"/>
      <c r="H17" s="42"/>
      <c r="I17" s="42"/>
      <c r="J17" s="42"/>
      <c r="K17" s="42"/>
      <c r="L17" s="42"/>
      <c r="M17" s="42"/>
      <c r="N17" s="42"/>
      <c r="O17" s="42"/>
      <c r="P17" s="65"/>
    </row>
    <row r="18" spans="5:16">
      <c r="E18" s="64"/>
      <c r="F18" s="42"/>
      <c r="G18" s="42"/>
      <c r="H18" s="42"/>
      <c r="I18" s="42"/>
      <c r="J18" s="42"/>
      <c r="K18" s="42"/>
      <c r="L18" s="42"/>
      <c r="M18" s="42"/>
      <c r="N18" s="42"/>
      <c r="O18" s="42"/>
      <c r="P18" s="65"/>
    </row>
    <row r="19" spans="5:16">
      <c r="E19" s="64"/>
      <c r="F19" s="42"/>
      <c r="G19" s="42"/>
      <c r="H19" s="42"/>
      <c r="I19" s="42"/>
      <c r="J19" s="42"/>
      <c r="K19" s="42"/>
      <c r="L19" s="42"/>
      <c r="M19" s="42"/>
      <c r="N19" s="42"/>
      <c r="O19" s="42"/>
      <c r="P19" s="65"/>
    </row>
    <row r="20" spans="5:16">
      <c r="E20" s="64"/>
      <c r="F20" s="42"/>
      <c r="G20" s="42"/>
      <c r="H20" s="42"/>
      <c r="I20" s="42"/>
      <c r="J20" s="42"/>
      <c r="K20" s="42"/>
      <c r="L20" s="42"/>
      <c r="M20" s="42"/>
      <c r="N20" s="42"/>
      <c r="O20" s="42"/>
      <c r="P20" s="65"/>
    </row>
    <row r="21" spans="5:16">
      <c r="E21" s="64"/>
      <c r="F21" s="42"/>
      <c r="G21" s="42"/>
      <c r="H21" s="42"/>
      <c r="I21" s="42"/>
      <c r="J21" s="42"/>
      <c r="K21" s="42"/>
      <c r="L21" s="42"/>
      <c r="M21" s="42"/>
      <c r="N21" s="42"/>
      <c r="O21" s="42"/>
      <c r="P21" s="65"/>
    </row>
    <row r="22" spans="5:16">
      <c r="E22" s="64"/>
      <c r="F22" s="42"/>
      <c r="G22" s="42"/>
      <c r="H22" s="42"/>
      <c r="I22" s="42"/>
      <c r="J22" s="42"/>
      <c r="K22" s="42"/>
      <c r="L22" s="42"/>
      <c r="M22" s="42"/>
      <c r="N22" s="42"/>
      <c r="O22" s="42"/>
      <c r="P22" s="65"/>
    </row>
    <row r="23" spans="5:16">
      <c r="E23" s="64"/>
      <c r="F23" s="42"/>
      <c r="G23" s="42"/>
      <c r="H23" s="42"/>
      <c r="I23" s="42"/>
      <c r="J23" s="42"/>
      <c r="K23" s="42"/>
      <c r="L23" s="42"/>
      <c r="M23" s="42"/>
      <c r="N23" s="42"/>
      <c r="O23" s="42"/>
      <c r="P23" s="65"/>
    </row>
    <row r="24" spans="5:16">
      <c r="E24" s="64"/>
      <c r="F24" s="42"/>
      <c r="G24" s="42"/>
      <c r="H24" s="42"/>
      <c r="I24" s="42"/>
      <c r="J24" s="42"/>
      <c r="K24" s="42"/>
      <c r="L24" s="42"/>
      <c r="M24" s="42"/>
      <c r="N24" s="42"/>
      <c r="O24" s="42"/>
      <c r="P24" s="65"/>
    </row>
    <row r="25" spans="5:16">
      <c r="E25" s="64"/>
      <c r="F25" s="42"/>
      <c r="G25" s="42"/>
      <c r="H25" s="42"/>
      <c r="I25" s="42"/>
      <c r="J25" s="42"/>
      <c r="K25" s="42"/>
      <c r="L25" s="42"/>
      <c r="M25" s="42"/>
      <c r="N25" s="42"/>
      <c r="O25" s="42"/>
      <c r="P25" s="65"/>
    </row>
    <row r="26" spans="5:16">
      <c r="E26" s="64"/>
      <c r="F26" s="42"/>
      <c r="G26" s="42"/>
      <c r="H26" s="42"/>
      <c r="I26" s="42"/>
      <c r="J26" s="42"/>
      <c r="K26" s="42"/>
      <c r="L26" s="42"/>
      <c r="M26" s="42"/>
      <c r="N26" s="42"/>
      <c r="O26" s="42"/>
      <c r="P26" s="65"/>
    </row>
    <row r="27" spans="5:16">
      <c r="E27" s="64"/>
      <c r="F27" s="42"/>
      <c r="G27" s="42"/>
      <c r="H27" s="42"/>
      <c r="I27" s="42"/>
      <c r="J27" s="42"/>
      <c r="K27" s="42"/>
      <c r="L27" s="42"/>
      <c r="M27" s="42"/>
      <c r="N27" s="42"/>
      <c r="O27" s="42"/>
      <c r="P27" s="65"/>
    </row>
    <row r="28" spans="5:16">
      <c r="E28" s="64"/>
      <c r="F28" s="42"/>
      <c r="G28" s="42"/>
      <c r="H28" s="42"/>
      <c r="I28" s="42"/>
      <c r="J28" s="42"/>
      <c r="K28" s="42"/>
      <c r="L28" s="42"/>
      <c r="M28" s="42"/>
      <c r="N28" s="42"/>
      <c r="O28" s="42"/>
      <c r="P28" s="65"/>
    </row>
    <row r="29" spans="5:16" ht="13.5" thickBot="1">
      <c r="E29" s="66"/>
      <c r="F29" s="67"/>
      <c r="G29" s="67"/>
      <c r="H29" s="67"/>
      <c r="I29" s="67"/>
      <c r="J29" s="67"/>
      <c r="K29" s="67"/>
      <c r="L29" s="67"/>
      <c r="M29" s="67"/>
      <c r="N29" s="67"/>
      <c r="O29" s="67"/>
      <c r="P29" s="68"/>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5:S7"/>
  <sheetViews>
    <sheetView showGridLines="0" topLeftCell="A37" zoomScale="90" zoomScaleNormal="90" workbookViewId="0">
      <selection activeCell="W25" sqref="W25"/>
    </sheetView>
  </sheetViews>
  <sheetFormatPr defaultRowHeight="12.75"/>
  <cols>
    <col min="5" max="5" width="11" customWidth="1"/>
    <col min="6" max="6" width="20" customWidth="1"/>
    <col min="7" max="7" width="11.42578125" customWidth="1"/>
    <col min="8" max="8" width="14.5703125" customWidth="1"/>
    <col min="10" max="10" width="11" customWidth="1"/>
    <col min="12" max="12" width="11.140625" customWidth="1"/>
    <col min="14" max="14" width="13.140625" customWidth="1"/>
    <col min="15" max="15" width="14.5703125" customWidth="1"/>
    <col min="16" max="16" width="11.5703125" customWidth="1"/>
  </cols>
  <sheetData>
    <row r="5" spans="4:19" ht="13.5" thickBot="1"/>
    <row r="6" spans="4:19">
      <c r="D6" s="452" t="s">
        <v>140</v>
      </c>
      <c r="E6" s="453"/>
      <c r="F6" s="456" t="s">
        <v>2</v>
      </c>
      <c r="G6" s="456"/>
      <c r="H6" s="456" t="s">
        <v>3</v>
      </c>
      <c r="I6" s="456"/>
      <c r="J6" s="456" t="s">
        <v>4</v>
      </c>
      <c r="K6" s="456"/>
      <c r="L6" s="456" t="s">
        <v>5</v>
      </c>
      <c r="M6" s="456"/>
      <c r="N6" s="456" t="s">
        <v>6</v>
      </c>
      <c r="O6" s="456"/>
      <c r="P6" s="456" t="s">
        <v>7</v>
      </c>
      <c r="Q6" s="457"/>
      <c r="R6" s="2"/>
      <c r="S6" s="2"/>
    </row>
    <row r="7" spans="4:19" ht="13.5" thickBot="1">
      <c r="D7" s="458" t="s">
        <v>141</v>
      </c>
      <c r="E7" s="454"/>
      <c r="F7" s="454" t="s">
        <v>142</v>
      </c>
      <c r="G7" s="454"/>
      <c r="H7" s="454" t="s">
        <v>144</v>
      </c>
      <c r="I7" s="454"/>
      <c r="J7" s="454" t="s">
        <v>143</v>
      </c>
      <c r="K7" s="454"/>
      <c r="L7" s="454" t="s">
        <v>145</v>
      </c>
      <c r="M7" s="454"/>
      <c r="N7" s="454" t="s">
        <v>142</v>
      </c>
      <c r="O7" s="454"/>
      <c r="P7" s="454" t="s">
        <v>146</v>
      </c>
      <c r="Q7" s="455"/>
    </row>
  </sheetData>
  <mergeCells count="14">
    <mergeCell ref="D6:E6"/>
    <mergeCell ref="N7:O7"/>
    <mergeCell ref="P7:Q7"/>
    <mergeCell ref="P6:Q6"/>
    <mergeCell ref="F6:G6"/>
    <mergeCell ref="H6:I6"/>
    <mergeCell ref="J6:K6"/>
    <mergeCell ref="L6:M6"/>
    <mergeCell ref="N6:O6"/>
    <mergeCell ref="D7:E7"/>
    <mergeCell ref="F7:G7"/>
    <mergeCell ref="H7:I7"/>
    <mergeCell ref="J7:K7"/>
    <mergeCell ref="L7:M7"/>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R1000"/>
  <sheetViews>
    <sheetView showGridLines="0" zoomScale="85" zoomScaleNormal="85" workbookViewId="0">
      <selection activeCell="L22" sqref="L22"/>
    </sheetView>
  </sheetViews>
  <sheetFormatPr defaultColWidth="12.5703125" defaultRowHeight="15" customHeight="1"/>
  <cols>
    <col min="2" max="2" width="32.5703125" bestFit="1" customWidth="1"/>
  </cols>
  <sheetData>
    <row r="1" spans="1:18" ht="15.75" customHeight="1"/>
    <row r="2" spans="1:18" ht="15.75" customHeight="1"/>
    <row r="3" spans="1:18" ht="15.75" customHeight="1">
      <c r="A3" s="1"/>
      <c r="B3" s="459" t="s">
        <v>0</v>
      </c>
      <c r="C3" s="459"/>
      <c r="D3" s="459"/>
      <c r="E3" s="459"/>
      <c r="F3" s="459"/>
      <c r="G3" s="459"/>
      <c r="H3" s="459"/>
      <c r="I3" s="459"/>
      <c r="J3" s="81"/>
      <c r="K3" s="81"/>
      <c r="L3" s="82"/>
    </row>
    <row r="4" spans="1:18" ht="15.75" customHeight="1">
      <c r="B4" s="69"/>
      <c r="C4" s="70" t="s">
        <v>1</v>
      </c>
      <c r="D4" s="70" t="s">
        <v>2</v>
      </c>
      <c r="E4" s="70" t="s">
        <v>3</v>
      </c>
      <c r="F4" s="70" t="s">
        <v>4</v>
      </c>
      <c r="G4" s="70" t="s">
        <v>5</v>
      </c>
      <c r="H4" s="70" t="s">
        <v>6</v>
      </c>
      <c r="I4" s="70" t="s">
        <v>7</v>
      </c>
    </row>
    <row r="5" spans="1:18" ht="15.75" customHeight="1">
      <c r="B5" s="72" t="s">
        <v>8</v>
      </c>
      <c r="C5" s="73">
        <v>1350300022</v>
      </c>
      <c r="D5" s="73">
        <v>25530863</v>
      </c>
      <c r="E5" s="73">
        <v>876318879</v>
      </c>
      <c r="F5" s="73">
        <v>108216108</v>
      </c>
      <c r="G5" s="73">
        <v>194990365</v>
      </c>
      <c r="H5" s="73">
        <v>31500000</v>
      </c>
      <c r="I5" s="73">
        <v>199938886</v>
      </c>
    </row>
    <row r="6" spans="1:18" ht="15.75" customHeight="1">
      <c r="B6" s="71"/>
      <c r="C6" s="74"/>
      <c r="D6" s="74"/>
      <c r="E6" s="74"/>
      <c r="F6" s="74"/>
      <c r="G6" s="74"/>
      <c r="H6" s="74"/>
      <c r="I6" s="74"/>
      <c r="L6" s="3"/>
      <c r="N6" s="4"/>
      <c r="O6" s="4"/>
      <c r="P6" s="4"/>
      <c r="Q6" s="4"/>
      <c r="R6" s="5"/>
    </row>
    <row r="7" spans="1:18" ht="15.75" customHeight="1">
      <c r="B7" s="75" t="s">
        <v>9</v>
      </c>
      <c r="C7" s="75">
        <v>290</v>
      </c>
      <c r="D7" s="75">
        <v>497.9</v>
      </c>
      <c r="E7" s="75">
        <v>123.6</v>
      </c>
      <c r="F7" s="75">
        <v>202.3</v>
      </c>
      <c r="G7" s="75">
        <v>61.9</v>
      </c>
      <c r="H7" s="76">
        <v>2486.9</v>
      </c>
      <c r="I7" s="75">
        <v>142</v>
      </c>
      <c r="L7" s="3"/>
      <c r="N7" s="4"/>
      <c r="O7" s="4"/>
      <c r="P7" s="4"/>
      <c r="Q7" s="4"/>
      <c r="R7" s="6"/>
    </row>
    <row r="8" spans="1:18" ht="15.75" customHeight="1">
      <c r="B8" s="75" t="s">
        <v>10</v>
      </c>
      <c r="C8" s="76">
        <v>388616.34600000002</v>
      </c>
      <c r="D8" s="76">
        <v>12142.477999999999</v>
      </c>
      <c r="E8" s="76">
        <v>103668.523</v>
      </c>
      <c r="F8" s="76">
        <v>22043.620999999999</v>
      </c>
      <c r="G8" s="76">
        <v>12206.397000000001</v>
      </c>
      <c r="H8" s="76">
        <v>77886.899999999994</v>
      </c>
      <c r="I8" s="76">
        <v>27391.627</v>
      </c>
      <c r="L8" s="3"/>
      <c r="N8" s="4"/>
      <c r="O8" s="4"/>
      <c r="P8" s="4"/>
      <c r="Q8" s="4"/>
      <c r="R8" s="5"/>
    </row>
    <row r="9" spans="1:18" ht="15.75" customHeight="1" thickBot="1">
      <c r="L9" s="3"/>
      <c r="N9" s="4"/>
      <c r="O9" s="4"/>
      <c r="P9" s="4"/>
      <c r="Q9" s="4"/>
      <c r="R9" s="5"/>
    </row>
    <row r="10" spans="1:18" ht="15.75" customHeight="1">
      <c r="B10" s="90" t="s">
        <v>11</v>
      </c>
      <c r="C10" s="90" t="s">
        <v>1</v>
      </c>
      <c r="D10" s="90" t="s">
        <v>2</v>
      </c>
      <c r="E10" s="99" t="s">
        <v>12</v>
      </c>
      <c r="F10" s="90" t="s">
        <v>4</v>
      </c>
      <c r="G10" s="90" t="s">
        <v>5</v>
      </c>
      <c r="H10" s="90" t="s">
        <v>6</v>
      </c>
      <c r="I10" s="89" t="s">
        <v>7</v>
      </c>
      <c r="J10" s="90" t="s">
        <v>13</v>
      </c>
      <c r="L10" s="3"/>
      <c r="N10" s="4"/>
      <c r="O10" s="4"/>
      <c r="P10" s="4"/>
      <c r="Q10" s="4"/>
      <c r="R10" s="5"/>
    </row>
    <row r="11" spans="1:18" ht="15.75" customHeight="1">
      <c r="A11" s="462">
        <v>2022</v>
      </c>
      <c r="B11" s="91" t="s">
        <v>14</v>
      </c>
      <c r="C11" s="94">
        <v>290</v>
      </c>
      <c r="D11" s="94">
        <v>497.9</v>
      </c>
      <c r="E11" s="100">
        <v>123.6</v>
      </c>
      <c r="F11" s="94">
        <v>202.3</v>
      </c>
      <c r="G11" s="94">
        <v>61.9</v>
      </c>
      <c r="H11" s="104">
        <v>2486.9</v>
      </c>
      <c r="I11" s="100">
        <v>142</v>
      </c>
      <c r="J11" s="107">
        <v>6547.46</v>
      </c>
      <c r="L11" s="3"/>
      <c r="N11" s="4"/>
      <c r="O11" s="4"/>
      <c r="P11" s="4"/>
      <c r="Q11" s="4"/>
      <c r="R11" s="5"/>
    </row>
    <row r="12" spans="1:18" ht="15.75" customHeight="1">
      <c r="A12" s="461"/>
      <c r="B12" s="92" t="s">
        <v>15</v>
      </c>
      <c r="C12" s="95">
        <v>287.8</v>
      </c>
      <c r="D12" s="97">
        <v>437.4</v>
      </c>
      <c r="E12" s="101">
        <v>118.3</v>
      </c>
      <c r="F12" s="97">
        <v>200.6</v>
      </c>
      <c r="G12" s="97">
        <v>62.6</v>
      </c>
      <c r="H12" s="105">
        <v>2472.6</v>
      </c>
      <c r="I12" s="101">
        <v>137</v>
      </c>
      <c r="J12" s="105">
        <v>6457.22</v>
      </c>
      <c r="L12" s="3"/>
      <c r="N12" s="4"/>
      <c r="O12" s="4"/>
      <c r="P12" s="4"/>
      <c r="Q12" s="4"/>
      <c r="R12" s="5"/>
    </row>
    <row r="13" spans="1:18" ht="15.75" customHeight="1">
      <c r="A13" s="461"/>
      <c r="B13" s="91" t="s">
        <v>16</v>
      </c>
      <c r="C13" s="94">
        <v>294.3</v>
      </c>
      <c r="D13" s="94">
        <v>383.6</v>
      </c>
      <c r="E13" s="102">
        <v>116.8</v>
      </c>
      <c r="F13" s="94">
        <v>198.6</v>
      </c>
      <c r="G13" s="94">
        <v>59</v>
      </c>
      <c r="H13" s="104">
        <v>2449.6999999999998</v>
      </c>
      <c r="I13" s="102">
        <v>120.3</v>
      </c>
      <c r="J13" s="107">
        <v>5980.51</v>
      </c>
      <c r="L13" s="3"/>
      <c r="N13" s="4"/>
      <c r="O13" s="4"/>
      <c r="P13" s="4"/>
      <c r="Q13" s="4"/>
      <c r="R13" s="6"/>
    </row>
    <row r="14" spans="1:18" ht="15.75" customHeight="1">
      <c r="A14" s="461"/>
      <c r="B14" s="92" t="s">
        <v>17</v>
      </c>
      <c r="C14" s="95">
        <v>294.10000000000002</v>
      </c>
      <c r="D14" s="97">
        <v>371.7</v>
      </c>
      <c r="E14" s="101">
        <v>129.80000000000001</v>
      </c>
      <c r="F14" s="97">
        <v>202.8</v>
      </c>
      <c r="G14" s="97">
        <v>62.1</v>
      </c>
      <c r="H14" s="105">
        <v>2421</v>
      </c>
      <c r="I14" s="101">
        <v>124.1</v>
      </c>
      <c r="J14" s="105">
        <v>6376.94</v>
      </c>
      <c r="L14" s="3"/>
      <c r="N14" s="4"/>
      <c r="O14" s="4"/>
      <c r="P14" s="4"/>
      <c r="Q14" s="4"/>
      <c r="R14" s="6"/>
    </row>
    <row r="15" spans="1:18" ht="15.75" customHeight="1">
      <c r="A15" s="461"/>
      <c r="B15" s="91" t="s">
        <v>18</v>
      </c>
      <c r="C15" s="94">
        <v>307.10000000000002</v>
      </c>
      <c r="D15" s="94">
        <v>392.9</v>
      </c>
      <c r="E15" s="102">
        <v>134.9</v>
      </c>
      <c r="F15" s="94">
        <v>199.6</v>
      </c>
      <c r="G15" s="94">
        <v>62.2</v>
      </c>
      <c r="H15" s="104">
        <v>2344.8000000000002</v>
      </c>
      <c r="I15" s="102">
        <v>124</v>
      </c>
      <c r="J15" s="107">
        <v>6392.85</v>
      </c>
      <c r="L15" s="3"/>
      <c r="N15" s="4"/>
      <c r="O15" s="4"/>
      <c r="P15" s="4"/>
      <c r="Q15" s="4"/>
      <c r="R15" s="5"/>
    </row>
    <row r="16" spans="1:18" ht="15.75" customHeight="1">
      <c r="A16" s="461"/>
      <c r="B16" s="92" t="s">
        <v>19</v>
      </c>
      <c r="C16" s="95">
        <v>319.89999999999998</v>
      </c>
      <c r="D16" s="97">
        <v>406.9</v>
      </c>
      <c r="E16" s="101">
        <v>148.9</v>
      </c>
      <c r="F16" s="97">
        <v>200.2</v>
      </c>
      <c r="G16" s="97">
        <v>66.400000000000006</v>
      </c>
      <c r="H16" s="105">
        <v>2353.1</v>
      </c>
      <c r="I16" s="101">
        <v>130.69999999999999</v>
      </c>
      <c r="J16" s="105">
        <v>6655.66</v>
      </c>
      <c r="L16" s="3"/>
      <c r="N16" s="4"/>
      <c r="O16" s="4"/>
      <c r="P16" s="4"/>
      <c r="Q16" s="4"/>
      <c r="R16" s="5"/>
    </row>
    <row r="17" spans="1:18" ht="15.75" customHeight="1">
      <c r="A17" s="461"/>
      <c r="B17" s="91" t="s">
        <v>20</v>
      </c>
      <c r="C17" s="94">
        <v>328.9</v>
      </c>
      <c r="D17" s="94">
        <v>400.2</v>
      </c>
      <c r="E17" s="102">
        <v>153.1</v>
      </c>
      <c r="F17" s="94">
        <v>195.7</v>
      </c>
      <c r="G17" s="94">
        <v>65.599999999999994</v>
      </c>
      <c r="H17" s="104">
        <v>2355.1999999999998</v>
      </c>
      <c r="I17" s="102">
        <v>137.19999999999999</v>
      </c>
      <c r="J17" s="107">
        <v>6757.83</v>
      </c>
      <c r="L17" s="3"/>
      <c r="N17" s="4"/>
      <c r="O17" s="4"/>
      <c r="P17" s="4"/>
      <c r="Q17" s="4"/>
      <c r="R17" s="6"/>
    </row>
    <row r="18" spans="1:18" ht="15.75" customHeight="1">
      <c r="A18" s="461"/>
      <c r="B18" s="92" t="s">
        <v>21</v>
      </c>
      <c r="C18" s="95">
        <v>340</v>
      </c>
      <c r="D18" s="97">
        <v>402.5</v>
      </c>
      <c r="E18" s="101">
        <v>147.6</v>
      </c>
      <c r="F18" s="97">
        <v>191.6</v>
      </c>
      <c r="G18" s="97">
        <v>66.64</v>
      </c>
      <c r="H18" s="105">
        <v>2399.4</v>
      </c>
      <c r="I18" s="101">
        <v>147.19999999999999</v>
      </c>
      <c r="J18" s="105">
        <v>6739.44</v>
      </c>
      <c r="L18" s="3"/>
      <c r="N18" s="4"/>
      <c r="O18" s="4"/>
      <c r="P18" s="4"/>
      <c r="Q18" s="4"/>
      <c r="R18" s="5"/>
    </row>
    <row r="19" spans="1:18" ht="15.75" customHeight="1">
      <c r="A19" s="461"/>
      <c r="B19" s="93" t="s">
        <v>22</v>
      </c>
      <c r="C19" s="96">
        <v>355.9</v>
      </c>
      <c r="D19" s="96">
        <v>407.1</v>
      </c>
      <c r="E19" s="103">
        <v>149.19999999999999</v>
      </c>
      <c r="F19" s="96">
        <v>191</v>
      </c>
      <c r="G19" s="96">
        <v>69.819999999999993</v>
      </c>
      <c r="H19" s="106">
        <v>2356.1</v>
      </c>
      <c r="I19" s="103">
        <v>161.69999999999999</v>
      </c>
      <c r="J19" s="108">
        <v>6926.29</v>
      </c>
      <c r="L19" s="3"/>
      <c r="N19" s="4"/>
      <c r="O19" s="4"/>
      <c r="P19" s="4"/>
      <c r="Q19" s="4"/>
      <c r="R19" s="6"/>
    </row>
    <row r="20" spans="1:18" ht="15.75" customHeight="1">
      <c r="A20" s="463">
        <v>2021</v>
      </c>
      <c r="B20" s="109"/>
      <c r="C20" s="110"/>
      <c r="D20" s="79"/>
      <c r="E20" s="79"/>
      <c r="F20" s="79"/>
      <c r="G20" s="79"/>
      <c r="H20" s="80"/>
      <c r="I20" s="79"/>
      <c r="J20" s="128"/>
      <c r="L20" s="3"/>
      <c r="N20" s="4"/>
      <c r="O20" s="4"/>
      <c r="P20" s="4"/>
      <c r="Q20" s="4"/>
      <c r="R20" s="6"/>
    </row>
    <row r="21" spans="1:18" ht="15.75" customHeight="1">
      <c r="A21" s="461"/>
      <c r="B21" s="116" t="s">
        <v>23</v>
      </c>
      <c r="C21" s="98">
        <v>349.5</v>
      </c>
      <c r="D21" s="136">
        <v>398.1</v>
      </c>
      <c r="E21" s="136">
        <v>148.4</v>
      </c>
      <c r="F21" s="136">
        <v>196.8</v>
      </c>
      <c r="G21" s="136">
        <v>70.09</v>
      </c>
      <c r="H21" s="137">
        <v>2301</v>
      </c>
      <c r="I21" s="136">
        <v>160.6</v>
      </c>
      <c r="J21" s="111">
        <v>6756.65</v>
      </c>
      <c r="L21" s="3"/>
      <c r="N21" s="4"/>
      <c r="O21" s="4"/>
      <c r="P21" s="4"/>
      <c r="Q21" s="4"/>
      <c r="R21" s="6"/>
    </row>
    <row r="22" spans="1:18" ht="15.75" customHeight="1">
      <c r="A22" s="461"/>
      <c r="B22" s="92" t="s">
        <v>24</v>
      </c>
      <c r="C22" s="95">
        <v>348.3</v>
      </c>
      <c r="D22" s="120">
        <v>388.9</v>
      </c>
      <c r="E22" s="120">
        <v>152</v>
      </c>
      <c r="F22" s="120">
        <v>194.3</v>
      </c>
      <c r="G22" s="120">
        <v>70.180000000000007</v>
      </c>
      <c r="H22" s="112">
        <v>2280.5</v>
      </c>
      <c r="I22" s="120">
        <v>159</v>
      </c>
      <c r="J22" s="112">
        <v>6703.25</v>
      </c>
      <c r="L22" s="3"/>
      <c r="N22" s="4"/>
      <c r="O22" s="4"/>
      <c r="P22" s="4"/>
      <c r="Q22" s="4"/>
      <c r="R22" s="6"/>
    </row>
    <row r="23" spans="1:18" ht="15.75" customHeight="1">
      <c r="A23" s="461"/>
      <c r="B23" s="91" t="s">
        <v>25</v>
      </c>
      <c r="C23" s="94">
        <v>358.5</v>
      </c>
      <c r="D23" s="119">
        <v>429.74</v>
      </c>
      <c r="E23" s="119">
        <v>163.1</v>
      </c>
      <c r="F23" s="119">
        <v>196</v>
      </c>
      <c r="G23" s="119">
        <v>72.91</v>
      </c>
      <c r="H23" s="122">
        <v>2295.1</v>
      </c>
      <c r="I23" s="119">
        <v>174.8</v>
      </c>
      <c r="J23" s="113">
        <v>7000.94</v>
      </c>
      <c r="L23" s="3"/>
      <c r="N23" s="4"/>
      <c r="O23" s="4"/>
      <c r="P23" s="4"/>
      <c r="Q23" s="4"/>
      <c r="R23" s="5"/>
    </row>
    <row r="24" spans="1:18" ht="15.75" customHeight="1">
      <c r="A24" s="461"/>
      <c r="B24" s="92" t="s">
        <v>14</v>
      </c>
      <c r="C24" s="95">
        <v>380.2</v>
      </c>
      <c r="D24" s="120">
        <v>409.65</v>
      </c>
      <c r="E24" s="120">
        <v>137.19999999999999</v>
      </c>
      <c r="F24" s="120">
        <v>202.8</v>
      </c>
      <c r="G24" s="120">
        <v>78.45</v>
      </c>
      <c r="H24" s="112">
        <v>2333.6999999999998</v>
      </c>
      <c r="I24" s="120">
        <v>196.8</v>
      </c>
      <c r="J24" s="112">
        <v>7329.03</v>
      </c>
      <c r="L24" s="3"/>
      <c r="N24" s="4"/>
      <c r="O24" s="4"/>
      <c r="P24" s="4"/>
      <c r="Q24" s="4"/>
      <c r="R24" s="5"/>
    </row>
    <row r="25" spans="1:18" ht="15.75" customHeight="1">
      <c r="A25" s="461"/>
      <c r="B25" s="91" t="s">
        <v>15</v>
      </c>
      <c r="C25" s="94">
        <v>362.6</v>
      </c>
      <c r="D25" s="119">
        <v>381.3</v>
      </c>
      <c r="E25" s="119">
        <v>107.2</v>
      </c>
      <c r="F25" s="119">
        <v>200</v>
      </c>
      <c r="G25" s="119">
        <v>74.73</v>
      </c>
      <c r="H25" s="122">
        <v>2322.8000000000002</v>
      </c>
      <c r="I25" s="119">
        <v>174.2</v>
      </c>
      <c r="J25" s="113">
        <v>6869.24</v>
      </c>
      <c r="L25" s="3"/>
      <c r="N25" s="4"/>
      <c r="O25" s="4"/>
      <c r="P25" s="4"/>
      <c r="Q25" s="4"/>
      <c r="R25" s="6"/>
    </row>
    <row r="26" spans="1:18" ht="15.75" customHeight="1">
      <c r="A26" s="461"/>
      <c r="B26" s="92" t="s">
        <v>16</v>
      </c>
      <c r="C26" s="95">
        <v>379.3</v>
      </c>
      <c r="D26" s="120">
        <v>356.78</v>
      </c>
      <c r="E26" s="120">
        <v>91.3</v>
      </c>
      <c r="F26" s="120">
        <v>190.8</v>
      </c>
      <c r="G26" s="120">
        <v>69.36</v>
      </c>
      <c r="H26" s="112">
        <v>2380</v>
      </c>
      <c r="I26" s="120">
        <v>174.1</v>
      </c>
      <c r="J26" s="112">
        <v>6425.25</v>
      </c>
      <c r="L26" s="3"/>
      <c r="N26" s="4"/>
      <c r="O26" s="4"/>
      <c r="P26" s="4"/>
      <c r="Q26" s="4"/>
      <c r="R26" s="6"/>
    </row>
    <row r="27" spans="1:18" ht="15.75" customHeight="1">
      <c r="A27" s="461"/>
      <c r="B27" s="91" t="s">
        <v>17</v>
      </c>
      <c r="C27" s="94">
        <v>349.4</v>
      </c>
      <c r="D27" s="119">
        <v>349.04</v>
      </c>
      <c r="E27" s="119">
        <v>89.5</v>
      </c>
      <c r="F27" s="119">
        <v>182.6</v>
      </c>
      <c r="G27" s="119">
        <v>68.180000000000007</v>
      </c>
      <c r="H27" s="122">
        <v>2229.1999999999998</v>
      </c>
      <c r="I27" s="119">
        <v>170</v>
      </c>
      <c r="J27" s="113">
        <v>6150.48</v>
      </c>
      <c r="L27" s="3"/>
      <c r="N27" s="4"/>
      <c r="O27" s="4"/>
      <c r="P27" s="4"/>
      <c r="Q27" s="4"/>
      <c r="R27" s="5"/>
    </row>
    <row r="28" spans="1:18" ht="15.75" customHeight="1">
      <c r="A28" s="461"/>
      <c r="B28" s="92" t="s">
        <v>18</v>
      </c>
      <c r="C28" s="95">
        <v>346.3</v>
      </c>
      <c r="D28" s="120">
        <v>411.13</v>
      </c>
      <c r="E28" s="120">
        <v>88.4</v>
      </c>
      <c r="F28" s="120">
        <v>185.4</v>
      </c>
      <c r="G28" s="120">
        <v>73.27</v>
      </c>
      <c r="H28" s="112">
        <v>2090.6</v>
      </c>
      <c r="I28" s="120">
        <v>174.2</v>
      </c>
      <c r="J28" s="112">
        <v>5990.98</v>
      </c>
      <c r="L28" s="3"/>
      <c r="N28" s="4"/>
      <c r="O28" s="4"/>
      <c r="P28" s="4"/>
      <c r="Q28" s="4"/>
      <c r="R28" s="5"/>
    </row>
    <row r="29" spans="1:18" ht="15.75" customHeight="1">
      <c r="A29" s="461"/>
      <c r="B29" s="91" t="s">
        <v>19</v>
      </c>
      <c r="C29" s="94">
        <v>339</v>
      </c>
      <c r="D29" s="119">
        <v>411.13</v>
      </c>
      <c r="E29" s="119">
        <v>87</v>
      </c>
      <c r="F29" s="119">
        <v>177</v>
      </c>
      <c r="G29" s="119">
        <v>73.27</v>
      </c>
      <c r="H29" s="122">
        <v>2055</v>
      </c>
      <c r="I29" s="119">
        <v>167.6</v>
      </c>
      <c r="J29" s="113">
        <v>5479.61</v>
      </c>
      <c r="L29" s="3"/>
      <c r="N29" s="4"/>
      <c r="O29" s="4"/>
      <c r="P29" s="4"/>
      <c r="Q29" s="4"/>
      <c r="R29" s="6"/>
    </row>
    <row r="30" spans="1:18" ht="15.75" customHeight="1">
      <c r="A30" s="461"/>
      <c r="B30" s="92" t="s">
        <v>20</v>
      </c>
      <c r="C30" s="95">
        <v>328.5</v>
      </c>
      <c r="D30" s="120">
        <v>411.13</v>
      </c>
      <c r="E30" s="120">
        <v>73.8</v>
      </c>
      <c r="F30" s="120">
        <v>166.8</v>
      </c>
      <c r="G30" s="120">
        <v>73.2</v>
      </c>
      <c r="H30" s="112">
        <v>2077</v>
      </c>
      <c r="I30" s="120">
        <v>164.6</v>
      </c>
      <c r="J30" s="112">
        <v>5278.16</v>
      </c>
      <c r="L30" s="3"/>
      <c r="N30" s="4"/>
      <c r="O30" s="4"/>
      <c r="P30" s="4"/>
      <c r="Q30" s="4"/>
      <c r="R30" s="6"/>
    </row>
    <row r="31" spans="1:18" ht="15.75" customHeight="1">
      <c r="A31" s="461"/>
      <c r="B31" s="91" t="s">
        <v>21</v>
      </c>
      <c r="C31" s="94">
        <v>338.3</v>
      </c>
      <c r="D31" s="119">
        <v>411.13</v>
      </c>
      <c r="E31" s="119">
        <v>80.5</v>
      </c>
      <c r="F31" s="119">
        <v>171.7</v>
      </c>
      <c r="G31" s="119">
        <v>73.2</v>
      </c>
      <c r="H31" s="122">
        <v>2105.1</v>
      </c>
      <c r="I31" s="119">
        <v>168</v>
      </c>
      <c r="J31" s="113">
        <v>5404.79</v>
      </c>
      <c r="L31" s="3"/>
      <c r="N31" s="4"/>
      <c r="O31" s="4"/>
      <c r="P31" s="4"/>
      <c r="Q31" s="4"/>
      <c r="R31" s="6"/>
    </row>
    <row r="32" spans="1:18" ht="15.75" customHeight="1">
      <c r="B32" s="117" t="s">
        <v>22</v>
      </c>
      <c r="C32" s="129">
        <v>371.9</v>
      </c>
      <c r="D32" s="130">
        <v>411.13</v>
      </c>
      <c r="E32" s="130">
        <v>87.2</v>
      </c>
      <c r="F32" s="130">
        <v>185.3</v>
      </c>
      <c r="G32" s="130">
        <v>73.2</v>
      </c>
      <c r="H32" s="114">
        <v>2153.1999999999998</v>
      </c>
      <c r="I32" s="130">
        <v>178.3</v>
      </c>
      <c r="J32" s="114">
        <v>5649.86</v>
      </c>
      <c r="L32" s="3"/>
      <c r="N32" s="4"/>
      <c r="O32" s="4"/>
      <c r="P32" s="4"/>
      <c r="Q32" s="4"/>
      <c r="R32" s="5"/>
    </row>
    <row r="33" spans="1:18" ht="15.75" customHeight="1">
      <c r="A33" s="460">
        <v>2020</v>
      </c>
      <c r="B33" s="93"/>
      <c r="C33" s="134"/>
      <c r="D33" s="134"/>
      <c r="E33" s="134"/>
      <c r="F33" s="134"/>
      <c r="G33" s="134"/>
      <c r="H33" s="138"/>
      <c r="I33" s="134"/>
      <c r="J33" s="139"/>
      <c r="L33" s="3"/>
      <c r="N33" s="4"/>
      <c r="O33" s="4"/>
      <c r="P33" s="4"/>
      <c r="Q33" s="4"/>
      <c r="R33" s="6"/>
    </row>
    <row r="34" spans="1:18" ht="15.75" customHeight="1">
      <c r="A34" s="461"/>
      <c r="B34" s="92" t="s">
        <v>23</v>
      </c>
      <c r="C34" s="124">
        <v>347.1</v>
      </c>
      <c r="D34" s="123">
        <v>411.13</v>
      </c>
      <c r="E34" s="123">
        <v>57</v>
      </c>
      <c r="F34" s="123">
        <v>198</v>
      </c>
      <c r="G34" s="123">
        <v>73.2</v>
      </c>
      <c r="H34" s="121">
        <v>2138.8000000000002</v>
      </c>
      <c r="I34" s="79">
        <v>191.1</v>
      </c>
      <c r="J34" s="118">
        <v>5402.06</v>
      </c>
      <c r="L34" s="3"/>
      <c r="N34" s="4"/>
      <c r="O34" s="4"/>
      <c r="P34" s="4"/>
      <c r="Q34" s="4"/>
      <c r="R34" s="5"/>
    </row>
    <row r="35" spans="1:18" ht="15.75" customHeight="1">
      <c r="A35" s="461"/>
      <c r="B35" s="91" t="s">
        <v>24</v>
      </c>
      <c r="C35" s="94">
        <v>319.10000000000002</v>
      </c>
      <c r="D35" s="119">
        <v>411.13</v>
      </c>
      <c r="E35" s="119">
        <v>24.3</v>
      </c>
      <c r="F35" s="119">
        <v>180.5</v>
      </c>
      <c r="G35" s="119">
        <v>73.2</v>
      </c>
      <c r="H35" s="122">
        <v>2110.9</v>
      </c>
      <c r="I35" s="119">
        <v>175.6</v>
      </c>
      <c r="J35" s="113">
        <v>4866.84</v>
      </c>
      <c r="L35" s="3"/>
      <c r="N35" s="4"/>
      <c r="O35" s="4"/>
      <c r="P35" s="4"/>
      <c r="Q35" s="4"/>
      <c r="R35" s="5"/>
    </row>
    <row r="36" spans="1:18" ht="15.75" customHeight="1">
      <c r="A36" s="461"/>
      <c r="B36" s="92" t="s">
        <v>25</v>
      </c>
      <c r="C36" s="95">
        <v>329.7</v>
      </c>
      <c r="D36" s="120">
        <v>373.75</v>
      </c>
      <c r="E36" s="120">
        <v>21.2</v>
      </c>
      <c r="F36" s="120">
        <v>194.5</v>
      </c>
      <c r="G36" s="120">
        <v>73.2</v>
      </c>
      <c r="H36" s="112">
        <v>2099.4</v>
      </c>
      <c r="I36" s="120">
        <v>178.8</v>
      </c>
      <c r="J36" s="112">
        <v>4846.1000000000004</v>
      </c>
      <c r="L36" s="3"/>
      <c r="N36" s="4"/>
      <c r="O36" s="4"/>
      <c r="P36" s="4"/>
      <c r="Q36" s="4"/>
      <c r="R36" s="6"/>
    </row>
    <row r="37" spans="1:18" ht="15.75" customHeight="1">
      <c r="A37" s="461"/>
      <c r="B37" s="91" t="s">
        <v>14</v>
      </c>
      <c r="C37" s="94">
        <v>330</v>
      </c>
      <c r="D37" s="119">
        <v>373.75</v>
      </c>
      <c r="E37" s="119">
        <v>24.3</v>
      </c>
      <c r="F37" s="119">
        <v>195.1</v>
      </c>
      <c r="G37" s="119">
        <v>73.2</v>
      </c>
      <c r="H37" s="122">
        <v>2146.3000000000002</v>
      </c>
      <c r="I37" s="119">
        <v>173.9</v>
      </c>
      <c r="J37" s="113">
        <v>4963.29</v>
      </c>
      <c r="L37" s="3"/>
      <c r="N37" s="4"/>
      <c r="O37" s="4"/>
      <c r="P37" s="4"/>
      <c r="Q37" s="4"/>
      <c r="R37" s="5"/>
    </row>
    <row r="38" spans="1:18" ht="15.75" customHeight="1">
      <c r="A38" s="461"/>
      <c r="B38" s="92" t="s">
        <v>15</v>
      </c>
      <c r="C38" s="95">
        <v>318.39999999999998</v>
      </c>
      <c r="D38" s="120">
        <v>373.83</v>
      </c>
      <c r="E38" s="120">
        <v>26.7</v>
      </c>
      <c r="F38" s="120">
        <v>189.2</v>
      </c>
      <c r="G38" s="120">
        <v>73.52</v>
      </c>
      <c r="H38" s="112">
        <v>1983.4</v>
      </c>
      <c r="I38" s="120">
        <v>182.6</v>
      </c>
      <c r="J38" s="112">
        <v>4879.1400000000003</v>
      </c>
      <c r="L38" s="3"/>
      <c r="N38" s="4"/>
      <c r="O38" s="4"/>
      <c r="P38" s="4"/>
      <c r="Q38" s="4"/>
      <c r="R38" s="5"/>
    </row>
    <row r="39" spans="1:18" ht="15.75" customHeight="1">
      <c r="A39" s="461"/>
      <c r="B39" s="91" t="s">
        <v>16</v>
      </c>
      <c r="C39" s="94">
        <v>258.5</v>
      </c>
      <c r="D39" s="119">
        <v>373.75</v>
      </c>
      <c r="E39" s="119">
        <v>13.4</v>
      </c>
      <c r="F39" s="119">
        <v>168.9</v>
      </c>
      <c r="G39" s="119">
        <v>73.2</v>
      </c>
      <c r="H39" s="122">
        <v>1700.8</v>
      </c>
      <c r="I39" s="119">
        <v>171.3</v>
      </c>
      <c r="J39" s="113">
        <v>4214.42</v>
      </c>
      <c r="L39" s="3"/>
      <c r="N39" s="4"/>
      <c r="O39" s="4"/>
      <c r="P39" s="4"/>
      <c r="Q39" s="4"/>
      <c r="R39" s="6"/>
    </row>
    <row r="40" spans="1:18" ht="15.75" customHeight="1">
      <c r="A40" s="461"/>
      <c r="B40" s="92" t="s">
        <v>17</v>
      </c>
      <c r="C40" s="95">
        <v>238.8</v>
      </c>
      <c r="D40" s="120">
        <v>373.75</v>
      </c>
      <c r="E40" s="120">
        <v>13</v>
      </c>
      <c r="F40" s="120">
        <v>157.80000000000001</v>
      </c>
      <c r="G40" s="120">
        <v>73.2</v>
      </c>
      <c r="H40" s="112">
        <v>1562.5</v>
      </c>
      <c r="I40" s="120">
        <v>150.19999999999999</v>
      </c>
      <c r="J40" s="112">
        <v>3989.08</v>
      </c>
      <c r="L40" s="3"/>
      <c r="N40" s="4"/>
      <c r="O40" s="4"/>
      <c r="P40" s="4"/>
      <c r="Q40" s="4"/>
      <c r="R40" s="5"/>
    </row>
    <row r="41" spans="1:18" ht="15.75" customHeight="1">
      <c r="A41" s="461"/>
      <c r="B41" s="91" t="s">
        <v>18</v>
      </c>
      <c r="C41" s="94">
        <v>255.9</v>
      </c>
      <c r="D41" s="119">
        <v>373.75</v>
      </c>
      <c r="E41" s="119">
        <v>14.3</v>
      </c>
      <c r="F41" s="119">
        <v>157.80000000000001</v>
      </c>
      <c r="G41" s="119">
        <v>73.2</v>
      </c>
      <c r="H41" s="122">
        <v>1562.5</v>
      </c>
      <c r="I41" s="119">
        <v>150.19999999999999</v>
      </c>
      <c r="J41" s="113">
        <v>4060.44</v>
      </c>
      <c r="L41" s="3"/>
      <c r="N41" s="4"/>
      <c r="O41" s="4"/>
      <c r="P41" s="4"/>
      <c r="Q41" s="4"/>
      <c r="R41" s="6"/>
    </row>
    <row r="42" spans="1:18" ht="15.75" customHeight="1">
      <c r="A42" s="461"/>
      <c r="B42" s="92" t="s">
        <v>19</v>
      </c>
      <c r="C42" s="95">
        <v>238.8</v>
      </c>
      <c r="D42" s="120">
        <v>472.8</v>
      </c>
      <c r="E42" s="120">
        <v>13</v>
      </c>
      <c r="F42" s="120">
        <v>157.80000000000001</v>
      </c>
      <c r="G42" s="120">
        <v>92.6</v>
      </c>
      <c r="H42" s="112">
        <v>1562.5</v>
      </c>
      <c r="I42" s="120">
        <v>150.19999999999999</v>
      </c>
      <c r="J42" s="112">
        <v>4008.28</v>
      </c>
      <c r="L42" s="3"/>
      <c r="N42" s="4"/>
      <c r="O42" s="4"/>
      <c r="P42" s="4"/>
      <c r="Q42" s="4"/>
      <c r="R42" s="5"/>
    </row>
    <row r="43" spans="1:18" ht="15.75" customHeight="1">
      <c r="A43" s="461"/>
      <c r="B43" s="91" t="s">
        <v>20</v>
      </c>
      <c r="C43" s="94">
        <v>238.8</v>
      </c>
      <c r="D43" s="119">
        <v>373.75</v>
      </c>
      <c r="E43" s="119">
        <v>13</v>
      </c>
      <c r="F43" s="119">
        <v>157.80000000000001</v>
      </c>
      <c r="G43" s="119">
        <v>73.2</v>
      </c>
      <c r="H43" s="122">
        <v>1562.5</v>
      </c>
      <c r="I43" s="119">
        <v>150.19999999999999</v>
      </c>
      <c r="J43" s="113">
        <v>4008.28</v>
      </c>
      <c r="L43" s="3"/>
      <c r="N43" s="4"/>
      <c r="O43" s="4"/>
      <c r="P43" s="4"/>
      <c r="Q43" s="4"/>
      <c r="R43" s="5"/>
    </row>
    <row r="44" spans="1:18" ht="15.75" customHeight="1">
      <c r="A44" s="461"/>
      <c r="B44" s="92" t="s">
        <v>21</v>
      </c>
      <c r="C44" s="95">
        <v>274.39999999999998</v>
      </c>
      <c r="D44" s="120">
        <v>324.58</v>
      </c>
      <c r="E44" s="120">
        <v>15.9</v>
      </c>
      <c r="F44" s="120">
        <v>163.1</v>
      </c>
      <c r="G44" s="120">
        <v>80.91</v>
      </c>
      <c r="H44" s="112">
        <v>1630.8</v>
      </c>
      <c r="I44" s="120">
        <v>183.4</v>
      </c>
      <c r="J44" s="112">
        <v>4480.22</v>
      </c>
      <c r="L44" s="3"/>
      <c r="N44" s="4"/>
      <c r="O44" s="4"/>
      <c r="P44" s="4"/>
      <c r="Q44" s="4"/>
      <c r="R44" s="6"/>
    </row>
    <row r="45" spans="1:18" ht="15.75" customHeight="1">
      <c r="B45" s="91" t="s">
        <v>22</v>
      </c>
      <c r="C45" s="94">
        <v>257.8</v>
      </c>
      <c r="D45" s="119">
        <v>274.47000000000003</v>
      </c>
      <c r="E45" s="119">
        <v>13.9</v>
      </c>
      <c r="F45" s="119">
        <v>158.30000000000001</v>
      </c>
      <c r="G45" s="119">
        <v>77.2</v>
      </c>
      <c r="H45" s="122">
        <v>1699.9</v>
      </c>
      <c r="I45" s="119">
        <v>195.1</v>
      </c>
      <c r="J45" s="113">
        <v>4469.6499999999996</v>
      </c>
      <c r="L45" s="3"/>
      <c r="N45" s="4"/>
      <c r="O45" s="4"/>
      <c r="P45" s="4"/>
      <c r="Q45" s="4"/>
      <c r="R45" s="5"/>
    </row>
    <row r="46" spans="1:18" ht="15.75" customHeight="1">
      <c r="A46" s="463">
        <v>2019</v>
      </c>
      <c r="B46" s="115"/>
      <c r="C46" s="125"/>
      <c r="D46" s="126"/>
      <c r="E46" s="126"/>
      <c r="F46" s="126"/>
      <c r="G46" s="126"/>
      <c r="H46" s="127"/>
      <c r="I46" s="126"/>
      <c r="J46" s="128"/>
      <c r="L46" s="3"/>
      <c r="N46" s="4"/>
      <c r="O46" s="4"/>
      <c r="P46" s="4"/>
      <c r="Q46" s="4"/>
      <c r="R46" s="5"/>
    </row>
    <row r="47" spans="1:18" ht="15.75" customHeight="1">
      <c r="A47" s="461"/>
      <c r="B47" s="91" t="s">
        <v>23</v>
      </c>
      <c r="C47" s="98">
        <v>285.8</v>
      </c>
      <c r="D47" s="98">
        <v>266.56</v>
      </c>
      <c r="E47" s="98">
        <v>13.8</v>
      </c>
      <c r="F47" s="98">
        <v>163.80000000000001</v>
      </c>
      <c r="G47" s="98">
        <v>78.569999999999993</v>
      </c>
      <c r="H47" s="88">
        <v>1673.3</v>
      </c>
      <c r="I47" s="135">
        <v>165</v>
      </c>
      <c r="J47" s="113">
        <v>4452.93</v>
      </c>
      <c r="L47" s="3"/>
      <c r="N47" s="4"/>
      <c r="O47" s="4"/>
      <c r="P47" s="4"/>
      <c r="Q47" s="4"/>
      <c r="R47" s="6"/>
    </row>
    <row r="48" spans="1:18" ht="15.75" customHeight="1">
      <c r="A48" s="461"/>
      <c r="B48" s="92" t="s">
        <v>24</v>
      </c>
      <c r="C48" s="95">
        <v>318.2</v>
      </c>
      <c r="D48" s="97">
        <v>279.68</v>
      </c>
      <c r="E48" s="97">
        <v>15.4</v>
      </c>
      <c r="F48" s="97">
        <v>193.8</v>
      </c>
      <c r="G48" s="97">
        <v>83.18</v>
      </c>
      <c r="H48" s="105">
        <v>1702.2</v>
      </c>
      <c r="I48" s="120">
        <v>183.2</v>
      </c>
      <c r="J48" s="112">
        <v>4731.43</v>
      </c>
      <c r="L48" s="3"/>
      <c r="N48" s="4"/>
      <c r="O48" s="4"/>
      <c r="P48" s="4"/>
      <c r="Q48" s="4"/>
      <c r="R48" s="5"/>
    </row>
    <row r="49" spans="1:18" ht="15.75" customHeight="1">
      <c r="A49" s="461"/>
      <c r="B49" s="91" t="s">
        <v>25</v>
      </c>
      <c r="C49" s="94">
        <v>317.5</v>
      </c>
      <c r="D49" s="94">
        <v>282.54000000000002</v>
      </c>
      <c r="E49" s="94">
        <v>15.4</v>
      </c>
      <c r="F49" s="94">
        <v>189.4</v>
      </c>
      <c r="G49" s="94">
        <v>83.04</v>
      </c>
      <c r="H49" s="104">
        <v>1725</v>
      </c>
      <c r="I49" s="119">
        <v>172.2</v>
      </c>
      <c r="J49" s="113">
        <v>4682.8999999999996</v>
      </c>
      <c r="L49" s="3"/>
      <c r="N49" s="4"/>
      <c r="O49" s="4"/>
      <c r="P49" s="4"/>
      <c r="Q49" s="4"/>
      <c r="R49" s="6"/>
    </row>
    <row r="50" spans="1:18" ht="15.75" customHeight="1">
      <c r="A50" s="461"/>
      <c r="B50" s="92" t="s">
        <v>14</v>
      </c>
      <c r="C50" s="95">
        <v>352.4</v>
      </c>
      <c r="D50" s="97">
        <v>272.92</v>
      </c>
      <c r="E50" s="97">
        <v>18.399999999999999</v>
      </c>
      <c r="F50" s="97">
        <v>184.4</v>
      </c>
      <c r="G50" s="97">
        <v>84.76</v>
      </c>
      <c r="H50" s="105">
        <v>1721.1</v>
      </c>
      <c r="I50" s="120">
        <v>204.4</v>
      </c>
      <c r="J50" s="112">
        <v>4947.63</v>
      </c>
      <c r="L50" s="3"/>
      <c r="N50" s="4"/>
      <c r="O50" s="4"/>
      <c r="P50" s="4"/>
      <c r="Q50" s="4"/>
      <c r="R50" s="6"/>
    </row>
    <row r="51" spans="1:18" ht="15.75" customHeight="1">
      <c r="A51" s="461"/>
      <c r="B51" s="91" t="s">
        <v>15</v>
      </c>
      <c r="C51" s="94">
        <v>312</v>
      </c>
      <c r="D51" s="94">
        <v>266.93</v>
      </c>
      <c r="E51" s="94">
        <v>20.100000000000001</v>
      </c>
      <c r="F51" s="94">
        <v>193</v>
      </c>
      <c r="G51" s="94">
        <v>83.31</v>
      </c>
      <c r="H51" s="104">
        <v>1841.9</v>
      </c>
      <c r="I51" s="119">
        <v>207.3</v>
      </c>
      <c r="J51" s="113">
        <v>5095.7700000000004</v>
      </c>
      <c r="L51" s="3"/>
      <c r="N51" s="4"/>
      <c r="O51" s="4"/>
      <c r="P51" s="4"/>
      <c r="Q51" s="4"/>
      <c r="R51" s="5"/>
    </row>
    <row r="52" spans="1:18" ht="15.75" customHeight="1">
      <c r="A52" s="461"/>
      <c r="B52" s="92" t="s">
        <v>16</v>
      </c>
      <c r="C52" s="95">
        <v>332.4</v>
      </c>
      <c r="D52" s="97">
        <v>248.55</v>
      </c>
      <c r="E52" s="97">
        <v>18.5</v>
      </c>
      <c r="F52" s="97">
        <v>191.5</v>
      </c>
      <c r="G52" s="97">
        <v>83.86</v>
      </c>
      <c r="H52" s="105">
        <v>1697.4</v>
      </c>
      <c r="I52" s="120">
        <v>222.5</v>
      </c>
      <c r="J52" s="112">
        <v>5138.79</v>
      </c>
      <c r="L52" s="3"/>
      <c r="N52" s="4"/>
      <c r="O52" s="4"/>
      <c r="P52" s="4"/>
      <c r="Q52" s="4"/>
      <c r="R52" s="6"/>
    </row>
    <row r="53" spans="1:18" ht="15.75" customHeight="1">
      <c r="A53" s="461"/>
      <c r="B53" s="91" t="s">
        <v>17</v>
      </c>
      <c r="C53" s="94">
        <v>364.7</v>
      </c>
      <c r="D53" s="94">
        <v>253.36</v>
      </c>
      <c r="E53" s="94">
        <v>22.4</v>
      </c>
      <c r="F53" s="94">
        <v>198.1</v>
      </c>
      <c r="G53" s="94">
        <v>86.34</v>
      </c>
      <c r="H53" s="104">
        <v>1517.5</v>
      </c>
      <c r="I53" s="119">
        <v>236.3</v>
      </c>
      <c r="J53" s="113">
        <v>5421.62</v>
      </c>
      <c r="L53" s="3"/>
      <c r="N53" s="4"/>
      <c r="O53" s="4"/>
      <c r="P53" s="4"/>
      <c r="Q53" s="4"/>
      <c r="R53" s="5"/>
    </row>
    <row r="54" spans="1:18" ht="15.75" customHeight="1">
      <c r="A54" s="461"/>
      <c r="B54" s="92" t="s">
        <v>18</v>
      </c>
      <c r="C54" s="95">
        <v>355.1</v>
      </c>
      <c r="D54" s="97">
        <v>251.65</v>
      </c>
      <c r="E54" s="97">
        <v>23</v>
      </c>
      <c r="F54" s="97">
        <v>203.8</v>
      </c>
      <c r="G54" s="97">
        <v>84.41</v>
      </c>
      <c r="H54" s="105">
        <v>1418</v>
      </c>
      <c r="I54" s="120">
        <v>225.8</v>
      </c>
      <c r="J54" s="112">
        <v>5377.74</v>
      </c>
      <c r="L54" s="3"/>
    </row>
    <row r="55" spans="1:18" ht="15.75" customHeight="1">
      <c r="A55" s="461"/>
      <c r="B55" s="91" t="s">
        <v>19</v>
      </c>
      <c r="C55" s="94">
        <v>358.7</v>
      </c>
      <c r="D55" s="94">
        <v>246.44</v>
      </c>
      <c r="E55" s="94">
        <v>22.9</v>
      </c>
      <c r="F55" s="94">
        <v>190.1</v>
      </c>
      <c r="G55" s="94">
        <v>85.1</v>
      </c>
      <c r="H55" s="104">
        <v>1408.9</v>
      </c>
      <c r="I55" s="119">
        <v>224.1</v>
      </c>
      <c r="J55" s="113">
        <v>5202.8500000000004</v>
      </c>
    </row>
    <row r="56" spans="1:18" ht="15.75" customHeight="1">
      <c r="A56" s="461"/>
      <c r="B56" s="92" t="s">
        <v>20</v>
      </c>
      <c r="C56" s="95">
        <v>409.2</v>
      </c>
      <c r="D56" s="97">
        <v>244.14</v>
      </c>
      <c r="E56" s="97">
        <v>22.5</v>
      </c>
      <c r="F56" s="97">
        <v>198.8</v>
      </c>
      <c r="G56" s="97">
        <v>92.52</v>
      </c>
      <c r="H56" s="105">
        <v>1436.8</v>
      </c>
      <c r="I56" s="120">
        <v>232.1</v>
      </c>
      <c r="J56" s="112">
        <v>5491.9</v>
      </c>
    </row>
    <row r="57" spans="1:18" ht="15.75" customHeight="1">
      <c r="A57" s="461"/>
      <c r="B57" s="91" t="s">
        <v>21</v>
      </c>
      <c r="C57" s="94">
        <v>393.5</v>
      </c>
      <c r="D57" s="94">
        <v>248.81</v>
      </c>
      <c r="E57" s="94">
        <v>23.6</v>
      </c>
      <c r="F57" s="94">
        <v>234.9</v>
      </c>
      <c r="G57" s="94">
        <v>91.05</v>
      </c>
      <c r="H57" s="104">
        <v>1310.0999999999999</v>
      </c>
      <c r="I57" s="119">
        <v>232</v>
      </c>
      <c r="J57" s="113">
        <v>5711.82</v>
      </c>
    </row>
    <row r="58" spans="1:18" ht="15.75" customHeight="1">
      <c r="B58" s="117" t="s">
        <v>22</v>
      </c>
      <c r="C58" s="129">
        <v>398.2</v>
      </c>
      <c r="D58" s="132">
        <v>249.6</v>
      </c>
      <c r="E58" s="132">
        <v>25.3</v>
      </c>
      <c r="F58" s="132">
        <v>220.8</v>
      </c>
      <c r="G58" s="132">
        <v>85.11</v>
      </c>
      <c r="H58" s="133">
        <v>1238.0999999999999</v>
      </c>
      <c r="I58" s="130">
        <v>240.4</v>
      </c>
      <c r="J58" s="114">
        <v>5821.01</v>
      </c>
    </row>
    <row r="59" spans="1:18" ht="15.75" customHeight="1">
      <c r="A59" s="460">
        <v>2018</v>
      </c>
      <c r="B59" s="93"/>
      <c r="C59" s="134"/>
      <c r="D59" s="134"/>
      <c r="E59" s="77"/>
      <c r="F59" s="77"/>
      <c r="G59" s="77"/>
      <c r="H59" s="78"/>
      <c r="I59" s="77"/>
      <c r="J59" s="113"/>
    </row>
    <row r="60" spans="1:18" ht="15.75" customHeight="1">
      <c r="A60" s="461"/>
      <c r="B60" s="92" t="s">
        <v>23</v>
      </c>
      <c r="C60" s="95">
        <v>367.3</v>
      </c>
      <c r="D60" s="120">
        <v>244.07</v>
      </c>
      <c r="E60" s="131">
        <v>23.5</v>
      </c>
      <c r="F60" s="131">
        <v>188.6</v>
      </c>
      <c r="G60" s="131">
        <v>80.86</v>
      </c>
      <c r="H60" s="118">
        <v>1200.2</v>
      </c>
      <c r="I60" s="131">
        <v>216.2</v>
      </c>
      <c r="J60" s="118">
        <v>5385.64</v>
      </c>
    </row>
    <row r="61" spans="1:18" ht="15.75" customHeight="1">
      <c r="A61" s="461"/>
      <c r="B61" s="91" t="s">
        <v>24</v>
      </c>
      <c r="C61" s="94">
        <v>362.7</v>
      </c>
      <c r="D61" s="119">
        <v>238.14</v>
      </c>
      <c r="E61" s="94">
        <v>21.9</v>
      </c>
      <c r="F61" s="94">
        <v>199.1</v>
      </c>
      <c r="G61" s="94">
        <v>80.11</v>
      </c>
      <c r="H61" s="104">
        <v>1213.9000000000001</v>
      </c>
      <c r="I61" s="94">
        <v>217.9</v>
      </c>
      <c r="J61" s="113">
        <v>5281.25</v>
      </c>
    </row>
    <row r="62" spans="1:18" ht="15.75" customHeight="1">
      <c r="A62" s="461"/>
      <c r="B62" s="92" t="s">
        <v>25</v>
      </c>
      <c r="C62" s="95">
        <v>379.8</v>
      </c>
      <c r="D62" s="120">
        <v>225.85</v>
      </c>
      <c r="E62" s="97">
        <v>23.43</v>
      </c>
      <c r="F62" s="97">
        <v>185.2</v>
      </c>
      <c r="G62" s="97">
        <v>83.18</v>
      </c>
      <c r="H62" s="105">
        <v>1189.9000000000001</v>
      </c>
      <c r="I62" s="97">
        <v>218.5</v>
      </c>
      <c r="J62" s="112">
        <v>5284.12</v>
      </c>
    </row>
    <row r="63" spans="1:18" ht="15.75" customHeight="1">
      <c r="A63" s="461"/>
      <c r="B63" s="91" t="s">
        <v>14</v>
      </c>
      <c r="C63" s="94">
        <v>370.4</v>
      </c>
      <c r="D63" s="119">
        <v>219.64</v>
      </c>
      <c r="E63" s="94">
        <v>22.76</v>
      </c>
      <c r="F63" s="94">
        <v>182</v>
      </c>
      <c r="G63" s="94">
        <v>83.3</v>
      </c>
      <c r="H63" s="104">
        <v>1181.4000000000001</v>
      </c>
      <c r="I63" s="94">
        <v>205</v>
      </c>
      <c r="J63" s="113">
        <v>5368.95</v>
      </c>
    </row>
    <row r="64" spans="1:18" ht="15.75" customHeight="1">
      <c r="A64" s="461"/>
      <c r="B64" s="92" t="s">
        <v>15</v>
      </c>
      <c r="C64" s="95">
        <v>386.6</v>
      </c>
      <c r="D64" s="120">
        <v>219.92</v>
      </c>
      <c r="E64" s="97">
        <v>25.05</v>
      </c>
      <c r="F64" s="97">
        <v>193.2</v>
      </c>
      <c r="G64" s="97">
        <v>85.43</v>
      </c>
      <c r="H64" s="105">
        <v>1133</v>
      </c>
      <c r="I64" s="97">
        <v>201.7</v>
      </c>
      <c r="J64" s="112">
        <v>5600.64</v>
      </c>
    </row>
    <row r="65" spans="1:10" ht="15.75" customHeight="1">
      <c r="A65" s="461"/>
      <c r="B65" s="91" t="s">
        <v>16</v>
      </c>
      <c r="C65" s="94">
        <v>390.2</v>
      </c>
      <c r="D65" s="119">
        <v>228.92</v>
      </c>
      <c r="E65" s="94">
        <v>24.1</v>
      </c>
      <c r="F65" s="94">
        <v>180.1</v>
      </c>
      <c r="G65" s="94">
        <v>84.18</v>
      </c>
      <c r="H65" s="104">
        <v>1144.9000000000001</v>
      </c>
      <c r="I65" s="94">
        <v>206.5</v>
      </c>
      <c r="J65" s="113">
        <v>5302.63</v>
      </c>
    </row>
    <row r="66" spans="1:10" ht="15.75" customHeight="1">
      <c r="A66" s="461"/>
      <c r="B66" s="117" t="s">
        <v>17</v>
      </c>
      <c r="C66" s="129">
        <v>388.9</v>
      </c>
      <c r="D66" s="130">
        <v>242.64</v>
      </c>
      <c r="E66" s="132">
        <v>24.95</v>
      </c>
      <c r="F66" s="132">
        <v>189.4</v>
      </c>
      <c r="G66" s="132">
        <v>81.86</v>
      </c>
      <c r="H66" s="133">
        <v>1160</v>
      </c>
      <c r="I66" s="132">
        <v>224.4</v>
      </c>
      <c r="J66" s="114">
        <v>5405.46</v>
      </c>
    </row>
    <row r="67" spans="1:10" ht="15.75" customHeight="1">
      <c r="J67" s="7"/>
    </row>
    <row r="68" spans="1:10" ht="15.75" customHeight="1">
      <c r="J68" s="7"/>
    </row>
    <row r="69" spans="1:10" ht="15.75" customHeight="1">
      <c r="J69" s="7"/>
    </row>
    <row r="70" spans="1:10" ht="15.75" customHeight="1">
      <c r="J70" s="7"/>
    </row>
    <row r="71" spans="1:10" ht="15.75" customHeight="1">
      <c r="J71" s="7"/>
    </row>
    <row r="72" spans="1:10" ht="15.75" customHeight="1">
      <c r="J72" s="7"/>
    </row>
    <row r="73" spans="1:10" ht="15.75" customHeight="1">
      <c r="J73" s="7"/>
    </row>
    <row r="74" spans="1:10" ht="15.75" customHeight="1">
      <c r="J74" s="7"/>
    </row>
    <row r="75" spans="1:10" ht="15.75" customHeight="1">
      <c r="J75" s="7"/>
    </row>
    <row r="76" spans="1:10" ht="15.75" customHeight="1">
      <c r="J76" s="7"/>
    </row>
    <row r="77" spans="1:10" ht="15.75" customHeight="1">
      <c r="J77" s="7"/>
    </row>
    <row r="78" spans="1:10" ht="15.75" customHeight="1">
      <c r="J78" s="7"/>
    </row>
    <row r="79" spans="1:10" ht="15.75" customHeight="1">
      <c r="J79" s="7"/>
    </row>
    <row r="80" spans="1:10" ht="15.75" customHeight="1">
      <c r="J80" s="7"/>
    </row>
    <row r="81" spans="10:10" ht="15.75" customHeight="1">
      <c r="J81" s="7"/>
    </row>
    <row r="82" spans="10:10" ht="15.75" customHeight="1">
      <c r="J82" s="7"/>
    </row>
    <row r="83" spans="10:10" ht="15.75" customHeight="1">
      <c r="J83" s="7"/>
    </row>
    <row r="84" spans="10:10" ht="15.75" customHeight="1">
      <c r="J84" s="7"/>
    </row>
    <row r="85" spans="10:10" ht="15.75" customHeight="1">
      <c r="J85" s="7"/>
    </row>
    <row r="86" spans="10:10" ht="15.75" customHeight="1">
      <c r="J86" s="7"/>
    </row>
    <row r="87" spans="10:10" ht="15.75" customHeight="1">
      <c r="J87" s="7"/>
    </row>
    <row r="88" spans="10:10" ht="15.75" customHeight="1">
      <c r="J88" s="7"/>
    </row>
    <row r="89" spans="10:10" ht="15.75" customHeight="1">
      <c r="J89" s="7"/>
    </row>
    <row r="90" spans="10:10" ht="15.75" customHeight="1">
      <c r="J90" s="7"/>
    </row>
    <row r="91" spans="10:10" ht="15.75" customHeight="1">
      <c r="J91" s="7"/>
    </row>
    <row r="92" spans="10:10" ht="15.75" customHeight="1">
      <c r="J92" s="7"/>
    </row>
    <row r="93" spans="10:10" ht="15.75" customHeight="1">
      <c r="J93" s="7"/>
    </row>
    <row r="94" spans="10:10" ht="15.75" customHeight="1">
      <c r="J94" s="7"/>
    </row>
    <row r="95" spans="10:10" ht="15.75" customHeight="1">
      <c r="J95" s="7"/>
    </row>
    <row r="96" spans="10:10" ht="15.75" customHeight="1">
      <c r="J96" s="7"/>
    </row>
    <row r="97" spans="10:10" ht="15.75" customHeight="1">
      <c r="J97" s="7"/>
    </row>
    <row r="98" spans="10:10" ht="15.75" customHeight="1">
      <c r="J98" s="7"/>
    </row>
    <row r="99" spans="10:10" ht="15.75" customHeight="1">
      <c r="J99" s="7"/>
    </row>
    <row r="100" spans="10:10" ht="15.75" customHeight="1">
      <c r="J100" s="7"/>
    </row>
    <row r="101" spans="10:10" ht="15.75" customHeight="1">
      <c r="J101" s="7"/>
    </row>
    <row r="102" spans="10:10" ht="15.75" customHeight="1">
      <c r="J102" s="7"/>
    </row>
    <row r="103" spans="10:10" ht="15.75" customHeight="1">
      <c r="J103" s="7"/>
    </row>
    <row r="104" spans="10:10" ht="15.75" customHeight="1">
      <c r="J104" s="7"/>
    </row>
    <row r="105" spans="10:10" ht="15.75" customHeight="1">
      <c r="J105" s="7"/>
    </row>
    <row r="106" spans="10:10" ht="15.75" customHeight="1">
      <c r="J106" s="7"/>
    </row>
    <row r="107" spans="10:10" ht="15.75" customHeight="1">
      <c r="J107" s="7"/>
    </row>
    <row r="108" spans="10:10" ht="15.75" customHeight="1">
      <c r="J108" s="7"/>
    </row>
    <row r="109" spans="10:10" ht="15.75" customHeight="1">
      <c r="J109" s="7"/>
    </row>
    <row r="110" spans="10:10" ht="15.75" customHeight="1">
      <c r="J110" s="7"/>
    </row>
    <row r="111" spans="10:10" ht="15.75" customHeight="1">
      <c r="J111" s="7"/>
    </row>
    <row r="112" spans="10:10" ht="15.75" customHeight="1">
      <c r="J112" s="7"/>
    </row>
    <row r="113" spans="10:10" ht="15.75" customHeight="1">
      <c r="J113" s="7"/>
    </row>
    <row r="114" spans="10:10" ht="15.75" customHeight="1">
      <c r="J114" s="7"/>
    </row>
    <row r="115" spans="10:10" ht="15.75" customHeight="1">
      <c r="J115" s="7"/>
    </row>
    <row r="116" spans="10:10" ht="15.75" customHeight="1">
      <c r="J116" s="7"/>
    </row>
    <row r="117" spans="10:10" ht="15.75" customHeight="1">
      <c r="J117" s="7"/>
    </row>
    <row r="118" spans="10:10" ht="15.75" customHeight="1">
      <c r="J118" s="7"/>
    </row>
    <row r="119" spans="10:10" ht="15.75" customHeight="1">
      <c r="J119" s="7"/>
    </row>
    <row r="120" spans="10:10" ht="15.75" customHeight="1">
      <c r="J120" s="7"/>
    </row>
    <row r="121" spans="10:10" ht="15.75" customHeight="1">
      <c r="J121" s="7"/>
    </row>
    <row r="122" spans="10:10" ht="15.75" customHeight="1">
      <c r="J122" s="7"/>
    </row>
    <row r="123" spans="10:10" ht="15.75" customHeight="1">
      <c r="J123" s="7"/>
    </row>
    <row r="124" spans="10:10" ht="15.75" customHeight="1">
      <c r="J124" s="7"/>
    </row>
    <row r="125" spans="10:10" ht="15.75" customHeight="1">
      <c r="J125" s="7"/>
    </row>
    <row r="126" spans="10:10" ht="15.75" customHeight="1">
      <c r="J126" s="7"/>
    </row>
    <row r="127" spans="10:10" ht="15.75" customHeight="1">
      <c r="J127" s="7"/>
    </row>
    <row r="128" spans="10:10" ht="15.75" customHeight="1">
      <c r="J128" s="7"/>
    </row>
    <row r="129" spans="10:10" ht="15.75" customHeight="1">
      <c r="J129" s="7"/>
    </row>
    <row r="130" spans="10:10" ht="15.75" customHeight="1">
      <c r="J130" s="7"/>
    </row>
    <row r="131" spans="10:10" ht="15.75" customHeight="1">
      <c r="J131" s="7"/>
    </row>
    <row r="132" spans="10:10" ht="15.75" customHeight="1">
      <c r="J132" s="7"/>
    </row>
    <row r="133" spans="10:10" ht="15.75" customHeight="1">
      <c r="J133" s="7"/>
    </row>
    <row r="134" spans="10:10" ht="15.75" customHeight="1">
      <c r="J134" s="7"/>
    </row>
    <row r="135" spans="10:10" ht="15.75" customHeight="1">
      <c r="J135" s="7"/>
    </row>
    <row r="136" spans="10:10" ht="15.75" customHeight="1">
      <c r="J136" s="7"/>
    </row>
    <row r="137" spans="10:10" ht="15.75" customHeight="1">
      <c r="J137" s="7"/>
    </row>
    <row r="138" spans="10:10" ht="15.75" customHeight="1">
      <c r="J138" s="7"/>
    </row>
    <row r="139" spans="10:10" ht="15.75" customHeight="1">
      <c r="J139" s="7"/>
    </row>
    <row r="140" spans="10:10" ht="15.75" customHeight="1">
      <c r="J140" s="7"/>
    </row>
    <row r="141" spans="10:10" ht="15.75" customHeight="1">
      <c r="J141" s="7"/>
    </row>
    <row r="142" spans="10:10" ht="15.75" customHeight="1">
      <c r="J142" s="7"/>
    </row>
    <row r="143" spans="10:10" ht="15.75" customHeight="1">
      <c r="J143" s="7"/>
    </row>
    <row r="144" spans="10:10" ht="15.75" customHeight="1">
      <c r="J144" s="7"/>
    </row>
    <row r="145" spans="10:10" ht="15.75" customHeight="1">
      <c r="J145" s="7"/>
    </row>
    <row r="146" spans="10:10" ht="15.75" customHeight="1">
      <c r="J146" s="7"/>
    </row>
    <row r="147" spans="10:10" ht="15.75" customHeight="1">
      <c r="J147" s="7"/>
    </row>
    <row r="148" spans="10:10" ht="15.75" customHeight="1">
      <c r="J148" s="7"/>
    </row>
    <row r="149" spans="10:10" ht="15.75" customHeight="1">
      <c r="J149" s="7"/>
    </row>
    <row r="150" spans="10:10" ht="15.75" customHeight="1">
      <c r="J150" s="7"/>
    </row>
    <row r="151" spans="10:10" ht="15.75" customHeight="1">
      <c r="J151" s="7"/>
    </row>
    <row r="152" spans="10:10" ht="15.75" customHeight="1">
      <c r="J152" s="7"/>
    </row>
    <row r="153" spans="10:10" ht="15.75" customHeight="1">
      <c r="J153" s="7"/>
    </row>
    <row r="154" spans="10:10" ht="15.75" customHeight="1">
      <c r="J154" s="7"/>
    </row>
    <row r="155" spans="10:10" ht="15.75" customHeight="1">
      <c r="J155" s="7"/>
    </row>
    <row r="156" spans="10:10" ht="15.75" customHeight="1">
      <c r="J156" s="7"/>
    </row>
    <row r="157" spans="10:10" ht="15.75" customHeight="1">
      <c r="J157" s="7"/>
    </row>
    <row r="158" spans="10:10" ht="15.75" customHeight="1">
      <c r="J158" s="7"/>
    </row>
    <row r="159" spans="10:10" ht="15.75" customHeight="1">
      <c r="J159" s="7"/>
    </row>
    <row r="160" spans="10:10" ht="15.75" customHeight="1">
      <c r="J160" s="7"/>
    </row>
    <row r="161" spans="10:10" ht="15.75" customHeight="1">
      <c r="J161" s="7"/>
    </row>
    <row r="162" spans="10:10" ht="15.75" customHeight="1">
      <c r="J162" s="7"/>
    </row>
    <row r="163" spans="10:10" ht="15.75" customHeight="1">
      <c r="J163" s="7"/>
    </row>
    <row r="164" spans="10:10" ht="15.75" customHeight="1">
      <c r="J164" s="7"/>
    </row>
    <row r="165" spans="10:10" ht="15.75" customHeight="1">
      <c r="J165" s="7"/>
    </row>
    <row r="166" spans="10:10" ht="15.75" customHeight="1">
      <c r="J166" s="7"/>
    </row>
    <row r="167" spans="10:10" ht="15.75" customHeight="1">
      <c r="J167" s="7"/>
    </row>
    <row r="168" spans="10:10" ht="15.75" customHeight="1">
      <c r="J168" s="7"/>
    </row>
    <row r="169" spans="10:10" ht="15.75" customHeight="1">
      <c r="J169" s="7"/>
    </row>
    <row r="170" spans="10:10" ht="15.75" customHeight="1">
      <c r="J170" s="7"/>
    </row>
    <row r="171" spans="10:10" ht="15.75" customHeight="1">
      <c r="J171" s="7"/>
    </row>
    <row r="172" spans="10:10" ht="15.75" customHeight="1">
      <c r="J172" s="7"/>
    </row>
    <row r="173" spans="10:10" ht="15.75" customHeight="1">
      <c r="J173" s="7"/>
    </row>
    <row r="174" spans="10:10" ht="15.75" customHeight="1">
      <c r="J174" s="7"/>
    </row>
    <row r="175" spans="10:10" ht="15.75" customHeight="1">
      <c r="J175" s="7"/>
    </row>
    <row r="176" spans="10:10" ht="15.75" customHeight="1">
      <c r="J176" s="7"/>
    </row>
    <row r="177" spans="10:10" ht="15.75" customHeight="1">
      <c r="J177" s="7"/>
    </row>
    <row r="178" spans="10:10" ht="15.75" customHeight="1">
      <c r="J178" s="7"/>
    </row>
    <row r="179" spans="10:10" ht="15.75" customHeight="1">
      <c r="J179" s="7"/>
    </row>
    <row r="180" spans="10:10" ht="15.75" customHeight="1">
      <c r="J180" s="7"/>
    </row>
    <row r="181" spans="10:10" ht="15.75" customHeight="1">
      <c r="J181" s="7"/>
    </row>
    <row r="182" spans="10:10" ht="15.75" customHeight="1">
      <c r="J182" s="7"/>
    </row>
    <row r="183" spans="10:10" ht="15.75" customHeight="1">
      <c r="J183" s="7"/>
    </row>
    <row r="184" spans="10:10" ht="15.75" customHeight="1">
      <c r="J184" s="7"/>
    </row>
    <row r="185" spans="10:10" ht="15.75" customHeight="1">
      <c r="J185" s="7"/>
    </row>
    <row r="186" spans="10:10" ht="15.75" customHeight="1">
      <c r="J186" s="7"/>
    </row>
    <row r="187" spans="10:10" ht="15.75" customHeight="1">
      <c r="J187" s="7"/>
    </row>
    <row r="188" spans="10:10" ht="15.75" customHeight="1">
      <c r="J188" s="7"/>
    </row>
    <row r="189" spans="10:10" ht="15.75" customHeight="1">
      <c r="J189" s="7"/>
    </row>
    <row r="190" spans="10:10" ht="15.75" customHeight="1">
      <c r="J190" s="7"/>
    </row>
    <row r="191" spans="10:10" ht="15.75" customHeight="1">
      <c r="J191" s="7"/>
    </row>
    <row r="192" spans="10:10" ht="15.75" customHeight="1">
      <c r="J192" s="7"/>
    </row>
    <row r="193" spans="10:10" ht="15.75" customHeight="1">
      <c r="J193" s="7"/>
    </row>
    <row r="194" spans="10:10" ht="15.75" customHeight="1">
      <c r="J194" s="7"/>
    </row>
    <row r="195" spans="10:10" ht="15.75" customHeight="1">
      <c r="J195" s="7"/>
    </row>
    <row r="196" spans="10:10" ht="15.75" customHeight="1">
      <c r="J196" s="7"/>
    </row>
    <row r="197" spans="10:10" ht="15.75" customHeight="1">
      <c r="J197" s="7"/>
    </row>
    <row r="198" spans="10:10" ht="15.75" customHeight="1">
      <c r="J198" s="7"/>
    </row>
    <row r="199" spans="10:10" ht="15.75" customHeight="1">
      <c r="J199" s="7"/>
    </row>
    <row r="200" spans="10:10" ht="15.75" customHeight="1">
      <c r="J200" s="7"/>
    </row>
    <row r="201" spans="10:10" ht="15.75" customHeight="1">
      <c r="J201" s="7"/>
    </row>
    <row r="202" spans="10:10" ht="15.75" customHeight="1">
      <c r="J202" s="7"/>
    </row>
    <row r="203" spans="10:10" ht="15.75" customHeight="1">
      <c r="J203" s="7"/>
    </row>
    <row r="204" spans="10:10" ht="15.75" customHeight="1">
      <c r="J204" s="7"/>
    </row>
    <row r="205" spans="10:10" ht="15.75" customHeight="1">
      <c r="J205" s="7"/>
    </row>
    <row r="206" spans="10:10" ht="15.75" customHeight="1">
      <c r="J206" s="7"/>
    </row>
    <row r="207" spans="10:10" ht="15.75" customHeight="1">
      <c r="J207" s="7"/>
    </row>
    <row r="208" spans="10:10" ht="15.75" customHeight="1">
      <c r="J208" s="7"/>
    </row>
    <row r="209" spans="10:10" ht="15.75" customHeight="1">
      <c r="J209" s="7"/>
    </row>
    <row r="210" spans="10:10" ht="15.75" customHeight="1">
      <c r="J210" s="7"/>
    </row>
    <row r="211" spans="10:10" ht="15.75" customHeight="1">
      <c r="J211" s="7"/>
    </row>
    <row r="212" spans="10:10" ht="15.75" customHeight="1">
      <c r="J212" s="7"/>
    </row>
    <row r="213" spans="10:10" ht="15.75" customHeight="1">
      <c r="J213" s="7"/>
    </row>
    <row r="214" spans="10:10" ht="15.75" customHeight="1">
      <c r="J214" s="7"/>
    </row>
    <row r="215" spans="10:10" ht="15.75" customHeight="1">
      <c r="J215" s="7"/>
    </row>
    <row r="216" spans="10:10" ht="15.75" customHeight="1">
      <c r="J216" s="7"/>
    </row>
    <row r="217" spans="10:10" ht="15.75" customHeight="1">
      <c r="J217" s="7"/>
    </row>
    <row r="218" spans="10:10" ht="15.75" customHeight="1">
      <c r="J218" s="7"/>
    </row>
    <row r="219" spans="10:10" ht="15.75" customHeight="1">
      <c r="J219" s="7"/>
    </row>
    <row r="220" spans="10:10" ht="15.75" customHeight="1">
      <c r="J220" s="7"/>
    </row>
    <row r="221" spans="10:10" ht="15.75" customHeight="1">
      <c r="J221" s="7"/>
    </row>
    <row r="222" spans="10:10" ht="15.75" customHeight="1">
      <c r="J222" s="7"/>
    </row>
    <row r="223" spans="10:10" ht="15.75" customHeight="1">
      <c r="J223" s="7"/>
    </row>
    <row r="224" spans="10:10" ht="15.75" customHeight="1">
      <c r="J224" s="7"/>
    </row>
    <row r="225" spans="10:10" ht="15.75" customHeight="1">
      <c r="J225" s="7"/>
    </row>
    <row r="226" spans="10:10" ht="15.75" customHeight="1">
      <c r="J226" s="7"/>
    </row>
    <row r="227" spans="10:10" ht="15.75" customHeight="1">
      <c r="J227" s="7"/>
    </row>
    <row r="228" spans="10:10" ht="15.75" customHeight="1">
      <c r="J228" s="7"/>
    </row>
    <row r="229" spans="10:10" ht="15.75" customHeight="1">
      <c r="J229" s="7"/>
    </row>
    <row r="230" spans="10:10" ht="15.75" customHeight="1">
      <c r="J230" s="7"/>
    </row>
    <row r="231" spans="10:10" ht="15.75" customHeight="1">
      <c r="J231" s="7"/>
    </row>
    <row r="232" spans="10:10" ht="15.75" customHeight="1">
      <c r="J232" s="7"/>
    </row>
    <row r="233" spans="10:10" ht="15.75" customHeight="1">
      <c r="J233" s="7"/>
    </row>
    <row r="234" spans="10:10" ht="15.75" customHeight="1">
      <c r="J234" s="7"/>
    </row>
    <row r="235" spans="10:10" ht="15.75" customHeight="1">
      <c r="J235" s="7"/>
    </row>
    <row r="236" spans="10:10" ht="15.75" customHeight="1">
      <c r="J236" s="7"/>
    </row>
    <row r="237" spans="10:10" ht="15.75" customHeight="1">
      <c r="J237" s="7"/>
    </row>
    <row r="238" spans="10:10" ht="15.75" customHeight="1">
      <c r="J238" s="7"/>
    </row>
    <row r="239" spans="10:10" ht="15.75" customHeight="1">
      <c r="J239" s="7"/>
    </row>
    <row r="240" spans="10:10" ht="15.75" customHeight="1">
      <c r="J240" s="7"/>
    </row>
    <row r="241" spans="10:10" ht="15.75" customHeight="1">
      <c r="J241" s="7"/>
    </row>
    <row r="242" spans="10:10" ht="15.75" customHeight="1">
      <c r="J242" s="7"/>
    </row>
    <row r="243" spans="10:10" ht="15.75" customHeight="1">
      <c r="J243" s="7"/>
    </row>
    <row r="244" spans="10:10" ht="15.75" customHeight="1">
      <c r="J244" s="7"/>
    </row>
    <row r="245" spans="10:10" ht="15.75" customHeight="1">
      <c r="J245" s="7"/>
    </row>
    <row r="246" spans="10:10" ht="15.75" customHeight="1">
      <c r="J246" s="7"/>
    </row>
    <row r="247" spans="10:10" ht="15.75" customHeight="1">
      <c r="J247" s="7"/>
    </row>
    <row r="248" spans="10:10" ht="15.75" customHeight="1">
      <c r="J248" s="7"/>
    </row>
    <row r="249" spans="10:10" ht="15.75" customHeight="1">
      <c r="J249" s="7"/>
    </row>
    <row r="250" spans="10:10" ht="15.75" customHeight="1">
      <c r="J250" s="7"/>
    </row>
    <row r="251" spans="10:10" ht="15.75" customHeight="1">
      <c r="J251" s="7"/>
    </row>
    <row r="252" spans="10:10" ht="15.75" customHeight="1">
      <c r="J252" s="7"/>
    </row>
    <row r="253" spans="10:10" ht="15.75" customHeight="1">
      <c r="J253" s="7"/>
    </row>
    <row r="254" spans="10:10" ht="15.75" customHeight="1">
      <c r="J254" s="7"/>
    </row>
    <row r="255" spans="10:10" ht="15.75" customHeight="1">
      <c r="J255" s="7"/>
    </row>
    <row r="256" spans="10:10" ht="15.75" customHeight="1">
      <c r="J256" s="7"/>
    </row>
    <row r="257" spans="10:10" ht="15.75" customHeight="1">
      <c r="J257" s="7"/>
    </row>
    <row r="258" spans="10:10" ht="15.75" customHeight="1">
      <c r="J258" s="7"/>
    </row>
    <row r="259" spans="10:10" ht="15.75" customHeight="1">
      <c r="J259" s="7"/>
    </row>
    <row r="260" spans="10:10" ht="15.75" customHeight="1">
      <c r="J260" s="7"/>
    </row>
    <row r="261" spans="10:10" ht="15.75" customHeight="1">
      <c r="J261" s="7"/>
    </row>
    <row r="262" spans="10:10" ht="15.75" customHeight="1">
      <c r="J262" s="7"/>
    </row>
    <row r="263" spans="10:10" ht="15.75" customHeight="1">
      <c r="J263" s="7"/>
    </row>
    <row r="264" spans="10:10" ht="15.75" customHeight="1">
      <c r="J264" s="7"/>
    </row>
    <row r="265" spans="10:10" ht="15.75" customHeight="1">
      <c r="J265" s="7"/>
    </row>
    <row r="266" spans="10:10" ht="15.75" customHeight="1">
      <c r="J266" s="7"/>
    </row>
    <row r="267" spans="10:10" ht="15.75" customHeight="1"/>
    <row r="268" spans="10:10" ht="15.75" customHeight="1"/>
    <row r="269" spans="10:10" ht="15.75" customHeight="1"/>
    <row r="270" spans="10:10" ht="15.75" customHeight="1"/>
    <row r="271" spans="10:10" ht="15.75" customHeight="1"/>
    <row r="272" spans="10:10"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B3:I3"/>
    <mergeCell ref="A59:A66"/>
    <mergeCell ref="A11:A19"/>
    <mergeCell ref="A20:A31"/>
    <mergeCell ref="A33:A44"/>
    <mergeCell ref="A46:A57"/>
  </mergeCells>
  <pageMargins left="0.7" right="0.7" top="0.75" bottom="0.75" header="0" footer="0"/>
  <pageSetup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1000"/>
  <sheetViews>
    <sheetView showGridLines="0" workbookViewId="0">
      <selection activeCell="N10" sqref="N10"/>
    </sheetView>
  </sheetViews>
  <sheetFormatPr defaultColWidth="12.5703125" defaultRowHeight="15" customHeight="1"/>
  <cols>
    <col min="2" max="2" width="14.7109375" customWidth="1"/>
    <col min="3" max="3" width="16.5703125" customWidth="1"/>
  </cols>
  <sheetData>
    <row r="1" spans="1:12" ht="15.75" customHeight="1">
      <c r="A1" s="465" t="s">
        <v>155</v>
      </c>
      <c r="B1" s="465"/>
      <c r="C1" s="465"/>
      <c r="D1" s="465"/>
      <c r="E1" s="465"/>
      <c r="F1" s="465"/>
      <c r="G1" s="465"/>
      <c r="H1" s="465"/>
      <c r="I1" s="465"/>
      <c r="J1" s="465"/>
    </row>
    <row r="2" spans="1:12" ht="15.75" customHeight="1">
      <c r="A2" s="156"/>
      <c r="B2" s="154" t="s">
        <v>11</v>
      </c>
      <c r="C2" s="154" t="s">
        <v>1</v>
      </c>
      <c r="D2" s="157" t="s">
        <v>2</v>
      </c>
      <c r="E2" s="153" t="s">
        <v>3</v>
      </c>
      <c r="F2" s="157" t="s">
        <v>4</v>
      </c>
      <c r="G2" s="157" t="s">
        <v>5</v>
      </c>
      <c r="H2" s="157" t="s">
        <v>6</v>
      </c>
      <c r="I2" s="157" t="s">
        <v>7</v>
      </c>
      <c r="J2" s="158" t="s">
        <v>13</v>
      </c>
    </row>
    <row r="3" spans="1:12" ht="15.75" customHeight="1">
      <c r="A3" s="466">
        <v>2022</v>
      </c>
      <c r="B3" s="116" t="s">
        <v>14</v>
      </c>
      <c r="C3" s="84">
        <f>LN('Price Data'!C11/'Price Data'!C12)</f>
        <v>7.6151285272521218E-3</v>
      </c>
      <c r="D3" s="142">
        <f>LN('Price Data'!D11/'Price Data'!D12)</f>
        <v>0.12955114540546958</v>
      </c>
      <c r="E3" s="84">
        <f>LN('Price Data'!E11/'Price Data'!E12)</f>
        <v>4.3826774039249249E-2</v>
      </c>
      <c r="F3" s="142">
        <f>LN('Price Data'!F11/'Price Data'!F12)</f>
        <v>8.4388686458646035E-3</v>
      </c>
      <c r="G3" s="84">
        <f>LN('Price Data'!G11/'Price Data'!G12)</f>
        <v>-1.1245098415502515E-2</v>
      </c>
      <c r="H3" s="142">
        <f>LN('Price Data'!H11/'Price Data'!H12)</f>
        <v>5.7667263349172248E-3</v>
      </c>
      <c r="I3" s="84">
        <f>LN('Price Data'!I11/'Price Data'!I12)</f>
        <v>3.5846131773135878E-2</v>
      </c>
      <c r="J3" s="145">
        <f>LN('Price Data'!J11/'Price Data'!J12)</f>
        <v>1.3878303564919779E-2</v>
      </c>
    </row>
    <row r="4" spans="1:12" ht="15.75" customHeight="1">
      <c r="A4" s="466"/>
      <c r="B4" s="92" t="s">
        <v>15</v>
      </c>
      <c r="C4" s="83">
        <f>LN('Price Data'!C12/'Price Data'!C13)</f>
        <v>-2.2333860786159659E-2</v>
      </c>
      <c r="D4" s="141">
        <f>LN('Price Data'!D12/'Price Data'!D13)</f>
        <v>0.13124776523338422</v>
      </c>
      <c r="E4" s="83">
        <f>LN('Price Data'!E12/'Price Data'!E13)</f>
        <v>1.2760700590214488E-2</v>
      </c>
      <c r="F4" s="141">
        <f>LN('Price Data'!F12/'Price Data'!F13)</f>
        <v>1.0020123916763003E-2</v>
      </c>
      <c r="G4" s="83">
        <f>LN('Price Data'!G12/'Price Data'!G13)</f>
        <v>5.9227834200333319E-2</v>
      </c>
      <c r="H4" s="141">
        <f>LN('Price Data'!H12/'Price Data'!H13)</f>
        <v>9.3046605111342159E-3</v>
      </c>
      <c r="I4" s="83">
        <f>LN('Price Data'!I12/'Price Data'!I13)</f>
        <v>0.12999230284749178</v>
      </c>
      <c r="J4" s="141">
        <f>LN('Price Data'!J12/'Price Data'!J13)</f>
        <v>7.6693036007184176E-2</v>
      </c>
    </row>
    <row r="5" spans="1:12" ht="15.75" customHeight="1">
      <c r="A5" s="466"/>
      <c r="B5" s="91" t="s">
        <v>16</v>
      </c>
      <c r="C5" s="84">
        <f>LN('Price Data'!C13/'Price Data'!C14)</f>
        <v>6.7980967947770139E-4</v>
      </c>
      <c r="D5" s="142">
        <f>LN('Price Data'!D13/'Price Data'!D14)</f>
        <v>3.1513265706076807E-2</v>
      </c>
      <c r="E5" s="84">
        <f>LN('Price Data'!E13/'Price Data'!E14)</f>
        <v>-0.10553173387586309</v>
      </c>
      <c r="F5" s="142">
        <f>LN('Price Data'!F13/'Price Data'!F14)</f>
        <v>-2.0927520105955989E-2</v>
      </c>
      <c r="G5" s="84">
        <f>LN('Price Data'!G13/'Price Data'!G14)</f>
        <v>-5.120854503371363E-2</v>
      </c>
      <c r="H5" s="142">
        <f>LN('Price Data'!H13/'Price Data'!H14)</f>
        <v>1.1784890123633981E-2</v>
      </c>
      <c r="I5" s="84">
        <f>LN('Price Data'!I13/'Price Data'!I14)</f>
        <v>-3.1099069229928344E-2</v>
      </c>
      <c r="J5" s="142">
        <f>LN('Price Data'!J13/'Price Data'!J14)</f>
        <v>-6.4182509868970644E-2</v>
      </c>
    </row>
    <row r="6" spans="1:12" ht="15.75" customHeight="1">
      <c r="A6" s="466"/>
      <c r="B6" s="92" t="s">
        <v>17</v>
      </c>
      <c r="C6" s="83">
        <f>LN('Price Data'!C14/'Price Data'!C15)</f>
        <v>-4.3253581886827312E-2</v>
      </c>
      <c r="D6" s="141">
        <f>LN('Price Data'!D14/'Price Data'!D15)</f>
        <v>-5.5468049261207547E-2</v>
      </c>
      <c r="E6" s="83">
        <f>LN('Price Data'!E14/'Price Data'!E15)</f>
        <v>-3.8538958943720586E-2</v>
      </c>
      <c r="F6" s="141">
        <f>LN('Price Data'!F14/'Price Data'!F15)</f>
        <v>1.5904907839664514E-2</v>
      </c>
      <c r="G6" s="83">
        <f>LN('Price Data'!G14/'Price Data'!G15)</f>
        <v>-1.6090108057006626E-3</v>
      </c>
      <c r="H6" s="141">
        <f>LN('Price Data'!H14/'Price Data'!H15)</f>
        <v>3.198056754137571E-2</v>
      </c>
      <c r="I6" s="83">
        <f>LN('Price Data'!I14/'Price Data'!I15)</f>
        <v>8.0612660552459325E-4</v>
      </c>
      <c r="J6" s="141">
        <f>LN('Price Data'!J14/'Price Data'!J15)</f>
        <v>-2.4918198705412464E-3</v>
      </c>
    </row>
    <row r="7" spans="1:12" ht="15.75" customHeight="1">
      <c r="A7" s="466"/>
      <c r="B7" s="91" t="s">
        <v>18</v>
      </c>
      <c r="C7" s="84">
        <f>LN('Price Data'!C15/'Price Data'!C16)</f>
        <v>-4.0835019508695454E-2</v>
      </c>
      <c r="D7" s="142">
        <f>LN('Price Data'!D15/'Price Data'!D16)</f>
        <v>-3.5012328443230233E-2</v>
      </c>
      <c r="E7" s="84">
        <f>LN('Price Data'!E15/'Price Data'!E16)</f>
        <v>-9.874117647625312E-2</v>
      </c>
      <c r="F7" s="142">
        <f>LN('Price Data'!F15/'Price Data'!F16)</f>
        <v>-3.00150300375662E-3</v>
      </c>
      <c r="G7" s="84">
        <f>LN('Price Data'!G15/'Price Data'!G16)</f>
        <v>-6.534205673725442E-2</v>
      </c>
      <c r="H7" s="142">
        <f>LN('Price Data'!H15/'Price Data'!H16)</f>
        <v>-3.5334973651520219E-3</v>
      </c>
      <c r="I7" s="84">
        <f>LN('Price Data'!I15/'Price Data'!I16)</f>
        <v>-5.2623055025139281E-2</v>
      </c>
      <c r="J7" s="142">
        <f>LN('Price Data'!J15/'Price Data'!J16)</f>
        <v>-4.0287442136930966E-2</v>
      </c>
    </row>
    <row r="8" spans="1:12" ht="15.75" customHeight="1">
      <c r="A8" s="466"/>
      <c r="B8" s="92" t="s">
        <v>19</v>
      </c>
      <c r="C8" s="83">
        <f>LN('Price Data'!C16/'Price Data'!C17)</f>
        <v>-2.7745306239538928E-2</v>
      </c>
      <c r="D8" s="141">
        <f>LN('Price Data'!D16/'Price Data'!D17)</f>
        <v>1.6603032858011162E-2</v>
      </c>
      <c r="E8" s="83">
        <f>LN('Price Data'!E16/'Price Data'!E17)</f>
        <v>-2.7816362973674739E-2</v>
      </c>
      <c r="F8" s="141">
        <f>LN('Price Data'!F16/'Price Data'!F17)</f>
        <v>2.2733992479089596E-2</v>
      </c>
      <c r="G8" s="83">
        <f>LN('Price Data'!G16/'Price Data'!G17)</f>
        <v>1.2121360532345041E-2</v>
      </c>
      <c r="H8" s="141">
        <f>LN('Price Data'!H16/'Price Data'!H17)</f>
        <v>-8.9204177272232069E-4</v>
      </c>
      <c r="I8" s="83">
        <f>LN('Price Data'!I16/'Price Data'!I17)</f>
        <v>-4.8535094661608637E-2</v>
      </c>
      <c r="J8" s="141">
        <f>LN('Price Data'!J16/'Price Data'!J17)</f>
        <v>-1.5234212120862711E-2</v>
      </c>
    </row>
    <row r="9" spans="1:12" ht="15.75" customHeight="1">
      <c r="A9" s="466"/>
      <c r="B9" s="91" t="s">
        <v>20</v>
      </c>
      <c r="C9" s="84">
        <f>LN('Price Data'!C17/'Price Data'!C18)</f>
        <v>-3.3191864415195851E-2</v>
      </c>
      <c r="D9" s="142">
        <f>LN('Price Data'!D17/'Price Data'!D18)</f>
        <v>-5.7306747089850953E-3</v>
      </c>
      <c r="E9" s="84">
        <f>LN('Price Data'!E17/'Price Data'!E18)</f>
        <v>3.658539049726596E-2</v>
      </c>
      <c r="F9" s="142">
        <f>LN('Price Data'!F17/'Price Data'!F18)</f>
        <v>2.1173008865270428E-2</v>
      </c>
      <c r="G9" s="84">
        <f>LN('Price Data'!G17/'Price Data'!G18)</f>
        <v>-1.5729301908544029E-2</v>
      </c>
      <c r="H9" s="142">
        <f>LN('Price Data'!H17/'Price Data'!H18)</f>
        <v>-1.8593056546270671E-2</v>
      </c>
      <c r="I9" s="84">
        <f>LN('Price Data'!I17/'Price Data'!I18)</f>
        <v>-7.0352491002991041E-2</v>
      </c>
      <c r="J9" s="142">
        <f>LN('Price Data'!J17/'Price Data'!J18)</f>
        <v>2.7249971853191219E-3</v>
      </c>
    </row>
    <row r="10" spans="1:12" ht="15.75" customHeight="1">
      <c r="A10" s="466"/>
      <c r="B10" s="92" t="s">
        <v>21</v>
      </c>
      <c r="C10" s="83">
        <f>LN('Price Data'!C18/'Price Data'!C19)</f>
        <v>-4.5704174905939816E-2</v>
      </c>
      <c r="D10" s="141">
        <f>LN('Price Data'!D18/'Price Data'!D19)</f>
        <v>-1.1363758650315095E-2</v>
      </c>
      <c r="E10" s="83">
        <f>LN('Price Data'!E18/'Price Data'!E19)</f>
        <v>-1.0781775603288362E-2</v>
      </c>
      <c r="F10" s="141">
        <f>LN('Price Data'!F18/'Price Data'!F19)</f>
        <v>3.1364374901303115E-3</v>
      </c>
      <c r="G10" s="83">
        <f>LN('Price Data'!G18/'Price Data'!G19)</f>
        <v>-4.6615503818302595E-2</v>
      </c>
      <c r="H10" s="141">
        <f>LN('Price Data'!H18/'Price Data'!H19)</f>
        <v>1.8210996388374593E-2</v>
      </c>
      <c r="I10" s="83">
        <f>LN('Price Data'!I18/'Price Data'!I19)</f>
        <v>-9.3950560288285315E-2</v>
      </c>
      <c r="J10" s="141">
        <f>LN('Price Data'!J18/'Price Data'!J19)</f>
        <v>-2.7347480894623362E-2</v>
      </c>
    </row>
    <row r="11" spans="1:12" ht="15.75" customHeight="1">
      <c r="A11" s="466"/>
      <c r="B11" s="140" t="s">
        <v>22</v>
      </c>
      <c r="C11" s="85">
        <f>LN('Price Data'!C19/'Price Data'!C21)</f>
        <v>1.8146230842281955E-2</v>
      </c>
      <c r="D11" s="143">
        <f>LN('Price Data'!D19/'Price Data'!D21)</f>
        <v>2.2355625502661527E-2</v>
      </c>
      <c r="E11" s="85">
        <f>LN('Price Data'!E19/'Price Data'!E21)</f>
        <v>5.3763570363802747E-3</v>
      </c>
      <c r="F11" s="143">
        <f>LN('Price Data'!F19/'Price Data'!F21)</f>
        <v>-2.991455657152324E-2</v>
      </c>
      <c r="G11" s="85">
        <f>LN('Price Data'!G19/'Price Data'!G21)</f>
        <v>-3.8596288353435326E-3</v>
      </c>
      <c r="H11" s="143">
        <f>LN('Price Data'!H19/'Price Data'!H21)</f>
        <v>2.3663898657087283E-2</v>
      </c>
      <c r="I11" s="85">
        <f>LN('Price Data'!I19/'Price Data'!I21)</f>
        <v>6.8259650703998906E-3</v>
      </c>
      <c r="J11" s="143">
        <f>LN('Price Data'!J19/'Price Data'!J21)</f>
        <v>2.4797111220388444E-2</v>
      </c>
      <c r="L11" s="8"/>
    </row>
    <row r="12" spans="1:12" ht="15.75" customHeight="1">
      <c r="A12" s="464">
        <v>2021</v>
      </c>
      <c r="B12" s="92" t="s">
        <v>23</v>
      </c>
      <c r="C12" s="83">
        <f>LN('Price Data'!C21/'Price Data'!C22)</f>
        <v>3.4393843019094729E-3</v>
      </c>
      <c r="D12" s="141">
        <f>LN('Price Data'!D21/'Price Data'!D22)</f>
        <v>2.3380988844569985E-2</v>
      </c>
      <c r="E12" s="83">
        <f>LN('Price Data'!E21/'Price Data'!E22)</f>
        <v>-2.3969190112996277E-2</v>
      </c>
      <c r="F12" s="141">
        <f>LN('Price Data'!F21/'Price Data'!F22)</f>
        <v>1.278462823475872E-2</v>
      </c>
      <c r="G12" s="83">
        <f>LN('Price Data'!G21/'Price Data'!G22)</f>
        <v>-1.2832396428357395E-3</v>
      </c>
      <c r="H12" s="141">
        <f>LN('Price Data'!H21/'Price Data'!H22)</f>
        <v>8.9490938836107072E-3</v>
      </c>
      <c r="I12" s="83">
        <f>LN('Price Data'!I21/'Price Data'!I22)</f>
        <v>1.001259929242977E-2</v>
      </c>
      <c r="J12" s="141">
        <f>LN('Price Data'!J21/'Price Data'!J22)</f>
        <v>7.9347216800796025E-3</v>
      </c>
    </row>
    <row r="13" spans="1:12" ht="15.75" customHeight="1">
      <c r="A13" s="464"/>
      <c r="B13" s="91" t="s">
        <v>24</v>
      </c>
      <c r="C13" s="84">
        <f>LN('Price Data'!C22/'Price Data'!C23)</f>
        <v>-2.886448266771955E-2</v>
      </c>
      <c r="D13" s="142">
        <f>LN('Price Data'!D22/'Price Data'!D23)</f>
        <v>-9.985813348788071E-2</v>
      </c>
      <c r="E13" s="84">
        <f>LN('Price Data'!E22/'Price Data'!E23)</f>
        <v>-7.0482988780691758E-2</v>
      </c>
      <c r="F13" s="142">
        <f>LN('Price Data'!F22/'Price Data'!F23)</f>
        <v>-8.7113028471227632E-3</v>
      </c>
      <c r="G13" s="84">
        <f>LN('Price Data'!G22/'Price Data'!G23)</f>
        <v>-3.8162433663269789E-2</v>
      </c>
      <c r="H13" s="142">
        <f>LN('Price Data'!H22/'Price Data'!H23)</f>
        <v>-6.3816983783648957E-3</v>
      </c>
      <c r="I13" s="84">
        <f>LN('Price Data'!I22/'Price Data'!I23)</f>
        <v>-9.4738261001203666E-2</v>
      </c>
      <c r="J13" s="142">
        <f>LN('Price Data'!J22/'Price Data'!J23)</f>
        <v>-4.3451942340958526E-2</v>
      </c>
    </row>
    <row r="14" spans="1:12" ht="15.75" customHeight="1">
      <c r="A14" s="464"/>
      <c r="B14" s="92" t="s">
        <v>25</v>
      </c>
      <c r="C14" s="83">
        <f>LN('Price Data'!C23/'Price Data'!C24)</f>
        <v>-5.8768770014653748E-2</v>
      </c>
      <c r="D14" s="141">
        <f>LN('Price Data'!D23/'Price Data'!D24)</f>
        <v>4.7877238061758497E-2</v>
      </c>
      <c r="E14" s="83">
        <f>LN('Price Data'!E23/'Price Data'!E24)</f>
        <v>0.17292379433518346</v>
      </c>
      <c r="F14" s="141">
        <f>LN('Price Data'!F23/'Price Data'!F24)</f>
        <v>-3.4105612486510929E-2</v>
      </c>
      <c r="G14" s="83">
        <f>LN('Price Data'!G23/'Price Data'!G24)</f>
        <v>-7.3235675360702773E-2</v>
      </c>
      <c r="H14" s="141">
        <f>LN('Price Data'!H23/'Price Data'!H24)</f>
        <v>-1.6678575350717966E-2</v>
      </c>
      <c r="I14" s="83">
        <f>LN('Price Data'!I23/'Price Data'!I24)</f>
        <v>-0.11854552139671799</v>
      </c>
      <c r="J14" s="141">
        <f>LN('Price Data'!J23/'Price Data'!J24)</f>
        <v>-4.5798748509131432E-2</v>
      </c>
    </row>
    <row r="15" spans="1:12" ht="15.75" customHeight="1">
      <c r="A15" s="464"/>
      <c r="B15" s="91" t="s">
        <v>14</v>
      </c>
      <c r="C15" s="84">
        <f>LN('Price Data'!C24/'Price Data'!C25)</f>
        <v>4.7397131733577923E-2</v>
      </c>
      <c r="D15" s="142">
        <f>LN('Price Data'!D24/'Price Data'!D25)</f>
        <v>7.1716669724305543E-2</v>
      </c>
      <c r="E15" s="84">
        <f>LN('Price Data'!E24/'Price Data'!E25)</f>
        <v>0.24674346665508312</v>
      </c>
      <c r="F15" s="142">
        <f>LN('Price Data'!F24/'Price Data'!F25)</f>
        <v>1.3902905168991434E-2</v>
      </c>
      <c r="G15" s="84">
        <f>LN('Price Data'!G24/'Price Data'!G25)</f>
        <v>4.8579861236842908E-2</v>
      </c>
      <c r="H15" s="142">
        <f>LN('Price Data'!H24/'Price Data'!H25)</f>
        <v>4.6816363829430318E-3</v>
      </c>
      <c r="I15" s="84">
        <f>LN('Price Data'!I24/'Price Data'!I25)</f>
        <v>0.12198392019975066</v>
      </c>
      <c r="J15" s="142">
        <f>LN('Price Data'!J24/'Price Data'!J25)</f>
        <v>6.4789700058202893E-2</v>
      </c>
    </row>
    <row r="16" spans="1:12" ht="15.75" customHeight="1">
      <c r="A16" s="464"/>
      <c r="B16" s="92" t="s">
        <v>15</v>
      </c>
      <c r="C16" s="83">
        <f>LN('Price Data'!C25/'Price Data'!C26)</f>
        <v>-4.5027150374102515E-2</v>
      </c>
      <c r="D16" s="141">
        <f>LN('Price Data'!D25/'Price Data'!D26)</f>
        <v>6.6467121540396676E-2</v>
      </c>
      <c r="E16" s="83">
        <f>LN('Price Data'!E25/'Price Data'!E26)</f>
        <v>0.16054546103577888</v>
      </c>
      <c r="F16" s="141">
        <f>LN('Price Data'!F25/'Price Data'!F26)</f>
        <v>4.7091607533850374E-2</v>
      </c>
      <c r="G16" s="83">
        <f>LN('Price Data'!G25/'Price Data'!G26)</f>
        <v>7.4571285469912429E-2</v>
      </c>
      <c r="H16" s="141">
        <f>LN('Price Data'!H25/'Price Data'!H26)</f>
        <v>-2.4327133167625439E-2</v>
      </c>
      <c r="I16" s="83">
        <f>LN('Price Data'!I25/'Price Data'!I26)</f>
        <v>5.7421764425897648E-4</v>
      </c>
      <c r="J16" s="141">
        <f>LN('Price Data'!J25/'Price Data'!J26)</f>
        <v>6.6817933674882174E-2</v>
      </c>
    </row>
    <row r="17" spans="1:10" ht="15.75" customHeight="1">
      <c r="A17" s="464"/>
      <c r="B17" s="91" t="s">
        <v>16</v>
      </c>
      <c r="C17" s="84">
        <f>LN('Price Data'!C26/'Price Data'!C27)</f>
        <v>8.2110050994897196E-2</v>
      </c>
      <c r="D17" s="142">
        <f>LN('Price Data'!D26/'Price Data'!D27)</f>
        <v>2.1932816507767277E-2</v>
      </c>
      <c r="E17" s="84">
        <f>LN('Price Data'!E26/'Price Data'!E27)</f>
        <v>1.9912162320112968E-2</v>
      </c>
      <c r="F17" s="142">
        <f>LN('Price Data'!F26/'Price Data'!F27)</f>
        <v>4.3927790853318112E-2</v>
      </c>
      <c r="G17" s="84">
        <f>LN('Price Data'!G26/'Price Data'!G27)</f>
        <v>1.715906576252926E-2</v>
      </c>
      <c r="H17" s="142">
        <f>LN('Price Data'!H26/'Price Data'!H27)</f>
        <v>6.5457710970139193E-2</v>
      </c>
      <c r="I17" s="84">
        <f>LN('Price Data'!I26/'Price Data'!I27)</f>
        <v>2.383140972388164E-2</v>
      </c>
      <c r="J17" s="142">
        <f>LN('Price Data'!J26/'Price Data'!J27)</f>
        <v>4.3705412976859336E-2</v>
      </c>
    </row>
    <row r="18" spans="1:10" ht="15.75" customHeight="1">
      <c r="A18" s="464"/>
      <c r="B18" s="92" t="s">
        <v>17</v>
      </c>
      <c r="C18" s="83">
        <f>LN('Price Data'!C27/'Price Data'!C28)</f>
        <v>8.9119462915797365E-3</v>
      </c>
      <c r="D18" s="141">
        <f>LN('Price Data'!D27/'Price Data'!D28)</f>
        <v>-0.1637229373712055</v>
      </c>
      <c r="E18" s="83">
        <f>LN('Price Data'!E27/'Price Data'!E28)</f>
        <v>1.2366655637211892E-2</v>
      </c>
      <c r="F18" s="141">
        <f>LN('Price Data'!F27/'Price Data'!F28)</f>
        <v>-1.5217684970886691E-2</v>
      </c>
      <c r="G18" s="83">
        <f>LN('Price Data'!G27/'Price Data'!G28)</f>
        <v>-7.1999981462115323E-2</v>
      </c>
      <c r="H18" s="141">
        <f>LN('Price Data'!H27/'Price Data'!H28)</f>
        <v>6.4191670596774497E-2</v>
      </c>
      <c r="I18" s="83">
        <f>LN('Price Data'!I27/'Price Data'!I28)</f>
        <v>-2.4405627368140632E-2</v>
      </c>
      <c r="J18" s="141">
        <f>LN('Price Data'!J27/'Price Data'!J28)</f>
        <v>2.627512279789565E-2</v>
      </c>
    </row>
    <row r="19" spans="1:10" ht="15.75" customHeight="1">
      <c r="A19" s="464"/>
      <c r="B19" s="91" t="s">
        <v>18</v>
      </c>
      <c r="C19" s="84">
        <f>LN('Price Data'!C28/'Price Data'!C29)</f>
        <v>2.1305344027925957E-2</v>
      </c>
      <c r="D19" s="142">
        <f>LN('Price Data'!D28/'Price Data'!D29)</f>
        <v>0</v>
      </c>
      <c r="E19" s="84">
        <f>LN('Price Data'!E28/'Price Data'!E29)</f>
        <v>1.596385098901399E-2</v>
      </c>
      <c r="F19" s="142">
        <f>LN('Price Data'!F28/'Price Data'!F29)</f>
        <v>4.6365920557925773E-2</v>
      </c>
      <c r="G19" s="84">
        <f>LN('Price Data'!G28/'Price Data'!G29)</f>
        <v>0</v>
      </c>
      <c r="H19" s="142">
        <f>LN('Price Data'!H28/'Price Data'!H29)</f>
        <v>1.7175258168271822E-2</v>
      </c>
      <c r="I19" s="84">
        <f>LN('Price Data'!I28/'Price Data'!I29)</f>
        <v>3.8623876370419634E-2</v>
      </c>
      <c r="J19" s="142">
        <f>LN('Price Data'!J28/'Price Data'!J29)</f>
        <v>8.9221074211212392E-2</v>
      </c>
    </row>
    <row r="20" spans="1:10" ht="15.75" customHeight="1">
      <c r="A20" s="464"/>
      <c r="B20" s="92" t="s">
        <v>19</v>
      </c>
      <c r="C20" s="83">
        <f>LN('Price Data'!C29/'Price Data'!C30)</f>
        <v>3.1463269455785106E-2</v>
      </c>
      <c r="D20" s="141">
        <f>LN('Price Data'!D29/'Price Data'!D30)</f>
        <v>0</v>
      </c>
      <c r="E20" s="83">
        <f>LN('Price Data'!E29/'Price Data'!E30)</f>
        <v>0.16454938704815697</v>
      </c>
      <c r="F20" s="141">
        <f>LN('Price Data'!F29/'Price Data'!F30)</f>
        <v>5.9354242649182612E-2</v>
      </c>
      <c r="G20" s="83">
        <f>LN('Price Data'!G29/'Price Data'!G30)</f>
        <v>9.5582720460646526E-4</v>
      </c>
      <c r="H20" s="141">
        <f>LN('Price Data'!H29/'Price Data'!H30)</f>
        <v>-1.0648696945777331E-2</v>
      </c>
      <c r="I20" s="83">
        <f>LN('Price Data'!I29/'Price Data'!I30)</f>
        <v>1.8061899805013295E-2</v>
      </c>
      <c r="J20" s="141">
        <f>LN('Price Data'!J29/'Price Data'!J30)</f>
        <v>3.745637840942867E-2</v>
      </c>
    </row>
    <row r="21" spans="1:10" ht="15.75" customHeight="1">
      <c r="A21" s="464"/>
      <c r="B21" s="91" t="s">
        <v>20</v>
      </c>
      <c r="C21" s="84">
        <f>LN('Price Data'!C30/'Price Data'!C31)</f>
        <v>-2.9396237861997611E-2</v>
      </c>
      <c r="D21" s="142">
        <f>LN('Price Data'!D30/'Price Data'!D31)</f>
        <v>0</v>
      </c>
      <c r="E21" s="84">
        <f>LN('Price Data'!E30/'Price Data'!E31)</f>
        <v>-8.6898452818090971E-2</v>
      </c>
      <c r="F21" s="142">
        <f>LN('Price Data'!F30/'Price Data'!F31)</f>
        <v>-2.8953277978783293E-2</v>
      </c>
      <c r="G21" s="84">
        <f>LN('Price Data'!G30/'Price Data'!G31)</f>
        <v>0</v>
      </c>
      <c r="H21" s="142">
        <f>LN('Price Data'!H30/'Price Data'!H31)</f>
        <v>-1.3438427050240375E-2</v>
      </c>
      <c r="I21" s="84">
        <f>LN('Price Data'!I30/'Price Data'!I31)</f>
        <v>-2.0445691160289527E-2</v>
      </c>
      <c r="J21" s="142">
        <f>LN('Price Data'!J30/'Price Data'!J31)</f>
        <v>-2.3708045287679204E-2</v>
      </c>
    </row>
    <row r="22" spans="1:10" ht="15.75" customHeight="1">
      <c r="A22" s="464"/>
      <c r="B22" s="92" t="s">
        <v>21</v>
      </c>
      <c r="C22" s="83">
        <f>LN('Price Data'!C31/'Price Data'!C32)</f>
        <v>-9.4691925144361463E-2</v>
      </c>
      <c r="D22" s="141">
        <f>LN('Price Data'!D31/'Price Data'!D32)</f>
        <v>0</v>
      </c>
      <c r="E22" s="83">
        <f>LN('Price Data'!E31/'Price Data'!E32)</f>
        <v>-7.9947146490416274E-2</v>
      </c>
      <c r="F22" s="141">
        <f>LN('Price Data'!F31/'Price Data'!F32)</f>
        <v>-7.6227365387884369E-2</v>
      </c>
      <c r="G22" s="83">
        <f>LN('Price Data'!G31/'Price Data'!G32)</f>
        <v>0</v>
      </c>
      <c r="H22" s="141">
        <f>LN('Price Data'!H31/'Price Data'!H32)</f>
        <v>-2.2592135760449432E-2</v>
      </c>
      <c r="I22" s="83">
        <f>LN('Price Data'!I31/'Price Data'!I32)</f>
        <v>-5.9503545465835923E-2</v>
      </c>
      <c r="J22" s="141">
        <f>LN('Price Data'!J31/'Price Data'!J32)</f>
        <v>-4.4345168667879908E-2</v>
      </c>
    </row>
    <row r="23" spans="1:10" ht="15.75" customHeight="1">
      <c r="A23" s="464"/>
      <c r="B23" s="93" t="s">
        <v>22</v>
      </c>
      <c r="C23" s="152">
        <f>LN('Price Data'!C32/'Price Data'!C34)</f>
        <v>6.9012078063283702E-2</v>
      </c>
      <c r="D23" s="144">
        <f>LN('Price Data'!D32/'Price Data'!D34)</f>
        <v>0</v>
      </c>
      <c r="E23" s="152">
        <f>LN('Price Data'!E32/'Price Data'!E34)</f>
        <v>0.42515306308038386</v>
      </c>
      <c r="F23" s="144">
        <f>LN('Price Data'!F32/'Price Data'!F34)</f>
        <v>-6.6290897403221041E-2</v>
      </c>
      <c r="G23" s="152">
        <f>LN('Price Data'!G32/'Price Data'!G34)</f>
        <v>0</v>
      </c>
      <c r="H23" s="144">
        <f>LN('Price Data'!H32/'Price Data'!H34)</f>
        <v>6.7101836122256389E-3</v>
      </c>
      <c r="I23" s="152">
        <f>LN('Price Data'!I32/'Price Data'!I34)</f>
        <v>-6.9329326377132544E-2</v>
      </c>
      <c r="J23" s="144">
        <f>LN('Price Data'!J32/'Price Data'!J34)</f>
        <v>4.4850403784139022E-2</v>
      </c>
    </row>
    <row r="24" spans="1:10" ht="15.75" customHeight="1">
      <c r="A24" s="464">
        <v>2020</v>
      </c>
      <c r="B24" s="92" t="s">
        <v>23</v>
      </c>
      <c r="C24" s="83">
        <f>LN('Price Data'!C34/'Price Data'!C35)</f>
        <v>8.4108389583542748E-2</v>
      </c>
      <c r="D24" s="141">
        <f>LN('Price Data'!D34/'Price Data'!D35)</f>
        <v>0</v>
      </c>
      <c r="E24" s="83">
        <f>LN('Price Data'!E34/'Price Data'!E35)</f>
        <v>0.85257491748804726</v>
      </c>
      <c r="F24" s="141">
        <f>LN('Price Data'!F34/'Price Data'!F35)</f>
        <v>9.2536252921599588E-2</v>
      </c>
      <c r="G24" s="83">
        <f>LN('Price Data'!G34/'Price Data'!G35)</f>
        <v>0</v>
      </c>
      <c r="H24" s="141">
        <f>LN('Price Data'!H34/'Price Data'!H35)</f>
        <v>1.313052726255177E-2</v>
      </c>
      <c r="I24" s="83">
        <f>LN('Price Data'!I34/'Price Data'!I35)</f>
        <v>8.4588170045211117E-2</v>
      </c>
      <c r="J24" s="141">
        <f>LN('Price Data'!J34/'Price Data'!J35)</f>
        <v>0.10433550645586309</v>
      </c>
    </row>
    <row r="25" spans="1:10" ht="15.75" customHeight="1">
      <c r="A25" s="464"/>
      <c r="B25" s="91" t="s">
        <v>24</v>
      </c>
      <c r="C25" s="84">
        <f>LN('Price Data'!C35/'Price Data'!C36)</f>
        <v>-3.2678616793487408E-2</v>
      </c>
      <c r="D25" s="142">
        <f>LN('Price Data'!D35/'Price Data'!D36)</f>
        <v>9.5322341481663547E-2</v>
      </c>
      <c r="E25" s="84">
        <f>LN('Price Data'!E35/'Price Data'!E36)</f>
        <v>0.13647516866853612</v>
      </c>
      <c r="F25" s="142">
        <f>LN('Price Data'!F35/'Price Data'!F36)</f>
        <v>-7.4701385285565428E-2</v>
      </c>
      <c r="G25" s="84">
        <f>LN('Price Data'!G35/'Price Data'!G36)</f>
        <v>0</v>
      </c>
      <c r="H25" s="142">
        <f>LN('Price Data'!H35/'Price Data'!H36)</f>
        <v>5.4628072103273815E-3</v>
      </c>
      <c r="I25" s="84">
        <f>LN('Price Data'!I35/'Price Data'!I36)</f>
        <v>-1.8059181538397532E-2</v>
      </c>
      <c r="J25" s="142">
        <f>LN('Price Data'!J35/'Price Data'!J36)</f>
        <v>4.2705980931308698E-3</v>
      </c>
    </row>
    <row r="26" spans="1:10" ht="15.75" customHeight="1">
      <c r="A26" s="464"/>
      <c r="B26" s="92" t="s">
        <v>25</v>
      </c>
      <c r="C26" s="83">
        <f>LN('Price Data'!C36/'Price Data'!C37)</f>
        <v>-9.0950438284061099E-4</v>
      </c>
      <c r="D26" s="141">
        <f>LN('Price Data'!D36/'Price Data'!D37)</f>
        <v>0</v>
      </c>
      <c r="E26" s="83">
        <f>LN('Price Data'!E36/'Price Data'!E37)</f>
        <v>-0.1364751686685361</v>
      </c>
      <c r="F26" s="141">
        <f>LN('Price Data'!F36/'Price Data'!F37)</f>
        <v>-3.0800845705645351E-3</v>
      </c>
      <c r="G26" s="83">
        <f>LN('Price Data'!G36/'Price Data'!G37)</f>
        <v>0</v>
      </c>
      <c r="H26" s="141">
        <f>LN('Price Data'!H36/'Price Data'!H37)</f>
        <v>-2.2093839785921703E-2</v>
      </c>
      <c r="I26" s="83">
        <f>LN('Price Data'!I36/'Price Data'!I37)</f>
        <v>2.7787441379176415E-2</v>
      </c>
      <c r="J26" s="141">
        <f>LN('Price Data'!J36/'Price Data'!J37)</f>
        <v>-2.3894569540799764E-2</v>
      </c>
    </row>
    <row r="27" spans="1:10" ht="15.75" customHeight="1">
      <c r="A27" s="464"/>
      <c r="B27" s="91" t="s">
        <v>14</v>
      </c>
      <c r="C27" s="84">
        <f>LN('Price Data'!C37/'Price Data'!C38)</f>
        <v>3.5784200490297992E-2</v>
      </c>
      <c r="D27" s="142">
        <f>LN('Price Data'!D37/'Price Data'!D38)</f>
        <v>-2.140239179897016E-4</v>
      </c>
      <c r="E27" s="84">
        <f>LN('Price Data'!E37/'Price Data'!E38)</f>
        <v>-9.4187215059701068E-2</v>
      </c>
      <c r="F27" s="142">
        <f>LN('Price Data'!F37/'Price Data'!F38)</f>
        <v>3.0707591011287699E-2</v>
      </c>
      <c r="G27" s="84">
        <f>LN('Price Data'!G37/'Price Data'!G38)</f>
        <v>-4.3620570801656336E-3</v>
      </c>
      <c r="H27" s="142">
        <f>LN('Price Data'!H37/'Price Data'!H38)</f>
        <v>7.8932885635594349E-2</v>
      </c>
      <c r="I27" s="84">
        <f>LN('Price Data'!I37/'Price Data'!I38)</f>
        <v>-4.8817546800630655E-2</v>
      </c>
      <c r="J27" s="142">
        <f>LN('Price Data'!J37/'Price Data'!J38)</f>
        <v>1.709985247134109E-2</v>
      </c>
    </row>
    <row r="28" spans="1:10" ht="15.75" customHeight="1">
      <c r="A28" s="464"/>
      <c r="B28" s="92" t="s">
        <v>15</v>
      </c>
      <c r="C28" s="83">
        <f>LN('Price Data'!C38/'Price Data'!C39)</f>
        <v>0.20841276002174397</v>
      </c>
      <c r="D28" s="141">
        <f>LN('Price Data'!D38/'Price Data'!D39)</f>
        <v>2.1402391798974686E-4</v>
      </c>
      <c r="E28" s="83">
        <f>LN('Price Data'!E38/'Price Data'!E39)</f>
        <v>0.68940885844933808</v>
      </c>
      <c r="F28" s="141">
        <f>LN('Price Data'!F38/'Price Data'!F39)</f>
        <v>0.11349783280402348</v>
      </c>
      <c r="G28" s="83">
        <f>LN('Price Data'!G38/'Price Data'!G39)</f>
        <v>4.3620570801656067E-3</v>
      </c>
      <c r="H28" s="141">
        <f>LN('Price Data'!H38/'Price Data'!H39)</f>
        <v>0.15371381516434132</v>
      </c>
      <c r="I28" s="83">
        <f>LN('Price Data'!I38/'Price Data'!I39)</f>
        <v>6.3881562830793867E-2</v>
      </c>
      <c r="J28" s="141">
        <f>LN('Price Data'!J38/'Price Data'!J39)</f>
        <v>0.14645699663703377</v>
      </c>
    </row>
    <row r="29" spans="1:10" ht="15.75" customHeight="1">
      <c r="A29" s="464"/>
      <c r="B29" s="91" t="s">
        <v>16</v>
      </c>
      <c r="C29" s="84">
        <f>LN('Price Data'!C39/'Price Data'!C40)</f>
        <v>7.926931243003682E-2</v>
      </c>
      <c r="D29" s="142">
        <f>LN('Price Data'!D39/'Price Data'!D40)</f>
        <v>0</v>
      </c>
      <c r="E29" s="84">
        <f>LN('Price Data'!E39/'Price Data'!E40)</f>
        <v>3.0305349495329058E-2</v>
      </c>
      <c r="F29" s="142">
        <f>LN('Price Data'!F39/'Price Data'!F40)</f>
        <v>6.7978415401980519E-2</v>
      </c>
      <c r="G29" s="84">
        <f>LN('Price Data'!G39/'Price Data'!G40)</f>
        <v>0</v>
      </c>
      <c r="H29" s="142">
        <f>LN('Price Data'!H39/'Price Data'!H40)</f>
        <v>8.4811625977126853E-2</v>
      </c>
      <c r="I29" s="84">
        <f>LN('Price Data'!I39/'Price Data'!I40)</f>
        <v>0.13144866600004002</v>
      </c>
      <c r="J29" s="142">
        <f>LN('Price Data'!J39/'Price Data'!J40)</f>
        <v>5.4951350315746279E-2</v>
      </c>
    </row>
    <row r="30" spans="1:10" ht="15.75" customHeight="1">
      <c r="A30" s="464"/>
      <c r="B30" s="92" t="s">
        <v>17</v>
      </c>
      <c r="C30" s="83">
        <f>LN('Price Data'!C40/'Price Data'!C41)</f>
        <v>-6.916036164729604E-2</v>
      </c>
      <c r="D30" s="141">
        <f>LN('Price Data'!D40/'Price Data'!D41)</f>
        <v>0</v>
      </c>
      <c r="E30" s="83">
        <f>LN('Price Data'!E40/'Price Data'!E41)</f>
        <v>-9.5310179804324893E-2</v>
      </c>
      <c r="F30" s="141">
        <f>LN('Price Data'!F40/'Price Data'!F41)</f>
        <v>0</v>
      </c>
      <c r="G30" s="83">
        <f>LN('Price Data'!G40/'Price Data'!G41)</f>
        <v>0</v>
      </c>
      <c r="H30" s="141">
        <f>LN('Price Data'!H40/'Price Data'!H41)</f>
        <v>0</v>
      </c>
      <c r="I30" s="83">
        <f>LN('Price Data'!I40/'Price Data'!I41)</f>
        <v>0</v>
      </c>
      <c r="J30" s="141">
        <f>LN('Price Data'!J40/'Price Data'!J41)</f>
        <v>-1.7730714251963611E-2</v>
      </c>
    </row>
    <row r="31" spans="1:10" ht="15.75" customHeight="1">
      <c r="A31" s="464"/>
      <c r="B31" s="91" t="s">
        <v>18</v>
      </c>
      <c r="C31" s="84">
        <f>LN('Price Data'!C41/'Price Data'!C42)</f>
        <v>6.9160361647296165E-2</v>
      </c>
      <c r="D31" s="142">
        <f>LN('Price Data'!D41/'Price Data'!D42)</f>
        <v>-0.2350853413869923</v>
      </c>
      <c r="E31" s="84">
        <f>LN('Price Data'!E41/'Price Data'!E42)</f>
        <v>9.5310179804324935E-2</v>
      </c>
      <c r="F31" s="142">
        <f>LN('Price Data'!F41/'Price Data'!F42)</f>
        <v>0</v>
      </c>
      <c r="G31" s="84">
        <f>LN('Price Data'!G41/'Price Data'!G42)</f>
        <v>-0.2350937206848677</v>
      </c>
      <c r="H31" s="142">
        <f>LN('Price Data'!H41/'Price Data'!H42)</f>
        <v>0</v>
      </c>
      <c r="I31" s="84">
        <f>LN('Price Data'!I41/'Price Data'!I42)</f>
        <v>0</v>
      </c>
      <c r="J31" s="142">
        <f>LN('Price Data'!J41/'Price Data'!J42)</f>
        <v>1.2929120503909226E-2</v>
      </c>
    </row>
    <row r="32" spans="1:10" ht="15.75" customHeight="1">
      <c r="A32" s="464"/>
      <c r="B32" s="92" t="s">
        <v>19</v>
      </c>
      <c r="C32" s="83">
        <f>LN('Price Data'!C42/'Price Data'!C43)</f>
        <v>0</v>
      </c>
      <c r="D32" s="141">
        <f>LN('Price Data'!D42/'Price Data'!D43)</f>
        <v>0.23508534138699236</v>
      </c>
      <c r="E32" s="83">
        <f>LN('Price Data'!E42/'Price Data'!E43)</f>
        <v>0</v>
      </c>
      <c r="F32" s="141">
        <f>LN('Price Data'!F42/'Price Data'!F43)</f>
        <v>0</v>
      </c>
      <c r="G32" s="83">
        <f>LN('Price Data'!G42/'Price Data'!G43)</f>
        <v>0.23509372068486781</v>
      </c>
      <c r="H32" s="141">
        <f>LN('Price Data'!H42/'Price Data'!H43)</f>
        <v>0</v>
      </c>
      <c r="I32" s="83">
        <f>LN('Price Data'!I42/'Price Data'!I43)</f>
        <v>0</v>
      </c>
      <c r="J32" s="141">
        <f>LN('Price Data'!J42/'Price Data'!J43)</f>
        <v>0</v>
      </c>
    </row>
    <row r="33" spans="1:10" ht="15.75" customHeight="1">
      <c r="A33" s="464"/>
      <c r="B33" s="91" t="s">
        <v>20</v>
      </c>
      <c r="C33" s="84">
        <f>LN('Price Data'!C43/'Price Data'!C44)</f>
        <v>-0.13896051433328308</v>
      </c>
      <c r="D33" s="142">
        <f>LN('Price Data'!D43/'Price Data'!D44)</f>
        <v>0.14105508581716042</v>
      </c>
      <c r="E33" s="84">
        <f>LN('Price Data'!E43/'Price Data'!E44)</f>
        <v>-0.20136975176464919</v>
      </c>
      <c r="F33" s="142">
        <f>LN('Price Data'!F43/'Price Data'!F44)</f>
        <v>-3.3035101215194179E-2</v>
      </c>
      <c r="G33" s="84">
        <f>LN('Price Data'!G43/'Price Data'!G44)</f>
        <v>-0.10014200485248233</v>
      </c>
      <c r="H33" s="142">
        <f>LN('Price Data'!H43/'Price Data'!H44)</f>
        <v>-4.2783589334541731E-2</v>
      </c>
      <c r="I33" s="84">
        <f>LN('Price Data'!I43/'Price Data'!I44)</f>
        <v>-0.19970182049233023</v>
      </c>
      <c r="J33" s="142">
        <f>LN('Price Data'!J43/'Price Data'!J44)</f>
        <v>-0.11130993074214558</v>
      </c>
    </row>
    <row r="34" spans="1:10" ht="15.75" customHeight="1">
      <c r="A34" s="464"/>
      <c r="B34" s="92" t="s">
        <v>21</v>
      </c>
      <c r="C34" s="83">
        <f>LN('Price Data'!C44/'Price Data'!C45)</f>
        <v>6.2402805346643032E-2</v>
      </c>
      <c r="D34" s="141">
        <f>LN('Price Data'!D44/'Price Data'!D45)</f>
        <v>0.16769007352818219</v>
      </c>
      <c r="E34" s="83">
        <f>LN('Price Data'!E44/'Price Data'!E45)</f>
        <v>0.13443026908953976</v>
      </c>
      <c r="F34" s="141">
        <f>LN('Price Data'!F44/'Price Data'!F45)</f>
        <v>2.9871542740001599E-2</v>
      </c>
      <c r="G34" s="83">
        <f>LN('Price Data'!G44/'Price Data'!G45)</f>
        <v>4.6937968789017626E-2</v>
      </c>
      <c r="H34" s="141">
        <f>LN('Price Data'!H44/'Price Data'!H45)</f>
        <v>-4.1498733839625726E-2</v>
      </c>
      <c r="I34" s="83">
        <f>LN('Price Data'!I44/'Price Data'!I45)</f>
        <v>-6.1842687806700991E-2</v>
      </c>
      <c r="J34" s="141">
        <f>LN('Price Data'!J44/'Price Data'!J45)</f>
        <v>2.362046580431158E-3</v>
      </c>
    </row>
    <row r="35" spans="1:10" ht="15.75" customHeight="1">
      <c r="A35" s="464"/>
      <c r="B35" s="91" t="s">
        <v>22</v>
      </c>
      <c r="C35" s="84">
        <f>LN('Price Data'!C45/'Price Data'!C47)</f>
        <v>-0.10310817499067998</v>
      </c>
      <c r="D35" s="142">
        <f>LN('Price Data'!D45/'Price Data'!D47)</f>
        <v>2.9242606381075714E-2</v>
      </c>
      <c r="E35" s="84">
        <f>LN('Price Data'!E45/'Price Data'!E47)</f>
        <v>7.2202479734870973E-3</v>
      </c>
      <c r="F35" s="142">
        <f>LN('Price Data'!F45/'Price Data'!F47)</f>
        <v>-3.4154204532002574E-2</v>
      </c>
      <c r="G35" s="84">
        <f>LN('Price Data'!G45/'Price Data'!G47)</f>
        <v>-1.759049015699957E-2</v>
      </c>
      <c r="H35" s="142">
        <f>LN('Price Data'!H45/'Price Data'!H47)</f>
        <v>1.57717012841962E-2</v>
      </c>
      <c r="I35" s="84">
        <f>LN('Price Data'!I45/'Price Data'!I47)</f>
        <v>0.16756677372848489</v>
      </c>
      <c r="J35" s="142">
        <f>LN('Price Data'!J45/'Price Data'!J47)</f>
        <v>3.7477993070959593E-3</v>
      </c>
    </row>
    <row r="36" spans="1:10" ht="15.75" customHeight="1">
      <c r="A36" s="464">
        <v>2019</v>
      </c>
      <c r="B36" s="149" t="s">
        <v>23</v>
      </c>
      <c r="C36" s="150">
        <f>LN('Price Data'!C47/'Price Data'!C48)</f>
        <v>-0.10738785040791944</v>
      </c>
      <c r="D36" s="151">
        <f>LN('Price Data'!D47/'Price Data'!D48)</f>
        <v>-4.8046733488692789E-2</v>
      </c>
      <c r="E36" s="150">
        <f>LN('Price Data'!E47/'Price Data'!E48)</f>
        <v>-0.10969891725642439</v>
      </c>
      <c r="F36" s="151">
        <f>LN('Price Data'!F47/'Price Data'!F48)</f>
        <v>-0.16818052803769681</v>
      </c>
      <c r="G36" s="150">
        <f>LN('Price Data'!G47/'Price Data'!G48)</f>
        <v>-5.7016987127035575E-2</v>
      </c>
      <c r="H36" s="151">
        <f>LN('Price Data'!H47/'Price Data'!H48)</f>
        <v>-1.7123807542332788E-2</v>
      </c>
      <c r="I36" s="150">
        <f>LN('Price Data'!I47/'Price Data'!I48)</f>
        <v>-0.10463297833944921</v>
      </c>
      <c r="J36" s="151">
        <f>LN('Price Data'!J47/'Price Data'!J48)</f>
        <v>-6.0665175917559697E-2</v>
      </c>
    </row>
    <row r="37" spans="1:10" ht="15.75" customHeight="1">
      <c r="A37" s="464"/>
      <c r="B37" s="93" t="s">
        <v>24</v>
      </c>
      <c r="C37" s="152">
        <f>LN('Price Data'!C48/'Price Data'!C49)</f>
        <v>2.2022975709400801E-3</v>
      </c>
      <c r="D37" s="144">
        <f>LN('Price Data'!D48/'Price Data'!D49)</f>
        <v>-1.0174041016347675E-2</v>
      </c>
      <c r="E37" s="152">
        <f>LN('Price Data'!E48/'Price Data'!E49)</f>
        <v>0</v>
      </c>
      <c r="F37" s="144">
        <f>LN('Price Data'!F48/'Price Data'!F49)</f>
        <v>2.2965518704687934E-2</v>
      </c>
      <c r="G37" s="152">
        <f>LN('Price Data'!G48/'Price Data'!G49)</f>
        <v>1.6845148971870918E-3</v>
      </c>
      <c r="H37" s="144">
        <f>LN('Price Data'!H48/'Price Data'!H49)</f>
        <v>-1.3305518422599487E-2</v>
      </c>
      <c r="I37" s="152">
        <f>LN('Price Data'!I48/'Price Data'!I49)</f>
        <v>6.1921860246399389E-2</v>
      </c>
      <c r="J37" s="144">
        <f>LN('Price Data'!J48/'Price Data'!J49)</f>
        <v>1.0309906253672093E-2</v>
      </c>
    </row>
    <row r="38" spans="1:10" ht="15.75" customHeight="1">
      <c r="A38" s="464"/>
      <c r="B38" s="92" t="s">
        <v>25</v>
      </c>
      <c r="C38" s="83">
        <f>LN('Price Data'!C49/'Price Data'!C50)</f>
        <v>-0.10428907572927808</v>
      </c>
      <c r="D38" s="141">
        <f>LN('Price Data'!D49/'Price Data'!D50)</f>
        <v>3.4641421536295396E-2</v>
      </c>
      <c r="E38" s="83">
        <f>LN('Price Data'!E49/'Price Data'!E50)</f>
        <v>-0.1779831551953564</v>
      </c>
      <c r="F38" s="141">
        <f>LN('Price Data'!F49/'Price Data'!F50)</f>
        <v>2.6753869629484381E-2</v>
      </c>
      <c r="G38" s="83">
        <f>LN('Price Data'!G49/'Price Data'!G50)</f>
        <v>-2.050131398251984E-2</v>
      </c>
      <c r="H38" s="141">
        <f>LN('Price Data'!H49/'Price Data'!H50)</f>
        <v>2.2634291895251464E-3</v>
      </c>
      <c r="I38" s="83">
        <f>LN('Price Data'!I49/'Price Data'!I50)</f>
        <v>-0.17142226633591903</v>
      </c>
      <c r="J38" s="141">
        <f>LN('Price Data'!J49/'Price Data'!J50)</f>
        <v>-5.4991097905900795E-2</v>
      </c>
    </row>
    <row r="39" spans="1:10" ht="15.75" customHeight="1">
      <c r="A39" s="464"/>
      <c r="B39" s="91" t="s">
        <v>14</v>
      </c>
      <c r="C39" s="84">
        <f>LN('Price Data'!C50/'Price Data'!C51)</f>
        <v>0.12176370625254207</v>
      </c>
      <c r="D39" s="142">
        <f>LN('Price Data'!D50/'Price Data'!D51)</f>
        <v>2.2192260204778946E-2</v>
      </c>
      <c r="E39" s="84">
        <f>LN('Price Data'!E50/'Price Data'!E51)</f>
        <v>-8.836915045009032E-2</v>
      </c>
      <c r="F39" s="142">
        <f>LN('Price Data'!F50/'Price Data'!F51)</f>
        <v>-4.5582877782392055E-2</v>
      </c>
      <c r="G39" s="84">
        <f>LN('Price Data'!G50/'Price Data'!G51)</f>
        <v>1.7255143413280372E-2</v>
      </c>
      <c r="H39" s="142">
        <f>LN('Price Data'!H50/'Price Data'!H51)</f>
        <v>-6.7834026249122215E-2</v>
      </c>
      <c r="I39" s="84">
        <f>LN('Price Data'!I50/'Price Data'!I51)</f>
        <v>-1.4088161112184595E-2</v>
      </c>
      <c r="J39" s="142">
        <f>LN('Price Data'!J50/'Price Data'!J51)</f>
        <v>-2.9502109767031423E-2</v>
      </c>
    </row>
    <row r="40" spans="1:10" ht="15.75" customHeight="1">
      <c r="A40" s="464"/>
      <c r="B40" s="92" t="s">
        <v>15</v>
      </c>
      <c r="C40" s="83">
        <f>LN('Price Data'!C51/'Price Data'!C52)</f>
        <v>-6.333587517181076E-2</v>
      </c>
      <c r="D40" s="141">
        <f>LN('Price Data'!D51/'Price Data'!D52)</f>
        <v>7.1342419201762403E-2</v>
      </c>
      <c r="E40" s="83">
        <f>LN('Price Data'!E51/'Price Data'!E52)</f>
        <v>8.2949082980750932E-2</v>
      </c>
      <c r="F40" s="141">
        <f>LN('Price Data'!F51/'Price Data'!F52)</f>
        <v>7.8023802841848001E-3</v>
      </c>
      <c r="G40" s="83">
        <f>LN('Price Data'!G51/'Price Data'!G52)</f>
        <v>-6.580151755798745E-3</v>
      </c>
      <c r="H40" s="141">
        <f>LN('Price Data'!H51/'Price Data'!H52)</f>
        <v>8.1699978989480657E-2</v>
      </c>
      <c r="I40" s="83">
        <f>LN('Price Data'!I51/'Price Data'!I52)</f>
        <v>-7.0760082164560936E-2</v>
      </c>
      <c r="J40" s="141">
        <f>LN('Price Data'!J51/'Price Data'!J52)</f>
        <v>-8.4068593804905722E-3</v>
      </c>
    </row>
    <row r="41" spans="1:10" ht="15.75" customHeight="1">
      <c r="A41" s="464"/>
      <c r="B41" s="91" t="s">
        <v>16</v>
      </c>
      <c r="C41" s="84">
        <f>LN('Price Data'!C52/'Price Data'!C53)</f>
        <v>-9.2736034833341502E-2</v>
      </c>
      <c r="D41" s="142">
        <f>LN('Price Data'!D52/'Price Data'!D53)</f>
        <v>-1.9167369689702771E-2</v>
      </c>
      <c r="E41" s="84">
        <f>LN('Price Data'!E52/'Price Data'!E53)</f>
        <v>-0.19129022677671495</v>
      </c>
      <c r="F41" s="142">
        <f>LN('Price Data'!F52/'Price Data'!F53)</f>
        <v>-3.3884145083804496E-2</v>
      </c>
      <c r="G41" s="84">
        <f>LN('Price Data'!G52/'Price Data'!G53)</f>
        <v>-2.9144248384714865E-2</v>
      </c>
      <c r="H41" s="142">
        <f>LN('Price Data'!H52/'Price Data'!H53)</f>
        <v>0.11203342460192328</v>
      </c>
      <c r="I41" s="84">
        <f>LN('Price Data'!I52/'Price Data'!I53)</f>
        <v>-6.0175082586567327E-2</v>
      </c>
      <c r="J41" s="142">
        <f>LN('Price Data'!J52/'Price Data'!J53)</f>
        <v>-5.3577020587056101E-2</v>
      </c>
    </row>
    <row r="42" spans="1:10" ht="15.75" customHeight="1">
      <c r="A42" s="464"/>
      <c r="B42" s="92" t="s">
        <v>17</v>
      </c>
      <c r="C42" s="83">
        <f>LN('Price Data'!C53/'Price Data'!C54)</f>
        <v>2.6675657865592228E-2</v>
      </c>
      <c r="D42" s="141">
        <f>LN('Price Data'!D53/'Price Data'!D54)</f>
        <v>6.7721690080153885E-3</v>
      </c>
      <c r="E42" s="83">
        <f>LN('Price Data'!E53/'Price Data'!E54)</f>
        <v>-2.6433257068155597E-2</v>
      </c>
      <c r="F42" s="141">
        <f>LN('Price Data'!F53/'Price Data'!F54)</f>
        <v>-2.8367167084119283E-2</v>
      </c>
      <c r="G42" s="83">
        <f>LN('Price Data'!G53/'Price Data'!G54)</f>
        <v>2.2607112131703012E-2</v>
      </c>
      <c r="H42" s="141">
        <f>LN('Price Data'!H53/'Price Data'!H54)</f>
        <v>6.7816815841580474E-2</v>
      </c>
      <c r="I42" s="83">
        <f>LN('Price Data'!I53/'Price Data'!I54)</f>
        <v>4.5452532477300606E-2</v>
      </c>
      <c r="J42" s="141">
        <f>LN('Price Data'!J53/'Price Data'!J54)</f>
        <v>8.1264522125697614E-3</v>
      </c>
    </row>
    <row r="43" spans="1:10" ht="15.75" customHeight="1">
      <c r="A43" s="464"/>
      <c r="B43" s="91" t="s">
        <v>18</v>
      </c>
      <c r="C43" s="84">
        <f>LN('Price Data'!C54/'Price Data'!C55)</f>
        <v>-1.0086944589194615E-2</v>
      </c>
      <c r="D43" s="142">
        <f>LN('Price Data'!D54/'Price Data'!D55)</f>
        <v>2.0920677075998997E-2</v>
      </c>
      <c r="E43" s="84">
        <f>LN('Price Data'!E54/'Price Data'!E55)</f>
        <v>4.3573053689558473E-3</v>
      </c>
      <c r="F43" s="142">
        <f>LN('Price Data'!F54/'Price Data'!F55)</f>
        <v>6.9588871294241128E-2</v>
      </c>
      <c r="G43" s="84">
        <f>LN('Price Data'!G54/'Price Data'!G55)</f>
        <v>-8.1411575836998849E-3</v>
      </c>
      <c r="H43" s="142">
        <f>LN('Price Data'!H54/'Price Data'!H55)</f>
        <v>6.4381700328418135E-3</v>
      </c>
      <c r="I43" s="84">
        <f>LN('Price Data'!I54/'Price Data'!I55)</f>
        <v>7.5572709086803493E-3</v>
      </c>
      <c r="J43" s="142">
        <f>LN('Price Data'!J54/'Price Data'!J55)</f>
        <v>3.3061659197146216E-2</v>
      </c>
    </row>
    <row r="44" spans="1:10" ht="15.75" customHeight="1">
      <c r="A44" s="464"/>
      <c r="B44" s="92" t="s">
        <v>19</v>
      </c>
      <c r="C44" s="83">
        <f>LN('Price Data'!C55/'Price Data'!C56)</f>
        <v>-0.13171764953923454</v>
      </c>
      <c r="D44" s="141">
        <f>LN('Price Data'!D55/'Price Data'!D56)</f>
        <v>9.376724904716336E-3</v>
      </c>
      <c r="E44" s="83">
        <f>LN('Price Data'!E55/'Price Data'!E56)</f>
        <v>1.762160134981941E-2</v>
      </c>
      <c r="F44" s="141">
        <f>LN('Price Data'!F55/'Price Data'!F56)</f>
        <v>-4.4749044728090222E-2</v>
      </c>
      <c r="G44" s="83">
        <f>LN('Price Data'!G55/'Price Data'!G56)</f>
        <v>-8.3597801783910033E-2</v>
      </c>
      <c r="H44" s="141">
        <f>LN('Price Data'!H55/'Price Data'!H56)</f>
        <v>-1.9609160488704033E-2</v>
      </c>
      <c r="I44" s="83">
        <f>LN('Price Data'!I55/'Price Data'!I56)</f>
        <v>-3.5075932473510034E-2</v>
      </c>
      <c r="J44" s="141">
        <f>LN('Price Data'!J55/'Price Data'!J56)</f>
        <v>-5.4067727065807231E-2</v>
      </c>
    </row>
    <row r="45" spans="1:10" ht="15.75" customHeight="1">
      <c r="A45" s="464"/>
      <c r="B45" s="91" t="s">
        <v>20</v>
      </c>
      <c r="C45" s="84">
        <f>LN('Price Data'!C56/'Price Data'!C57)</f>
        <v>3.9122966220013468E-2</v>
      </c>
      <c r="D45" s="142">
        <f>LN('Price Data'!D56/'Price Data'!D57)</f>
        <v>-1.8947721741701833E-2</v>
      </c>
      <c r="E45" s="84">
        <f>LN('Price Data'!E56/'Price Data'!E57)</f>
        <v>-4.7731402821190039E-2</v>
      </c>
      <c r="F45" s="142">
        <f>LN('Price Data'!F56/'Price Data'!F57)</f>
        <v>-0.16686059744239337</v>
      </c>
      <c r="G45" s="84">
        <f>LN('Price Data'!G56/'Price Data'!G57)</f>
        <v>1.6016031189621506E-2</v>
      </c>
      <c r="H45" s="142">
        <f>LN('Price Data'!H56/'Price Data'!H57)</f>
        <v>9.2314948388310294E-2</v>
      </c>
      <c r="I45" s="84">
        <f>LN('Price Data'!I56/'Price Data'!I57)</f>
        <v>4.3094161408127634E-4</v>
      </c>
      <c r="J45" s="142">
        <f>LN('Price Data'!J56/'Price Data'!J57)</f>
        <v>-3.9263432498743409E-2</v>
      </c>
    </row>
    <row r="46" spans="1:10" ht="15.75" customHeight="1">
      <c r="A46" s="464"/>
      <c r="B46" s="92" t="s">
        <v>21</v>
      </c>
      <c r="C46" s="83">
        <f>LN('Price Data'!C57/'Price Data'!C58)</f>
        <v>-1.1873323772638014E-2</v>
      </c>
      <c r="D46" s="141">
        <f>LN('Price Data'!D57/'Price Data'!D58)</f>
        <v>-3.170083511917231E-3</v>
      </c>
      <c r="E46" s="83">
        <f>LN('Price Data'!E57/'Price Data'!E58)</f>
        <v>-6.9557683701910109E-2</v>
      </c>
      <c r="F46" s="141">
        <f>LN('Price Data'!F57/'Price Data'!F58)</f>
        <v>6.1902577261926793E-2</v>
      </c>
      <c r="G46" s="83">
        <f>LN('Price Data'!G57/'Price Data'!G58)</f>
        <v>6.7464268684747239E-2</v>
      </c>
      <c r="H46" s="141">
        <f>LN('Price Data'!H57/'Price Data'!H58)</f>
        <v>5.652552373297904E-2</v>
      </c>
      <c r="I46" s="83">
        <f>LN('Price Data'!I57/'Price Data'!I58)</f>
        <v>-3.5566830994742525E-2</v>
      </c>
      <c r="J46" s="141">
        <f>LN('Price Data'!J57/'Price Data'!J58)</f>
        <v>-1.8936074270297726E-2</v>
      </c>
    </row>
    <row r="47" spans="1:10" ht="15.75" customHeight="1">
      <c r="A47" s="464"/>
      <c r="B47" s="91" t="s">
        <v>22</v>
      </c>
      <c r="C47" s="84">
        <f>LN('Price Data'!C58/'Price Data'!C60)</f>
        <v>8.0775438804474159E-2</v>
      </c>
      <c r="D47" s="142">
        <f>LN('Price Data'!D58/'Price Data'!D60)</f>
        <v>2.2404567099872492E-2</v>
      </c>
      <c r="E47" s="84">
        <f>LN('Price Data'!E58/'Price Data'!E60)</f>
        <v>7.3803974583361381E-2</v>
      </c>
      <c r="F47" s="142">
        <f>LN('Price Data'!F58/'Price Data'!F60)</f>
        <v>0.15762894420358325</v>
      </c>
      <c r="G47" s="84">
        <f>LN('Price Data'!G58/'Price Data'!G60)</f>
        <v>5.1225273276244772E-2</v>
      </c>
      <c r="H47" s="142">
        <f>LN('Price Data'!H58/'Price Data'!H60)</f>
        <v>3.1089736871233155E-2</v>
      </c>
      <c r="I47" s="84">
        <f>LN('Price Data'!I58/'Price Data'!I60)</f>
        <v>0.10610029745594476</v>
      </c>
      <c r="J47" s="142">
        <f>LN('Price Data'!J58/'Price Data'!J60)</f>
        <v>7.7737634005928646E-2</v>
      </c>
    </row>
    <row r="48" spans="1:10" ht="15.75" customHeight="1">
      <c r="A48" s="464">
        <v>2018</v>
      </c>
      <c r="B48" s="117" t="s">
        <v>23</v>
      </c>
      <c r="C48" s="147">
        <f>LN('Price Data'!C60/'Price Data'!C61)</f>
        <v>1.2602906536765063E-2</v>
      </c>
      <c r="D48" s="148">
        <f>LN('Price Data'!D60/'Price Data'!D61)</f>
        <v>2.4596333372371267E-2</v>
      </c>
      <c r="E48" s="147">
        <f>LN('Price Data'!E60/'Price Data'!E61)</f>
        <v>7.0513784327658133E-2</v>
      </c>
      <c r="F48" s="148">
        <f>LN('Price Data'!F60/'Price Data'!F61)</f>
        <v>-5.4178840870793533E-2</v>
      </c>
      <c r="G48" s="147">
        <f>LN('Price Data'!G60/'Price Data'!G61)</f>
        <v>9.3185739855993818E-3</v>
      </c>
      <c r="H48" s="148">
        <f>LN('Price Data'!H60/'Price Data'!H61)</f>
        <v>-1.1350107348345479E-2</v>
      </c>
      <c r="I48" s="147">
        <f>LN('Price Data'!I60/'Price Data'!I61)</f>
        <v>-7.8323367454663385E-3</v>
      </c>
      <c r="J48" s="148">
        <f>LN('Price Data'!J60/'Price Data'!J61)</f>
        <v>1.9573340076730988E-2</v>
      </c>
    </row>
    <row r="49" spans="1:11" ht="15.75" customHeight="1">
      <c r="A49" s="464"/>
      <c r="B49" s="91" t="s">
        <v>24</v>
      </c>
      <c r="C49" s="84">
        <f>LN('Price Data'!C61/'Price Data'!C62)</f>
        <v>-4.6068752089328903E-2</v>
      </c>
      <c r="D49" s="142">
        <f>LN('Price Data'!D61/'Price Data'!D62)</f>
        <v>5.2987673922415789E-2</v>
      </c>
      <c r="E49" s="84">
        <f>LN('Price Data'!E61/'Price Data'!E62)</f>
        <v>-6.7530615697249163E-2</v>
      </c>
      <c r="F49" s="142">
        <f>LN('Price Data'!F61/'Price Data'!F62)</f>
        <v>7.2370888858071566E-2</v>
      </c>
      <c r="G49" s="84">
        <f>LN('Price Data'!G61/'Price Data'!G62)</f>
        <v>-3.7606244087740291E-2</v>
      </c>
      <c r="H49" s="142">
        <f>LN('Price Data'!H61/'Price Data'!H62)</f>
        <v>1.9969046942650125E-2</v>
      </c>
      <c r="I49" s="84">
        <f>LN('Price Data'!I61/'Price Data'!I62)</f>
        <v>-2.7497725850706635E-3</v>
      </c>
      <c r="J49" s="142">
        <f>LN('Price Data'!J61/'Price Data'!J62)</f>
        <v>-5.4328434699249886E-4</v>
      </c>
    </row>
    <row r="50" spans="1:11" ht="15.75" customHeight="1">
      <c r="A50" s="464"/>
      <c r="B50" s="92" t="s">
        <v>25</v>
      </c>
      <c r="C50" s="83">
        <f>LN('Price Data'!C62/'Price Data'!C63)</f>
        <v>2.5061295606161195E-2</v>
      </c>
      <c r="D50" s="141">
        <f>LN('Price Data'!D62/'Price Data'!D63)</f>
        <v>2.7881219689941384E-2</v>
      </c>
      <c r="E50" s="83">
        <f>LN('Price Data'!E62/'Price Data'!E63)</f>
        <v>2.9012643261573993E-2</v>
      </c>
      <c r="F50" s="141">
        <f>LN('Price Data'!F62/'Price Data'!F63)</f>
        <v>1.7429635135283596E-2</v>
      </c>
      <c r="G50" s="83">
        <f>LN('Price Data'!G62/'Price Data'!G63)</f>
        <v>-1.4416148580312939E-3</v>
      </c>
      <c r="H50" s="141">
        <f>LN('Price Data'!H62/'Price Data'!H63)</f>
        <v>7.1690940879729119E-3</v>
      </c>
      <c r="I50" s="83">
        <f>LN('Price Data'!I62/'Price Data'!I63)</f>
        <v>6.3776035397236724E-2</v>
      </c>
      <c r="J50" s="141">
        <f>LN('Price Data'!J62/'Price Data'!J63)</f>
        <v>-1.5926262205552211E-2</v>
      </c>
      <c r="K50" s="8"/>
    </row>
    <row r="51" spans="1:11" ht="15.75" customHeight="1">
      <c r="A51" s="464"/>
      <c r="B51" s="91" t="s">
        <v>14</v>
      </c>
      <c r="C51" s="84">
        <f>LN('Price Data'!C63/'Price Data'!C64)</f>
        <v>-4.2807064002206269E-2</v>
      </c>
      <c r="D51" s="142">
        <f>LN('Price Data'!D63/'Price Data'!D64)</f>
        <v>-1.2740014463184046E-3</v>
      </c>
      <c r="E51" s="84">
        <f>LN('Price Data'!E63/'Price Data'!E64)</f>
        <v>-9.5869218272743598E-2</v>
      </c>
      <c r="F51" s="142">
        <f>LN('Price Data'!F63/'Price Data'!F64)</f>
        <v>-5.9719234701622194E-2</v>
      </c>
      <c r="G51" s="84">
        <f>LN('Price Data'!G63/'Price Data'!G64)</f>
        <v>-2.5248777990730338E-2</v>
      </c>
      <c r="H51" s="142">
        <f>LN('Price Data'!H63/'Price Data'!H64)</f>
        <v>4.1831193845128692E-2</v>
      </c>
      <c r="I51" s="84">
        <f>LN('Price Data'!I63/'Price Data'!I64)</f>
        <v>1.6228534178242073E-2</v>
      </c>
      <c r="J51" s="142">
        <f>LN('Price Data'!J63/'Price Data'!J64)</f>
        <v>-4.2248518249382971E-2</v>
      </c>
    </row>
    <row r="52" spans="1:11" ht="15.75" customHeight="1">
      <c r="A52" s="464"/>
      <c r="B52" s="92" t="s">
        <v>15</v>
      </c>
      <c r="C52" s="83">
        <f>LN('Price Data'!C64/'Price Data'!C65)</f>
        <v>-9.2688614147801753E-3</v>
      </c>
      <c r="D52" s="141">
        <f>LN('Price Data'!D64/'Price Data'!D65)</f>
        <v>-4.0108753683911237E-2</v>
      </c>
      <c r="E52" s="83">
        <f>LN('Price Data'!E64/'Price Data'!E65)</f>
        <v>3.8661987034264357E-2</v>
      </c>
      <c r="F52" s="141">
        <f>LN('Price Data'!F64/'Price Data'!F65)</f>
        <v>7.0213669596507169E-2</v>
      </c>
      <c r="G52" s="83">
        <f>LN('Price Data'!G64/'Price Data'!G65)</f>
        <v>1.4739963821102776E-2</v>
      </c>
      <c r="H52" s="141">
        <f>LN('Price Data'!H64/'Price Data'!H65)</f>
        <v>-1.044831490176043E-2</v>
      </c>
      <c r="I52" s="83">
        <f>LN('Price Data'!I64/'Price Data'!I65)</f>
        <v>-2.3518967440921471E-2</v>
      </c>
      <c r="J52" s="141">
        <f>LN('Price Data'!J64/'Price Data'!J65)</f>
        <v>5.4677953031716291E-2</v>
      </c>
    </row>
    <row r="53" spans="1:11" ht="15.75" customHeight="1">
      <c r="A53" s="464"/>
      <c r="B53" s="93" t="s">
        <v>16</v>
      </c>
      <c r="C53" s="85">
        <f>LN('Price Data'!C65/'Price Data'!C66)</f>
        <v>3.337187027309218E-3</v>
      </c>
      <c r="D53" s="144">
        <f>LN('Price Data'!D65/'Price Data'!D66)</f>
        <v>-5.8206265839424169E-2</v>
      </c>
      <c r="E53" s="85">
        <f>LN('Price Data'!E65/'Price Data'!E66)</f>
        <v>-3.4661981700918283E-2</v>
      </c>
      <c r="F53" s="144">
        <f>LN('Price Data'!F65/'Price Data'!F66)</f>
        <v>-5.0348928570067585E-2</v>
      </c>
      <c r="G53" s="84">
        <f>LN('Price Data'!G65/'Price Data'!G66)</f>
        <v>2.7946892278167688E-2</v>
      </c>
      <c r="H53" s="144">
        <f>LN('Price Data'!H65/'Price Data'!H66)</f>
        <v>-1.3102708170643584E-2</v>
      </c>
      <c r="I53" s="144">
        <f>LN('Price Data'!I65/'Price Data'!I66)</f>
        <v>-8.3129761247453873E-2</v>
      </c>
      <c r="J53" s="144">
        <f>LN('Price Data'!J65/'Price Data'!J66)</f>
        <v>-1.9206629959249412E-2</v>
      </c>
    </row>
    <row r="54" spans="1:11" ht="15.75" customHeight="1">
      <c r="G54" s="146"/>
    </row>
    <row r="55" spans="1:11" ht="15.75" customHeight="1"/>
    <row r="56" spans="1:11" ht="15.75" customHeight="1"/>
    <row r="57" spans="1:11" ht="15.75" customHeight="1"/>
    <row r="58" spans="1:11" ht="15.75" customHeight="1"/>
    <row r="59" spans="1:11" ht="15.75" customHeight="1"/>
    <row r="60" spans="1:11" ht="15.75" customHeight="1"/>
    <row r="61" spans="1:11" ht="15.75" customHeight="1"/>
    <row r="62" spans="1:11" ht="15.75" customHeight="1"/>
    <row r="63" spans="1:11" ht="15.75" customHeight="1"/>
    <row r="64" spans="1:11"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A48:A53"/>
    <mergeCell ref="A36:A47"/>
    <mergeCell ref="A24:A35"/>
    <mergeCell ref="A1:J1"/>
    <mergeCell ref="A3:A11"/>
    <mergeCell ref="A12:A23"/>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U1000"/>
  <sheetViews>
    <sheetView showGridLines="0" topLeftCell="A19" zoomScale="80" zoomScaleNormal="80" workbookViewId="0">
      <selection activeCell="L58" sqref="L58"/>
    </sheetView>
  </sheetViews>
  <sheetFormatPr defaultColWidth="12.5703125" defaultRowHeight="15" customHeight="1"/>
  <sheetData>
    <row r="1" spans="1:15" ht="15.75" customHeight="1">
      <c r="A1" s="86"/>
      <c r="B1" s="470" t="s">
        <v>26</v>
      </c>
      <c r="C1" s="470"/>
      <c r="D1" s="470"/>
      <c r="E1" s="470"/>
      <c r="F1" s="470"/>
      <c r="G1" s="470"/>
      <c r="H1" s="470"/>
      <c r="I1" s="470"/>
      <c r="J1" s="470"/>
      <c r="K1" s="470"/>
    </row>
    <row r="2" spans="1:15" ht="15.75" customHeight="1" thickBot="1">
      <c r="B2" s="159" t="s">
        <v>27</v>
      </c>
      <c r="C2" s="159" t="s">
        <v>28</v>
      </c>
      <c r="D2" s="70" t="s">
        <v>1</v>
      </c>
      <c r="E2" s="70" t="s">
        <v>2</v>
      </c>
      <c r="F2" s="70" t="s">
        <v>3</v>
      </c>
      <c r="G2" s="70" t="s">
        <v>4</v>
      </c>
      <c r="H2" s="70" t="s">
        <v>5</v>
      </c>
      <c r="I2" s="70" t="s">
        <v>6</v>
      </c>
      <c r="J2" s="70" t="s">
        <v>7</v>
      </c>
      <c r="K2" s="70" t="s">
        <v>13</v>
      </c>
    </row>
    <row r="3" spans="1:15" ht="15.75" customHeight="1" thickTop="1" thickBot="1">
      <c r="B3" s="467">
        <v>2022</v>
      </c>
      <c r="C3" s="160" t="s">
        <v>29</v>
      </c>
      <c r="D3" s="168">
        <v>0.115</v>
      </c>
      <c r="E3" s="169">
        <v>0.125</v>
      </c>
      <c r="F3" s="169">
        <v>0.15</v>
      </c>
      <c r="G3" s="169">
        <v>0.14000000000000001</v>
      </c>
      <c r="H3" s="169">
        <v>0.14000000000000001</v>
      </c>
      <c r="I3" s="169">
        <v>0.13</v>
      </c>
      <c r="J3" s="169">
        <v>0.18</v>
      </c>
      <c r="K3" s="169">
        <v>0.12</v>
      </c>
    </row>
    <row r="4" spans="1:15" ht="15.75" customHeight="1" thickTop="1" thickBot="1">
      <c r="B4" s="468"/>
      <c r="C4" s="160" t="s">
        <v>30</v>
      </c>
      <c r="D4" s="30">
        <v>0.10249999999999999</v>
      </c>
      <c r="E4" s="31">
        <v>0.13</v>
      </c>
      <c r="F4" s="31">
        <v>0.125</v>
      </c>
      <c r="G4" s="31">
        <v>0.13</v>
      </c>
      <c r="H4" s="31">
        <v>0.11</v>
      </c>
      <c r="I4" s="31">
        <v>0.14000000000000001</v>
      </c>
      <c r="J4" s="31">
        <v>0.12</v>
      </c>
      <c r="K4" s="31">
        <v>0.115</v>
      </c>
    </row>
    <row r="5" spans="1:15" ht="15.75" customHeight="1" thickTop="1" thickBot="1">
      <c r="B5" s="468"/>
      <c r="C5" s="163" t="s">
        <v>31</v>
      </c>
      <c r="D5" s="182">
        <v>0.11</v>
      </c>
      <c r="E5" s="183">
        <v>0.12</v>
      </c>
      <c r="F5" s="183">
        <v>0.13</v>
      </c>
      <c r="G5" s="183">
        <v>0.12</v>
      </c>
      <c r="H5" s="183">
        <v>0.1</v>
      </c>
      <c r="I5" s="183">
        <v>0.11</v>
      </c>
      <c r="J5" s="183">
        <v>0.09</v>
      </c>
      <c r="K5" s="183">
        <v>0.11</v>
      </c>
    </row>
    <row r="6" spans="1:15" ht="15.75" customHeight="1" thickTop="1" thickBot="1">
      <c r="B6" s="469">
        <v>2021</v>
      </c>
      <c r="C6" s="164" t="s">
        <v>32</v>
      </c>
      <c r="D6" s="180">
        <v>9.5000000000000001E-2</v>
      </c>
      <c r="E6" s="181">
        <v>0.11</v>
      </c>
      <c r="F6" s="181">
        <v>0.11</v>
      </c>
      <c r="G6" s="181">
        <v>0.1</v>
      </c>
      <c r="H6" s="181">
        <v>0.09</v>
      </c>
      <c r="I6" s="181">
        <v>0.1</v>
      </c>
      <c r="J6" s="181">
        <v>7.0000000000000007E-2</v>
      </c>
      <c r="K6" s="181">
        <v>0.1</v>
      </c>
    </row>
    <row r="7" spans="1:15" ht="15.75" customHeight="1" thickTop="1" thickBot="1">
      <c r="B7" s="468"/>
      <c r="C7" s="161" t="s">
        <v>33</v>
      </c>
      <c r="D7" s="170">
        <v>0.1</v>
      </c>
      <c r="E7" s="171">
        <v>0.1</v>
      </c>
      <c r="F7" s="171">
        <v>0.09</v>
      </c>
      <c r="G7" s="171">
        <v>0.11</v>
      </c>
      <c r="H7" s="171">
        <v>0.1</v>
      </c>
      <c r="I7" s="171">
        <v>0.09</v>
      </c>
      <c r="J7" s="171">
        <v>0.09</v>
      </c>
      <c r="K7" s="171">
        <v>9.5000000000000001E-2</v>
      </c>
    </row>
    <row r="8" spans="1:15" ht="15.75" customHeight="1" thickTop="1" thickBot="1">
      <c r="B8" s="468"/>
      <c r="C8" s="162" t="s">
        <v>34</v>
      </c>
      <c r="D8" s="30">
        <v>0.09</v>
      </c>
      <c r="E8" s="31">
        <v>7.0000000000000007E-2</v>
      </c>
      <c r="F8" s="31">
        <v>0.1</v>
      </c>
      <c r="G8" s="31">
        <v>0.09</v>
      </c>
      <c r="H8" s="31">
        <v>7.4999999999999997E-2</v>
      </c>
      <c r="I8" s="31">
        <v>0.1</v>
      </c>
      <c r="J8" s="31">
        <v>7.4999999999999997E-2</v>
      </c>
      <c r="K8" s="31">
        <v>0.09</v>
      </c>
    </row>
    <row r="9" spans="1:15" ht="15.75" customHeight="1" thickTop="1" thickBot="1">
      <c r="B9" s="468"/>
      <c r="C9" s="165" t="s">
        <v>35</v>
      </c>
      <c r="D9" s="182">
        <v>8.7499999999999994E-2</v>
      </c>
      <c r="E9" s="183">
        <v>0.09</v>
      </c>
      <c r="F9" s="183">
        <v>7.0000000000000007E-2</v>
      </c>
      <c r="G9" s="183">
        <v>7.4999999999999997E-2</v>
      </c>
      <c r="H9" s="183">
        <v>6.5000000000000002E-2</v>
      </c>
      <c r="I9" s="183">
        <v>0.08</v>
      </c>
      <c r="J9" s="183">
        <v>6.5000000000000002E-2</v>
      </c>
      <c r="K9" s="183">
        <v>8.5000000000000006E-2</v>
      </c>
    </row>
    <row r="10" spans="1:15" ht="15.75" customHeight="1" thickTop="1" thickBot="1">
      <c r="B10" s="469">
        <v>2020</v>
      </c>
      <c r="C10" s="164" t="s">
        <v>36</v>
      </c>
      <c r="D10" s="180">
        <v>8.5000000000000006E-2</v>
      </c>
      <c r="E10" s="181">
        <v>0.05</v>
      </c>
      <c r="F10" s="181">
        <v>0.05</v>
      </c>
      <c r="G10" s="181">
        <v>0.06</v>
      </c>
      <c r="H10" s="181">
        <v>0.05</v>
      </c>
      <c r="I10" s="181">
        <v>7.0000000000000007E-2</v>
      </c>
      <c r="J10" s="181">
        <v>0.06</v>
      </c>
      <c r="K10" s="181">
        <v>0.08</v>
      </c>
    </row>
    <row r="11" spans="1:15" ht="15.75" customHeight="1" thickTop="1" thickBot="1">
      <c r="B11" s="468"/>
      <c r="C11" s="161" t="s">
        <v>37</v>
      </c>
      <c r="D11" s="170">
        <v>0.08</v>
      </c>
      <c r="E11" s="171">
        <v>0.04</v>
      </c>
      <c r="F11" s="171">
        <v>0.04</v>
      </c>
      <c r="G11" s="171">
        <v>0.05</v>
      </c>
      <c r="H11" s="171">
        <v>4.4999999999999998E-2</v>
      </c>
      <c r="I11" s="171">
        <v>0.06</v>
      </c>
      <c r="J11" s="171">
        <v>0.05</v>
      </c>
      <c r="K11" s="171">
        <v>7.4999999999999997E-2</v>
      </c>
    </row>
    <row r="12" spans="1:15" ht="15.75" customHeight="1" thickTop="1" thickBot="1">
      <c r="B12" s="468"/>
      <c r="C12" s="161" t="s">
        <v>38</v>
      </c>
      <c r="D12" s="30">
        <v>0.01</v>
      </c>
      <c r="E12" s="31">
        <v>0.01</v>
      </c>
      <c r="F12" s="31">
        <v>0.01</v>
      </c>
      <c r="G12" s="31">
        <v>0.01</v>
      </c>
      <c r="H12" s="31">
        <v>0.01</v>
      </c>
      <c r="I12" s="31">
        <v>0.01</v>
      </c>
      <c r="J12" s="31">
        <v>0.01</v>
      </c>
      <c r="K12" s="32">
        <v>0</v>
      </c>
    </row>
    <row r="13" spans="1:15" ht="15.75" customHeight="1" thickTop="1" thickBot="1">
      <c r="B13" s="468"/>
      <c r="C13" s="167" t="s">
        <v>39</v>
      </c>
      <c r="D13" s="182">
        <v>0.03</v>
      </c>
      <c r="E13" s="183">
        <v>3.5000000000000003E-2</v>
      </c>
      <c r="F13" s="183">
        <v>0.03</v>
      </c>
      <c r="G13" s="183">
        <v>0.04</v>
      </c>
      <c r="H13" s="183">
        <v>4.4999999999999998E-2</v>
      </c>
      <c r="I13" s="183">
        <v>0.04</v>
      </c>
      <c r="J13" s="183">
        <v>0.04</v>
      </c>
      <c r="K13" s="183">
        <v>4.4999999999999998E-2</v>
      </c>
      <c r="O13" s="2" t="s">
        <v>40</v>
      </c>
    </row>
    <row r="14" spans="1:15" ht="15.75" customHeight="1" thickTop="1" thickBot="1">
      <c r="B14" s="469">
        <v>2019</v>
      </c>
      <c r="C14" s="166" t="s">
        <v>41</v>
      </c>
      <c r="D14" s="180">
        <v>2.5000000000000001E-2</v>
      </c>
      <c r="E14" s="181">
        <v>2.7E-2</v>
      </c>
      <c r="F14" s="181">
        <v>0.02</v>
      </c>
      <c r="G14" s="181">
        <v>0.02</v>
      </c>
      <c r="H14" s="181">
        <v>0.04</v>
      </c>
      <c r="I14" s="181">
        <v>0.02</v>
      </c>
      <c r="J14" s="181">
        <v>0.03</v>
      </c>
      <c r="K14" s="181">
        <v>0.03</v>
      </c>
    </row>
    <row r="15" spans="1:15" ht="15.75" customHeight="1" thickTop="1" thickBot="1">
      <c r="B15" s="468"/>
      <c r="C15" s="161" t="s">
        <v>42</v>
      </c>
      <c r="D15" s="170">
        <v>0.02</v>
      </c>
      <c r="E15" s="171">
        <v>0.03</v>
      </c>
      <c r="F15" s="171">
        <v>0.02</v>
      </c>
      <c r="G15" s="171">
        <v>1.7500000000000002E-2</v>
      </c>
      <c r="H15" s="171">
        <v>0.03</v>
      </c>
      <c r="I15" s="171">
        <v>1.6E-2</v>
      </c>
      <c r="J15" s="171">
        <v>0.03</v>
      </c>
      <c r="K15" s="171">
        <v>1.4999999999999999E-2</v>
      </c>
    </row>
    <row r="16" spans="1:15" ht="15.75" customHeight="1" thickTop="1" thickBot="1">
      <c r="B16" s="468"/>
      <c r="C16" s="161" t="s">
        <v>43</v>
      </c>
      <c r="D16" s="30">
        <v>0.02</v>
      </c>
      <c r="E16" s="31">
        <v>2.3E-2</v>
      </c>
      <c r="F16" s="31">
        <v>0.02</v>
      </c>
      <c r="G16" s="31">
        <v>1.4999999999999999E-2</v>
      </c>
      <c r="H16" s="31">
        <v>0.03</v>
      </c>
      <c r="I16" s="31">
        <v>1.4E-2</v>
      </c>
      <c r="J16" s="31">
        <v>2.5000000000000001E-2</v>
      </c>
      <c r="K16" s="31">
        <v>1.4999999999999999E-2</v>
      </c>
      <c r="N16" s="2"/>
    </row>
    <row r="17" spans="1:21" ht="15.75" customHeight="1" thickTop="1" thickBot="1">
      <c r="B17" s="468"/>
      <c r="C17" s="165" t="s">
        <v>44</v>
      </c>
      <c r="D17" s="182">
        <v>0.02</v>
      </c>
      <c r="E17" s="183">
        <v>0.02</v>
      </c>
      <c r="F17" s="183">
        <v>1.4999999999999999E-2</v>
      </c>
      <c r="G17" s="183">
        <v>1.2500000000000001E-2</v>
      </c>
      <c r="H17" s="183">
        <v>0.03</v>
      </c>
      <c r="I17" s="183">
        <v>0.01</v>
      </c>
      <c r="J17" s="183">
        <v>2.5000000000000001E-2</v>
      </c>
      <c r="K17" s="183">
        <v>1.4999999999999999E-2</v>
      </c>
      <c r="N17" s="2"/>
      <c r="P17" s="2"/>
    </row>
    <row r="18" spans="1:21" ht="15.75" customHeight="1" thickTop="1" thickBot="1">
      <c r="B18" s="469">
        <v>2018</v>
      </c>
      <c r="C18" s="164" t="s">
        <v>45</v>
      </c>
      <c r="D18" s="180">
        <v>5.0000000000000001E-3</v>
      </c>
      <c r="E18" s="181">
        <v>0.01</v>
      </c>
      <c r="F18" s="181">
        <v>0.01</v>
      </c>
      <c r="G18" s="181">
        <v>5.0000000000000001E-3</v>
      </c>
      <c r="H18" s="181">
        <v>0.02</v>
      </c>
      <c r="I18" s="181">
        <v>5.0000000000000001E-3</v>
      </c>
      <c r="J18" s="181">
        <v>0.02</v>
      </c>
      <c r="K18" s="181">
        <v>5.0000000000000001E-3</v>
      </c>
      <c r="N18" s="2"/>
    </row>
    <row r="19" spans="1:21" ht="15.75" customHeight="1" thickTop="1" thickBot="1">
      <c r="B19" s="468"/>
      <c r="C19" s="161" t="s">
        <v>46</v>
      </c>
      <c r="D19" s="170">
        <v>5.0000000000000001E-3</v>
      </c>
      <c r="E19" s="171">
        <v>0.01</v>
      </c>
      <c r="F19" s="171">
        <v>0.01</v>
      </c>
      <c r="G19" s="171">
        <v>5.0000000000000001E-3</v>
      </c>
      <c r="H19" s="171">
        <v>0.02</v>
      </c>
      <c r="I19" s="171">
        <v>5.0000000000000001E-3</v>
      </c>
      <c r="J19" s="171">
        <v>0.02</v>
      </c>
      <c r="K19" s="171">
        <v>5.0000000000000001E-3</v>
      </c>
      <c r="N19" s="2"/>
    </row>
    <row r="20" spans="1:21" ht="15.75" customHeight="1" thickTop="1">
      <c r="A20" s="9"/>
      <c r="B20" s="9"/>
      <c r="C20" s="9"/>
      <c r="D20" s="10">
        <f t="shared" ref="D20:K20" si="0">SUM(D3:D19)</f>
        <v>1</v>
      </c>
      <c r="E20" s="10">
        <f t="shared" si="0"/>
        <v>1.0000000000000002</v>
      </c>
      <c r="F20" s="10">
        <f t="shared" si="0"/>
        <v>1</v>
      </c>
      <c r="G20" s="10">
        <f t="shared" si="0"/>
        <v>1</v>
      </c>
      <c r="H20" s="11">
        <f t="shared" si="0"/>
        <v>1.0000000000000002</v>
      </c>
      <c r="I20" s="11">
        <f t="shared" si="0"/>
        <v>1</v>
      </c>
      <c r="J20" s="11">
        <f t="shared" si="0"/>
        <v>1.0000000000000002</v>
      </c>
      <c r="K20" s="11">
        <f t="shared" si="0"/>
        <v>0.99999999999999989</v>
      </c>
      <c r="N20" s="2"/>
    </row>
    <row r="21" spans="1:21" ht="15.75" customHeight="1">
      <c r="A21" s="172"/>
      <c r="B21" s="470" t="s">
        <v>47</v>
      </c>
      <c r="C21" s="470"/>
      <c r="D21" s="470"/>
      <c r="E21" s="470"/>
      <c r="F21" s="470"/>
      <c r="G21" s="470"/>
      <c r="H21" s="470"/>
      <c r="I21" s="470"/>
      <c r="J21" s="470"/>
      <c r="K21" s="470"/>
      <c r="L21" s="12"/>
      <c r="M21" s="12"/>
      <c r="N21" s="12"/>
    </row>
    <row r="22" spans="1:21" ht="15.75" customHeight="1" thickBot="1">
      <c r="B22" s="159" t="s">
        <v>27</v>
      </c>
      <c r="C22" s="159" t="s">
        <v>28</v>
      </c>
      <c r="D22" s="70" t="s">
        <v>1</v>
      </c>
      <c r="E22" s="70" t="s">
        <v>2</v>
      </c>
      <c r="F22" s="70" t="s">
        <v>3</v>
      </c>
      <c r="G22" s="70" t="s">
        <v>4</v>
      </c>
      <c r="H22" s="70" t="s">
        <v>5</v>
      </c>
      <c r="I22" s="70" t="s">
        <v>6</v>
      </c>
      <c r="J22" s="70" t="s">
        <v>7</v>
      </c>
      <c r="K22" s="70" t="s">
        <v>13</v>
      </c>
      <c r="N22" s="2"/>
    </row>
    <row r="23" spans="1:21" ht="15.75" customHeight="1" thickTop="1" thickBot="1">
      <c r="B23" s="467">
        <v>2022</v>
      </c>
      <c r="C23" s="160" t="s">
        <v>48</v>
      </c>
      <c r="D23" s="173">
        <f>AVERAGE('Continuous Return'!C3:C5)*3</f>
        <v>-1.4038922579429836E-2</v>
      </c>
      <c r="E23" s="174">
        <f>AVERAGE('Continuous Return'!D3:D5)*3</f>
        <v>0.29231217634493062</v>
      </c>
      <c r="F23" s="174">
        <f>AVERAGE('Continuous Return'!E3:E5)*3</f>
        <v>-4.8944259246399349E-2</v>
      </c>
      <c r="G23" s="174">
        <f>AVERAGE('Continuous Return'!F3:F5)*3</f>
        <v>-2.4685275433283839E-3</v>
      </c>
      <c r="H23" s="174">
        <f>AVERAGE('Continuous Return'!G3:G5)*3</f>
        <v>-3.2258092488828272E-3</v>
      </c>
      <c r="I23" s="174">
        <f>AVERAGE('Continuous Return'!H3:H5)*3</f>
        <v>2.6856276969685421E-2</v>
      </c>
      <c r="J23" s="174">
        <f>AVERAGE('Continuous Return'!I3:I5)*3</f>
        <v>0.13473936539069931</v>
      </c>
      <c r="K23" s="174">
        <f>AVERAGE('Continuous Return'!J3:J5)*3</f>
        <v>2.6388829703133304E-2</v>
      </c>
      <c r="N23" s="13"/>
      <c r="O23" s="13"/>
      <c r="P23" s="13"/>
      <c r="Q23" s="13"/>
      <c r="R23" s="14"/>
      <c r="S23" s="14"/>
      <c r="T23" s="14"/>
      <c r="U23" s="14"/>
    </row>
    <row r="24" spans="1:21" ht="15.75" customHeight="1" thickTop="1" thickBot="1">
      <c r="B24" s="468"/>
      <c r="C24" s="160" t="s">
        <v>30</v>
      </c>
      <c r="D24" s="175">
        <f>AVERAGE('Continuous Return'!C6:C8)*3</f>
        <v>-0.11183390763506169</v>
      </c>
      <c r="E24" s="176">
        <f>AVERAGE('Continuous Return'!D6:D8)*3</f>
        <v>-7.3877344846426621E-2</v>
      </c>
      <c r="F24" s="176">
        <f>AVERAGE('Continuous Return'!E6:E8)*3</f>
        <v>-0.16509649839364843</v>
      </c>
      <c r="G24" s="176">
        <f>AVERAGE('Continuous Return'!F6:F8)*3</f>
        <v>3.5637397314997488E-2</v>
      </c>
      <c r="H24" s="176">
        <f>AVERAGE('Continuous Return'!G6:G8)*3</f>
        <v>-5.4829707010610046E-2</v>
      </c>
      <c r="I24" s="176">
        <f>AVERAGE('Continuous Return'!H6:H8)*3</f>
        <v>2.7555028403501367E-2</v>
      </c>
      <c r="J24" s="176">
        <f>AVERAGE('Continuous Return'!I6:I8)*3</f>
        <v>-0.10035202308122332</v>
      </c>
      <c r="K24" s="176">
        <f>AVERAGE('Continuous Return'!J6:J8)*3</f>
        <v>-5.8013474128334921E-2</v>
      </c>
      <c r="N24" s="13"/>
      <c r="O24" s="13"/>
      <c r="P24" s="13"/>
      <c r="Q24" s="13"/>
      <c r="R24" s="14"/>
      <c r="S24" s="14"/>
      <c r="T24" s="14"/>
      <c r="U24" s="14"/>
    </row>
    <row r="25" spans="1:21" ht="15.75" customHeight="1" thickTop="1" thickBot="1">
      <c r="B25" s="468"/>
      <c r="C25" s="163" t="s">
        <v>31</v>
      </c>
      <c r="D25" s="186">
        <f>AVERAGE('Continuous Return'!C9:C11)*3</f>
        <v>-6.0749808478853723E-2</v>
      </c>
      <c r="E25" s="187">
        <f>AVERAGE('Continuous Return'!D9:D11)*3</f>
        <v>5.261192143361338E-3</v>
      </c>
      <c r="F25" s="187">
        <f>AVERAGE('Continuous Return'!E9:E11)*3</f>
        <v>3.1179971930357871E-2</v>
      </c>
      <c r="G25" s="187">
        <f>AVERAGE('Continuous Return'!F9:F11)*3</f>
        <v>-5.6051102161225018E-3</v>
      </c>
      <c r="H25" s="187">
        <f>AVERAGE('Continuous Return'!G9:G11)*3</f>
        <v>-6.6204434562190162E-2</v>
      </c>
      <c r="I25" s="187">
        <f>AVERAGE('Continuous Return'!H9:H11)*3</f>
        <v>2.3281838499191205E-2</v>
      </c>
      <c r="J25" s="187">
        <f>AVERAGE('Continuous Return'!I9:I11)*3</f>
        <v>-0.15747708622087647</v>
      </c>
      <c r="K25" s="187">
        <f>AVERAGE('Continuous Return'!J9:J11)*3</f>
        <v>1.7462751108420285E-4</v>
      </c>
      <c r="M25" s="2"/>
      <c r="N25" s="13"/>
      <c r="O25" s="13"/>
      <c r="P25" s="13"/>
      <c r="Q25" s="13"/>
      <c r="R25" s="14"/>
      <c r="S25" s="14"/>
      <c r="T25" s="14"/>
      <c r="U25" s="14"/>
    </row>
    <row r="26" spans="1:21" ht="15.75" customHeight="1" thickTop="1" thickBot="1">
      <c r="B26" s="469">
        <v>2021</v>
      </c>
      <c r="C26" s="164" t="s">
        <v>32</v>
      </c>
      <c r="D26" s="184">
        <f>AVERAGE('Continuous Return'!C12:C14)*3</f>
        <v>-8.4193868380463832E-2</v>
      </c>
      <c r="E26" s="185">
        <f>AVERAGE('Continuous Return'!D12:D14)*3</f>
        <v>-2.8599906581552224E-2</v>
      </c>
      <c r="F26" s="185">
        <f>AVERAGE('Continuous Return'!E12:E14)*3</f>
        <v>7.8471615441495418E-2</v>
      </c>
      <c r="G26" s="185">
        <f>AVERAGE('Continuous Return'!F12:F14)*3</f>
        <v>-3.0032287098874975E-2</v>
      </c>
      <c r="H26" s="185">
        <f>AVERAGE('Continuous Return'!G12:G14)*3</f>
        <v>-0.1126813486668083</v>
      </c>
      <c r="I26" s="185">
        <f>AVERAGE('Continuous Return'!H12:H14)*3</f>
        <v>-1.4111179845472156E-2</v>
      </c>
      <c r="J26" s="185">
        <f>AVERAGE('Continuous Return'!I12:I14)*3</f>
        <v>-0.20327118310549189</v>
      </c>
      <c r="K26" s="185">
        <f>AVERAGE('Continuous Return'!J12:J14)*3</f>
        <v>-8.1315969170010355E-2</v>
      </c>
    </row>
    <row r="27" spans="1:21" ht="15.75" customHeight="1" thickTop="1" thickBot="1">
      <c r="B27" s="468"/>
      <c r="C27" s="161" t="s">
        <v>33</v>
      </c>
      <c r="D27" s="177">
        <f>AVERAGE('Continuous Return'!C15:C17)*3</f>
        <v>8.4480032354372597E-2</v>
      </c>
      <c r="E27" s="178">
        <f>AVERAGE('Continuous Return'!D15:D17)*3</f>
        <v>0.16011660777246947</v>
      </c>
      <c r="F27" s="178">
        <f>AVERAGE('Continuous Return'!E15:E17)*3</f>
        <v>0.42720109001097495</v>
      </c>
      <c r="G27" s="178">
        <f>AVERAGE('Continuous Return'!F15:F17)*3</f>
        <v>0.10492230355615992</v>
      </c>
      <c r="H27" s="178">
        <f>AVERAGE('Continuous Return'!G15:G17)*3</f>
        <v>0.1403102124692846</v>
      </c>
      <c r="I27" s="178">
        <f>AVERAGE('Continuous Return'!H15:H17)*3</f>
        <v>4.5812214185456786E-2</v>
      </c>
      <c r="J27" s="178">
        <f>AVERAGE('Continuous Return'!I15:I17)*3</f>
        <v>0.14638954756789127</v>
      </c>
      <c r="K27" s="178">
        <f>AVERAGE('Continuous Return'!J15:J17)*3</f>
        <v>0.17531304670994441</v>
      </c>
    </row>
    <row r="28" spans="1:21" ht="15.75" customHeight="1" thickTop="1" thickBot="1">
      <c r="B28" s="468"/>
      <c r="C28" s="162" t="s">
        <v>34</v>
      </c>
      <c r="D28" s="175">
        <f>AVERAGE('Continuous Return'!C18:C20)*3</f>
        <v>6.16805597752908E-2</v>
      </c>
      <c r="E28" s="176">
        <f>AVERAGE('Continuous Return'!D18:D20)*3</f>
        <v>-0.1637229373712055</v>
      </c>
      <c r="F28" s="176">
        <f>AVERAGE('Continuous Return'!E18:E20)*3</f>
        <v>0.19287989367438285</v>
      </c>
      <c r="G28" s="176">
        <f>AVERAGE('Continuous Return'!F18:F20)*3</f>
        <v>9.0502478236221692E-2</v>
      </c>
      <c r="H28" s="176">
        <f>AVERAGE('Continuous Return'!G18:G20)*3</f>
        <v>-7.104415425750886E-2</v>
      </c>
      <c r="I28" s="176">
        <f>AVERAGE('Continuous Return'!H18:H20)*3</f>
        <v>7.0718231819268992E-2</v>
      </c>
      <c r="J28" s="176">
        <f>AVERAGE('Continuous Return'!I18:I20)*3</f>
        <v>3.2280148807292297E-2</v>
      </c>
      <c r="K28" s="176">
        <f>AVERAGE('Continuous Return'!J18:J20)*3</f>
        <v>0.15295257541853671</v>
      </c>
    </row>
    <row r="29" spans="1:21" ht="15.75" customHeight="1" thickTop="1" thickBot="1">
      <c r="B29" s="468"/>
      <c r="C29" s="165" t="s">
        <v>35</v>
      </c>
      <c r="D29" s="186">
        <f>AVERAGE('Continuous Return'!C21:C23)*3</f>
        <v>-5.5076084943075379E-2</v>
      </c>
      <c r="E29" s="187">
        <f>AVERAGE('Continuous Return'!D21:D23)*3</f>
        <v>0</v>
      </c>
      <c r="F29" s="187">
        <f>AVERAGE('Continuous Return'!E21:E23)*3</f>
        <v>0.25830746377187663</v>
      </c>
      <c r="G29" s="187">
        <f>AVERAGE('Continuous Return'!F21:F23)*3</f>
        <v>-0.17147154076988869</v>
      </c>
      <c r="H29" s="187">
        <f>AVERAGE('Continuous Return'!G21:G23)*3</f>
        <v>0</v>
      </c>
      <c r="I29" s="187">
        <f>AVERAGE('Continuous Return'!H21:H23)*3</f>
        <v>-2.9320379198464169E-2</v>
      </c>
      <c r="J29" s="187">
        <f>AVERAGE('Continuous Return'!I21:I23)*3</f>
        <v>-0.14927856300325798</v>
      </c>
      <c r="K29" s="187">
        <f>AVERAGE('Continuous Return'!J21:J23)*3</f>
        <v>-2.3202810171420084E-2</v>
      </c>
    </row>
    <row r="30" spans="1:21" ht="15.75" customHeight="1" thickTop="1" thickBot="1">
      <c r="B30" s="469">
        <v>2020</v>
      </c>
      <c r="C30" s="164" t="s">
        <v>36</v>
      </c>
      <c r="D30" s="184">
        <f>AVERAGE('Continuous Return'!C24:C26)*3</f>
        <v>5.0520268407214727E-2</v>
      </c>
      <c r="E30" s="185">
        <f>AVERAGE('Continuous Return'!D24:D26)*3</f>
        <v>9.5322341481663547E-2</v>
      </c>
      <c r="F30" s="185">
        <f>AVERAGE('Continuous Return'!E24:E26)*3</f>
        <v>0.85257491748804726</v>
      </c>
      <c r="G30" s="185">
        <f>AVERAGE('Continuous Return'!F24:F26)*3</f>
        <v>1.4754783065469625E-2</v>
      </c>
      <c r="H30" s="185">
        <f>AVERAGE('Continuous Return'!G24:G26)*3</f>
        <v>0</v>
      </c>
      <c r="I30" s="185">
        <f>AVERAGE('Continuous Return'!H24:H26)*3</f>
        <v>-3.5005053130425512E-3</v>
      </c>
      <c r="J30" s="185">
        <f>AVERAGE('Continuous Return'!I24:I26)*3</f>
        <v>9.4316429885990011E-2</v>
      </c>
      <c r="K30" s="185">
        <f>AVERAGE('Continuous Return'!J24:J26)*3</f>
        <v>8.47115350081942E-2</v>
      </c>
    </row>
    <row r="31" spans="1:21" ht="15.75" customHeight="1" thickTop="1" thickBot="1">
      <c r="B31" s="468"/>
      <c r="C31" s="161" t="s">
        <v>37</v>
      </c>
      <c r="D31" s="177">
        <f>AVERAGE('Continuous Return'!C27:C29)*3</f>
        <v>0.32346627294207875</v>
      </c>
      <c r="E31" s="178">
        <f>AVERAGE('Continuous Return'!D27:D29)*3</f>
        <v>4.526544070126981E-17</v>
      </c>
      <c r="F31" s="178">
        <f>AVERAGE('Continuous Return'!E27:E29)*3</f>
        <v>0.62552699288496605</v>
      </c>
      <c r="G31" s="178">
        <f>AVERAGE('Continuous Return'!F27:F29)*3</f>
        <v>0.21218383921729167</v>
      </c>
      <c r="H31" s="178">
        <f>AVERAGE('Continuous Return'!G27:G29)*3</f>
        <v>-2.688821387764051E-17</v>
      </c>
      <c r="I31" s="178">
        <f>AVERAGE('Continuous Return'!H27:H29)*3</f>
        <v>0.31745832677706254</v>
      </c>
      <c r="J31" s="178">
        <f>AVERAGE('Continuous Return'!I27:I29)*3</f>
        <v>0.14651268203020323</v>
      </c>
      <c r="K31" s="178">
        <f>AVERAGE('Continuous Return'!J27:J29)*3</f>
        <v>0.21850819942412114</v>
      </c>
    </row>
    <row r="32" spans="1:21" ht="15.75" customHeight="1" thickTop="1" thickBot="1">
      <c r="B32" s="468"/>
      <c r="C32" s="161" t="s">
        <v>38</v>
      </c>
      <c r="D32" s="175">
        <f>AVERAGE('Continuous Return'!C30:C32)*3</f>
        <v>1.2490009027033011E-16</v>
      </c>
      <c r="E32" s="176">
        <f>AVERAGE('Continuous Return'!D30:D32)</f>
        <v>0</v>
      </c>
      <c r="F32" s="176">
        <f>AVERAGE('Continuous Return'!E30:E32)</f>
        <v>1.3877787807814457E-17</v>
      </c>
      <c r="G32" s="176">
        <f>AVERAGE('Continuous Return'!F30:F32)</f>
        <v>0</v>
      </c>
      <c r="H32" s="176">
        <f>AVERAGE('Continuous Return'!G30:G32)</f>
        <v>0</v>
      </c>
      <c r="I32" s="176">
        <f>AVERAGE('Continuous Return'!H30:H32)</f>
        <v>0</v>
      </c>
      <c r="J32" s="176">
        <f>AVERAGE('Continuous Return'!I30:I32)</f>
        <v>0</v>
      </c>
      <c r="K32" s="179">
        <f>AVERAGE('Continuous Return'!J30:J32)</f>
        <v>-1.6005312493514619E-3</v>
      </c>
    </row>
    <row r="33" spans="2:11" ht="15.75" customHeight="1" thickTop="1" thickBot="1">
      <c r="B33" s="468"/>
      <c r="C33" s="167" t="s">
        <v>39</v>
      </c>
      <c r="D33" s="186">
        <f>AVERAGE('Continuous Return'!C33:C35)*3</f>
        <v>-0.17966588397732003</v>
      </c>
      <c r="E33" s="187">
        <f>AVERAGE('Continuous Return'!D33:D35)*3</f>
        <v>0.33798776572641837</v>
      </c>
      <c r="F33" s="187">
        <f>AVERAGE('Continuous Return'!E33:E35)*3</f>
        <v>-5.971923470162234E-2</v>
      </c>
      <c r="G33" s="187">
        <f>AVERAGE('Continuous Return'!F33:F35)*3</f>
        <v>-3.7317763007195151E-2</v>
      </c>
      <c r="H33" s="187">
        <f>AVERAGE('Continuous Return'!G33:G35)*3</f>
        <v>-7.0794526220464268E-2</v>
      </c>
      <c r="I33" s="187">
        <f>AVERAGE('Continuous Return'!H33:H35)*3</f>
        <v>-6.8510621889971257E-2</v>
      </c>
      <c r="J33" s="187">
        <f>AVERAGE('Continuous Return'!I33:I35)*3</f>
        <v>-9.3977734570546312E-2</v>
      </c>
      <c r="K33" s="187">
        <f>AVERAGE('Continuous Return'!J33:J35)*3</f>
        <v>-0.10520008485461846</v>
      </c>
    </row>
    <row r="34" spans="2:11" ht="15.75" customHeight="1" thickTop="1" thickBot="1">
      <c r="B34" s="469">
        <v>2019</v>
      </c>
      <c r="C34" s="166" t="s">
        <v>41</v>
      </c>
      <c r="D34" s="184">
        <f>AVERAGE('Continuous Return'!C36:C38)*3</f>
        <v>-0.20947462856625743</v>
      </c>
      <c r="E34" s="185">
        <f>AVERAGE('Continuous Return'!D36:D38)*3</f>
        <v>-2.3579352968745068E-2</v>
      </c>
      <c r="F34" s="185">
        <f>AVERAGE('Continuous Return'!E36:E38)*3</f>
        <v>-0.28768207245178079</v>
      </c>
      <c r="G34" s="185">
        <f>AVERAGE('Continuous Return'!F36:F38)*3</f>
        <v>-0.11846113970352451</v>
      </c>
      <c r="H34" s="185">
        <f>AVERAGE('Continuous Return'!G36:G38)*3</f>
        <v>-7.5833786212368318E-2</v>
      </c>
      <c r="I34" s="185">
        <f>AVERAGE('Continuous Return'!H36:H38)*3</f>
        <v>-2.8165896775407127E-2</v>
      </c>
      <c r="J34" s="185">
        <f>AVERAGE('Continuous Return'!I36:I38)*3</f>
        <v>-0.21413338442896884</v>
      </c>
      <c r="K34" s="185">
        <f>AVERAGE('Continuous Return'!J36:J38)*3</f>
        <v>-0.10534636756978841</v>
      </c>
    </row>
    <row r="35" spans="2:11" ht="15.75" customHeight="1" thickTop="1" thickBot="1">
      <c r="B35" s="468"/>
      <c r="C35" s="161" t="s">
        <v>42</v>
      </c>
      <c r="D35" s="177">
        <f>AVERAGE('Continuous Return'!C39:C41)*3</f>
        <v>-3.4308203752610192E-2</v>
      </c>
      <c r="E35" s="178">
        <f>AVERAGE('Continuous Return'!D39:D41)*3</f>
        <v>7.4367309716838581E-2</v>
      </c>
      <c r="F35" s="178">
        <f>AVERAGE('Continuous Return'!E39:E41)*3</f>
        <v>-0.19671029424605435</v>
      </c>
      <c r="G35" s="178">
        <f>AVERAGE('Continuous Return'!F39:F41)*3</f>
        <v>-7.1664642582011745E-2</v>
      </c>
      <c r="H35" s="178">
        <f>AVERAGE('Continuous Return'!G39:G41)*3</f>
        <v>-1.8469256727233239E-2</v>
      </c>
      <c r="I35" s="178">
        <f>AVERAGE('Continuous Return'!H39:H41)*3</f>
        <v>0.12589937734228174</v>
      </c>
      <c r="J35" s="178">
        <f>AVERAGE('Continuous Return'!I39:I41)*3</f>
        <v>-0.14502332586331285</v>
      </c>
      <c r="K35" s="178">
        <f>AVERAGE('Continuous Return'!J39:J41)*3</f>
        <v>-9.1485989734578096E-2</v>
      </c>
    </row>
    <row r="36" spans="2:11" ht="15.75" customHeight="1" thickTop="1" thickBot="1">
      <c r="B36" s="468"/>
      <c r="C36" s="161" t="s">
        <v>43</v>
      </c>
      <c r="D36" s="175">
        <f>AVERAGE('Continuous Return'!C42:C44)*3</f>
        <v>-0.11512893626283693</v>
      </c>
      <c r="E36" s="176">
        <f>AVERAGE('Continuous Return'!D42:D44)*3</f>
        <v>3.7069570988730718E-2</v>
      </c>
      <c r="F36" s="176">
        <f>AVERAGE('Continuous Return'!E42:E44)*3</f>
        <v>-4.4543503493803399E-3</v>
      </c>
      <c r="G36" s="176">
        <f>AVERAGE('Continuous Return'!F42:F44)*3</f>
        <v>-3.5273405179683734E-3</v>
      </c>
      <c r="H36" s="176">
        <f>AVERAGE('Continuous Return'!G42:G44)*3</f>
        <v>-6.9131847235906901E-2</v>
      </c>
      <c r="I36" s="176">
        <f>AVERAGE('Continuous Return'!H42:H44)*3</f>
        <v>5.4645825385718258E-2</v>
      </c>
      <c r="J36" s="176">
        <f>AVERAGE('Continuous Return'!I42:I44)*3</f>
        <v>1.7933870912470923E-2</v>
      </c>
      <c r="K36" s="176">
        <f>AVERAGE('Continuous Return'!J42:J44)*3</f>
        <v>-1.2879615656091255E-2</v>
      </c>
    </row>
    <row r="37" spans="2:11" ht="15.75" customHeight="1" thickTop="1" thickBot="1">
      <c r="B37" s="468"/>
      <c r="C37" s="165" t="s">
        <v>44</v>
      </c>
      <c r="D37" s="186">
        <f>AVERAGE('Continuous Return'!C45:C47)*3</f>
        <v>0.10802508125184962</v>
      </c>
      <c r="E37" s="187">
        <f>AVERAGE('Continuous Return'!D45:D47)*3</f>
        <v>2.867618462534284E-4</v>
      </c>
      <c r="F37" s="187">
        <f>AVERAGE('Continuous Return'!E45:E47)*3</f>
        <v>-4.3485111939738766E-2</v>
      </c>
      <c r="G37" s="187">
        <f>AVERAGE('Continuous Return'!F45:F47)*3</f>
        <v>5.2670924023116683E-2</v>
      </c>
      <c r="H37" s="187">
        <f>AVERAGE('Continuous Return'!G45:G47)*3</f>
        <v>0.13470557315061352</v>
      </c>
      <c r="I37" s="187">
        <f>AVERAGE('Continuous Return'!H45:H47)*3</f>
        <v>0.17993020899252249</v>
      </c>
      <c r="J37" s="187">
        <f>AVERAGE('Continuous Return'!I45:I47)*3</f>
        <v>7.0964408075283508E-2</v>
      </c>
      <c r="K37" s="187">
        <f>AVERAGE('Continuous Return'!J45:J47)*3</f>
        <v>1.9538127236887512E-2</v>
      </c>
    </row>
    <row r="38" spans="2:11" ht="15.75" customHeight="1" thickTop="1" thickBot="1">
      <c r="B38" s="469">
        <v>2018</v>
      </c>
      <c r="C38" s="164" t="s">
        <v>45</v>
      </c>
      <c r="D38" s="184">
        <f>AVERAGE('Continuous Return'!C48:C50)*3</f>
        <v>-8.404549946402641E-3</v>
      </c>
      <c r="E38" s="185">
        <f>AVERAGE('Continuous Return'!D48:D50)*3</f>
        <v>0.10546522698472843</v>
      </c>
      <c r="F38" s="185">
        <f>AVERAGE('Continuous Return'!E48:E50)*3</f>
        <v>3.1995811891982959E-2</v>
      </c>
      <c r="G38" s="185">
        <f>AVERAGE('Continuous Return'!F48:F50)*3</f>
        <v>3.5621683122561629E-2</v>
      </c>
      <c r="H38" s="185">
        <f>AVERAGE('Continuous Return'!G48:G50)*3</f>
        <v>-2.97292849601722E-2</v>
      </c>
      <c r="I38" s="185">
        <f>AVERAGE('Continuous Return'!H48:H50)*3</f>
        <v>1.5788033682277557E-2</v>
      </c>
      <c r="J38" s="185">
        <f>AVERAGE('Continuous Return'!I48:I50)*3</f>
        <v>5.3193926066699718E-2</v>
      </c>
      <c r="K38" s="185">
        <f>AVERAGE('Continuous Return'!J48:J50)*3</f>
        <v>3.1037935241862782E-3</v>
      </c>
    </row>
    <row r="39" spans="2:11" ht="15.75" customHeight="1" thickTop="1" thickBot="1">
      <c r="B39" s="468"/>
      <c r="C39" s="161" t="s">
        <v>46</v>
      </c>
      <c r="D39" s="177">
        <f>AVERAGE('Continuous Return'!C51:C53)*3</f>
        <v>-4.8738738389677225E-2</v>
      </c>
      <c r="E39" s="178">
        <f>AVERAGE('Continuous Return'!D51:D53)*3</f>
        <v>-9.9589020969653802E-2</v>
      </c>
      <c r="F39" s="178">
        <f>AVERAGE('Continuous Return'!E51:E53)*3</f>
        <v>-9.1869212939397524E-2</v>
      </c>
      <c r="G39" s="178">
        <f>AVERAGE('Continuous Return'!F51:F53)*3</f>
        <v>-3.9854493675182609E-2</v>
      </c>
      <c r="H39" s="178">
        <f>AVERAGE('Continuous Return'!G51:G53)*3</f>
        <v>1.7438078108540124E-2</v>
      </c>
      <c r="I39" s="178">
        <f>AVERAGE('Continuous Return'!H51:H53)*3</f>
        <v>1.8280170772724678E-2</v>
      </c>
      <c r="J39" s="178">
        <f>AVERAGE('Continuous Return'!I51:I53)*3</f>
        <v>-9.0420194510133278E-2</v>
      </c>
      <c r="K39" s="178">
        <f>AVERAGE('Continuous Return'!J51:J53)*3</f>
        <v>-6.7771951769160926E-3</v>
      </c>
    </row>
    <row r="40" spans="2:11" ht="15.75" customHeight="1" thickTop="1"/>
    <row r="41" spans="2:11" ht="15.75" customHeight="1">
      <c r="B41" s="470" t="s">
        <v>49</v>
      </c>
      <c r="C41" s="470"/>
      <c r="D41" s="470"/>
      <c r="E41" s="470"/>
      <c r="F41" s="470"/>
      <c r="G41" s="470"/>
      <c r="H41" s="470"/>
      <c r="I41" s="470"/>
      <c r="J41" s="470"/>
      <c r="K41" s="470"/>
    </row>
    <row r="42" spans="2:11" ht="15.75" customHeight="1" thickBot="1">
      <c r="B42" s="159" t="s">
        <v>27</v>
      </c>
      <c r="C42" s="159" t="s">
        <v>28</v>
      </c>
      <c r="D42" s="70" t="s">
        <v>1</v>
      </c>
      <c r="E42" s="70" t="s">
        <v>2</v>
      </c>
      <c r="F42" s="70" t="s">
        <v>3</v>
      </c>
      <c r="G42" s="70" t="s">
        <v>4</v>
      </c>
      <c r="H42" s="70" t="s">
        <v>5</v>
      </c>
      <c r="I42" s="70" t="s">
        <v>6</v>
      </c>
      <c r="J42" s="70" t="s">
        <v>7</v>
      </c>
      <c r="K42" s="70" t="s">
        <v>13</v>
      </c>
    </row>
    <row r="43" spans="2:11" ht="15.75" customHeight="1" thickTop="1" thickBot="1">
      <c r="B43" s="467">
        <v>2022</v>
      </c>
      <c r="C43" s="160" t="s">
        <v>48</v>
      </c>
      <c r="D43" s="173">
        <f>_xlfn.VAR.S('Continuous Return'!C3:C5)*3</f>
        <v>7.3733481835804872E-4</v>
      </c>
      <c r="E43" s="174">
        <f>_xlfn.VAR.S('Continuous Return'!D3:D5)*3</f>
        <v>9.7806373853777766E-3</v>
      </c>
      <c r="F43" s="174">
        <f>_xlfn.VAR.S('Continuous Return'!E3:E5)*3</f>
        <v>1.8633082429040375E-2</v>
      </c>
      <c r="G43" s="174">
        <f>_xlfn.VAR.S('Continuous Return'!F3:F5)*3</f>
        <v>9.1132091355586677E-4</v>
      </c>
      <c r="H43" s="174">
        <f>_xlfn.VAR.S('Continuous Return'!G3:G5)*3</f>
        <v>9.3798525777044912E-3</v>
      </c>
      <c r="I43" s="174">
        <f>_xlfn.VAR.S('Continuous Return'!H3:H5)*3</f>
        <v>2.7443406276893273E-5</v>
      </c>
      <c r="J43" s="174">
        <f>_xlfn.VAR.S('Continuous Return'!I3:I5)*3</f>
        <v>1.9647795811544182E-2</v>
      </c>
      <c r="K43" s="174">
        <f>_xlfn.VAR.S('Continuous Return'!J3:J5)*3</f>
        <v>1.4942550315829257E-2</v>
      </c>
    </row>
    <row r="44" spans="2:11" ht="15.75" customHeight="1" thickTop="1" thickBot="1">
      <c r="B44" s="468"/>
      <c r="C44" s="160" t="s">
        <v>30</v>
      </c>
      <c r="D44" s="175">
        <f>_xlfn.VAR.S('Continuous Return'!C6:C8)*3</f>
        <v>2.0884832549896174E-4</v>
      </c>
      <c r="E44" s="176">
        <f>_xlfn.VAR.S('Continuous Return'!D6:D8)*3</f>
        <v>4.1384114571379419E-3</v>
      </c>
      <c r="F44" s="176">
        <f>_xlfn.VAR.S('Continuous Return'!E6:E8)*3</f>
        <v>4.3848051152733701E-3</v>
      </c>
      <c r="G44" s="176">
        <f>_xlfn.VAR.S('Continuous Return'!F6:F8)*3</f>
        <v>5.3320224787013087E-4</v>
      </c>
      <c r="H44" s="176">
        <f>_xlfn.VAR.S('Continuous Return'!G6:G8)*3</f>
        <v>5.1255026279391231E-3</v>
      </c>
      <c r="I44" s="176">
        <f>_xlfn.VAR.S('Continuous Return'!H6:H8)*3</f>
        <v>1.1744172684745838E-3</v>
      </c>
      <c r="J44" s="176">
        <f>_xlfn.VAR.S('Continuous Return'!I6:I8)*3</f>
        <v>2.6529724928942341E-3</v>
      </c>
      <c r="K44" s="176">
        <f>_xlfn.VAR.S('Continuous Return'!J6:J8)*3</f>
        <v>1.1092709785013449E-3</v>
      </c>
    </row>
    <row r="45" spans="2:11" ht="15.75" customHeight="1" thickTop="1" thickBot="1">
      <c r="B45" s="468"/>
      <c r="C45" s="163" t="s">
        <v>31</v>
      </c>
      <c r="D45" s="186">
        <f>_xlfn.VAR.S('Continuous Return'!C9:C11)*3</f>
        <v>3.4345161263475994E-3</v>
      </c>
      <c r="E45" s="187">
        <f>_xlfn.VAR.S('Continuous Return'!D9:D11)*3</f>
        <v>9.7878438096241104E-4</v>
      </c>
      <c r="F45" s="187">
        <f>_xlfn.VAR.S('Continuous Return'!E9:E11)*3</f>
        <v>1.7393687221806549E-3</v>
      </c>
      <c r="G45" s="187">
        <f>_xlfn.VAR.S('Continuous Return'!F9:F11)*3</f>
        <v>2.0138127288463286E-3</v>
      </c>
      <c r="H45" s="187">
        <f>_xlfn.VAR.S('Continuous Return'!G9:G11)*3</f>
        <v>1.4614557264167297E-3</v>
      </c>
      <c r="I45" s="187">
        <f>_xlfn.VAR.S('Continuous Return'!H9:H11)*3</f>
        <v>1.5849613593134518E-3</v>
      </c>
      <c r="J45" s="187">
        <f>_xlfn.VAR.S('Continuous Return'!I9:I11)*3</f>
        <v>8.334645509617801E-3</v>
      </c>
      <c r="K45" s="187">
        <f>_xlfn.VAR.S('Continuous Return'!J9:J11)*3</f>
        <v>2.0552953213433382E-3</v>
      </c>
    </row>
    <row r="46" spans="2:11" ht="15.75" customHeight="1" thickTop="1" thickBot="1">
      <c r="B46" s="469">
        <v>2021</v>
      </c>
      <c r="C46" s="164" t="s">
        <v>32</v>
      </c>
      <c r="D46" s="184">
        <f>_xlfn.VAR.S('Continuous Return'!C12:C14)*3</f>
        <v>2.9038303431964197E-3</v>
      </c>
      <c r="E46" s="185">
        <f>_xlfn.VAR.S('Continuous Return'!D12:D14)*3</f>
        <v>1.880684375294665E-2</v>
      </c>
      <c r="F46" s="185">
        <f>_xlfn.VAR.S('Continuous Return'!E12:E14)*3</f>
        <v>5.0088621429114383E-2</v>
      </c>
      <c r="G46" s="185">
        <f>_xlfn.VAR.S('Continuous Return'!F12:F14)*3</f>
        <v>1.6528203450183678E-3</v>
      </c>
      <c r="H46" s="185">
        <f>_xlfn.VAR.S('Continuous Return'!G12:G14)*3</f>
        <v>3.8836801202485785E-3</v>
      </c>
      <c r="I46" s="185">
        <f>_xlfn.VAR.S('Continuous Return'!H12:H14)*3</f>
        <v>4.9891814857389114E-4</v>
      </c>
      <c r="J46" s="185">
        <f>_xlfn.VAR.S('Continuous Return'!I12:I14)*3</f>
        <v>1.4033359387460812E-2</v>
      </c>
      <c r="K46" s="185">
        <f>_xlfn.VAR.S('Continuous Return'!J12:J14)*3</f>
        <v>2.7666912784884302E-3</v>
      </c>
    </row>
    <row r="47" spans="2:11" ht="15.75" customHeight="1" thickTop="1" thickBot="1">
      <c r="B47" s="468"/>
      <c r="C47" s="161" t="s">
        <v>33</v>
      </c>
      <c r="D47" s="177">
        <f>_xlfn.VAR.S('Continuous Return'!C15:C17)*3</f>
        <v>1.2955551329352274E-2</v>
      </c>
      <c r="E47" s="178">
        <f>_xlfn.VAR.S('Continuous Return'!D15:D17)*3</f>
        <v>2.2446470609801495E-3</v>
      </c>
      <c r="F47" s="178">
        <f>_xlfn.VAR.S('Continuous Return'!E15:E17)*3</f>
        <v>3.933013075334961E-2</v>
      </c>
      <c r="G47" s="178">
        <f>_xlfn.VAR.S('Continuous Return'!F15:F17)*3</f>
        <v>1.0064967305040463E-3</v>
      </c>
      <c r="H47" s="178">
        <f>_xlfn.VAR.S('Continuous Return'!G15:G17)*3</f>
        <v>2.4794917468154384E-3</v>
      </c>
      <c r="I47" s="178">
        <f>_xlfn.VAR.S('Continuous Return'!H15:H17)*3</f>
        <v>6.298279094954555E-3</v>
      </c>
      <c r="J47" s="178">
        <f>_xlfn.VAR.S('Continuous Return'!I15:I17)*3</f>
        <v>1.2457564085378504E-2</v>
      </c>
      <c r="K47" s="178">
        <f>_xlfn.VAR.S('Continuous Return'!J15:J17)*3</f>
        <v>4.9142475317443847E-4</v>
      </c>
    </row>
    <row r="48" spans="2:11" ht="15.75" customHeight="1" thickTop="1" thickBot="1">
      <c r="B48" s="468"/>
      <c r="C48" s="162" t="s">
        <v>34</v>
      </c>
      <c r="D48" s="175">
        <f>_xlfn.VAR.S('Continuous Return'!C18:C20)*3</f>
        <v>3.8267096645282239E-4</v>
      </c>
      <c r="E48" s="176">
        <f>_xlfn.VAR.S('Continuous Return'!D18:D20)*3</f>
        <v>2.6805200221455681E-2</v>
      </c>
      <c r="F48" s="176">
        <f>_xlfn.VAR.S('Continuous Return'!E18:E20)*3</f>
        <v>2.2625092540038878E-2</v>
      </c>
      <c r="G48" s="176">
        <f>_xlfn.VAR.S('Continuous Return'!F18:F20)*3</f>
        <v>4.7611046848237328E-3</v>
      </c>
      <c r="H48" s="176">
        <f>_xlfn.VAR.S('Continuous Return'!G18:G20)*3</f>
        <v>5.2537304772026679E-3</v>
      </c>
      <c r="I48" s="176">
        <f>_xlfn.VAR.S('Continuous Return'!H18:H20)*3</f>
        <v>4.2928980648699626E-3</v>
      </c>
      <c r="J48" s="176">
        <f>_xlfn.VAR.S('Continuous Return'!I18:I20)*3</f>
        <v>3.0995020430040349E-3</v>
      </c>
      <c r="K48" s="176">
        <f>_xlfn.VAR.S('Continuous Return'!J18:J20)*3</f>
        <v>3.3833985039146402E-3</v>
      </c>
    </row>
    <row r="49" spans="2:11" ht="15.75" customHeight="1" thickTop="1" thickBot="1">
      <c r="B49" s="468"/>
      <c r="C49" s="165" t="s">
        <v>35</v>
      </c>
      <c r="D49" s="186">
        <f>_xlfn.VAR.S('Continuous Return'!C21:C23)*3</f>
        <v>2.0373362043567461E-2</v>
      </c>
      <c r="E49" s="187">
        <f>_xlfn.VAR.S('Continuous Return'!D21:D23)*3</f>
        <v>0</v>
      </c>
      <c r="F49" s="187">
        <f>_xlfn.VAR.S('Continuous Return'!E21:E23)*3</f>
        <v>0.25868564865102672</v>
      </c>
      <c r="G49" s="187">
        <f>_xlfn.VAR.S('Continuous Return'!F21:F23)*3</f>
        <v>1.8638352803288594E-3</v>
      </c>
      <c r="H49" s="187">
        <f>_xlfn.VAR.S('Continuous Return'!G21:G23)*3</f>
        <v>0</v>
      </c>
      <c r="I49" s="187">
        <f>_xlfn.VAR.S('Continuous Return'!H21:H23)*3</f>
        <v>6.7419140769862257E-4</v>
      </c>
      <c r="J49" s="187">
        <f>_xlfn.VAR.S('Continuous Return'!I21:I23)*3</f>
        <v>2.0058358727417357E-3</v>
      </c>
      <c r="K49" s="187">
        <f>_xlfn.VAR.S('Continuous Return'!J21:J23)*3</f>
        <v>6.5410009727930396E-3</v>
      </c>
    </row>
    <row r="50" spans="2:11" ht="15.75" customHeight="1" thickTop="1" thickBot="1">
      <c r="B50" s="469">
        <v>2020</v>
      </c>
      <c r="C50" s="164" t="s">
        <v>36</v>
      </c>
      <c r="D50" s="184">
        <f>_xlfn.VAR.S('Continuous Return'!C24:C26)*3</f>
        <v>1.0938261828173999E-2</v>
      </c>
      <c r="E50" s="185">
        <f>_xlfn.VAR.S('Continuous Return'!D24:D26)*3</f>
        <v>9.0863487855468751E-3</v>
      </c>
      <c r="F50" s="185">
        <f>_xlfn.VAR.S('Continuous Return'!E24:E26)*3</f>
        <v>0.78276040491906662</v>
      </c>
      <c r="G50" s="185">
        <f>_xlfn.VAR.S('Continuous Return'!F24:F26)*3</f>
        <v>2.1120261172317321E-2</v>
      </c>
      <c r="H50" s="185">
        <f>_xlfn.VAR.S('Continuous Return'!G24:G26)*3</f>
        <v>0</v>
      </c>
      <c r="I50" s="185">
        <f>_xlfn.VAR.S('Continuous Return'!H24:H26)*3</f>
        <v>1.029459379220376E-3</v>
      </c>
      <c r="J50" s="185">
        <f>_xlfn.VAR.S('Continuous Return'!I24:I26)*3</f>
        <v>7.9323571985338397E-3</v>
      </c>
      <c r="K50" s="185">
        <f>_xlfn.VAR.S('Continuous Return'!J24:J26)*3</f>
        <v>1.3624607471799673E-2</v>
      </c>
    </row>
    <row r="51" spans="2:11" ht="15.75" customHeight="1" thickTop="1" thickBot="1">
      <c r="B51" s="468"/>
      <c r="C51" s="161" t="s">
        <v>37</v>
      </c>
      <c r="D51" s="177">
        <f>_xlfn.VAR.S('Continuous Return'!C27:C29)*3</f>
        <v>2.4184802291092822E-2</v>
      </c>
      <c r="E51" s="178">
        <f>_xlfn.VAR.S('Continuous Return'!D27:D29)*3</f>
        <v>1.3741871241501661E-7</v>
      </c>
      <c r="F51" s="178">
        <f>_xlfn.VAR.S('Continuous Return'!E27:E29)*3</f>
        <v>0.53196932028187971</v>
      </c>
      <c r="G51" s="178">
        <f>_xlfn.VAR.S('Continuous Return'!F27:F29)*3</f>
        <v>5.1576779237414638E-3</v>
      </c>
      <c r="H51" s="178">
        <f>_xlfn.VAR.S('Continuous Return'!G27:G29)*3</f>
        <v>5.7082625911869047E-5</v>
      </c>
      <c r="I51" s="178">
        <f>_xlfn.VAR.S('Continuous Return'!H27:H29)*3</f>
        <v>5.1871293419886444E-3</v>
      </c>
      <c r="J51" s="178">
        <f>_xlfn.VAR.S('Continuous Return'!I27:I29)*3</f>
        <v>2.4881155109948035E-2</v>
      </c>
      <c r="K51" s="178">
        <f>_xlfn.VAR.S('Continuous Return'!J27:J29)*3</f>
        <v>1.3269644972222681E-2</v>
      </c>
    </row>
    <row r="52" spans="2:11" ht="15.75" customHeight="1" thickTop="1" thickBot="1">
      <c r="B52" s="468"/>
      <c r="C52" s="161" t="s">
        <v>38</v>
      </c>
      <c r="D52" s="175">
        <f>_xlfn.VAR.S('Continuous Return'!C30:C32)*3</f>
        <v>1.4349466869554357E-2</v>
      </c>
      <c r="E52" s="176">
        <f>_xlfn.VAR.S('Continuous Return'!D30:D32)</f>
        <v>5.5265117735038727E-2</v>
      </c>
      <c r="F52" s="176">
        <f>_xlfn.VAR.S('Continuous Return'!E30:E32)</f>
        <v>9.0840303743327452E-3</v>
      </c>
      <c r="G52" s="176">
        <f>_xlfn.VAR.S('Continuous Return'!F30:F32)</f>
        <v>0</v>
      </c>
      <c r="H52" s="176">
        <f>_xlfn.VAR.S('Continuous Return'!G30:G32)</f>
        <v>5.5269057505454619E-2</v>
      </c>
      <c r="I52" s="176">
        <f>_xlfn.VAR.S('Continuous Return'!H30:H32)</f>
        <v>0</v>
      </c>
      <c r="J52" s="176">
        <f>_xlfn.VAR.S('Continuous Return'!I30:I32)</f>
        <v>0</v>
      </c>
      <c r="K52" s="179">
        <f>_xlfn.VAR.S('Continuous Return'!J30:J32)</f>
        <v>2.3692764202446989E-4</v>
      </c>
    </row>
    <row r="53" spans="2:11" ht="15.75" customHeight="1" thickTop="1" thickBot="1">
      <c r="B53" s="468"/>
      <c r="C53" s="167" t="s">
        <v>39</v>
      </c>
      <c r="D53" s="186">
        <f>_xlfn.VAR.S('Continuous Return'!C33:C35)*3</f>
        <v>3.4613230680539508E-2</v>
      </c>
      <c r="E53" s="187">
        <f>_xlfn.VAR.S('Continuous Return'!D33:D35)</f>
        <v>5.3965257145767095E-3</v>
      </c>
      <c r="F53" s="187">
        <f>_xlfn.VAR.S('Continuous Return'!E33:E35)</f>
        <v>2.8742305244796002E-2</v>
      </c>
      <c r="G53" s="187">
        <f>_xlfn.VAR.S('Continuous Return'!F33:F35)</f>
        <v>1.342965759946335E-3</v>
      </c>
      <c r="H53" s="187">
        <f>_xlfn.VAR.S('Continuous Return'!G33:G35)</f>
        <v>5.4351988731417755E-3</v>
      </c>
      <c r="I53" s="187">
        <f>_xlfn.VAR.S('Continuous Return'!H33:H35)</f>
        <v>1.1183792753932621E-3</v>
      </c>
      <c r="J53" s="187">
        <f>_xlfn.VAR.S('Continuous Return'!I33:I35)</f>
        <v>3.4420010301271939E-2</v>
      </c>
      <c r="K53" s="187">
        <f>_xlfn.VAR.S('Continuous Return'!J33:J35)</f>
        <v>4.3602533305213322E-3</v>
      </c>
    </row>
    <row r="54" spans="2:11" ht="15.75" customHeight="1" thickTop="1" thickBot="1">
      <c r="B54" s="469">
        <v>2019</v>
      </c>
      <c r="C54" s="166" t="s">
        <v>41</v>
      </c>
      <c r="D54" s="184">
        <f>_xlfn.VAR.S('Continuous Return'!C36:C38)*3</f>
        <v>1.1680007762951868E-2</v>
      </c>
      <c r="E54" s="185">
        <f>_xlfn.VAR.S('Continuous Return'!D36:D38)*3</f>
        <v>5.1400487501743284E-3</v>
      </c>
      <c r="F54" s="185">
        <f>_xlfn.VAR.S('Continuous Return'!E36:E38)*3</f>
        <v>2.4187296565713425E-2</v>
      </c>
      <c r="G54" s="185">
        <f>_xlfn.VAR.S('Continuous Return'!F36:F38)*3</f>
        <v>3.7275291090919038E-2</v>
      </c>
      <c r="H54" s="185">
        <f>_xlfn.VAR.S('Continuous Return'!G36:G38)*3</f>
        <v>2.635735864088282E-3</v>
      </c>
      <c r="I54" s="185">
        <f>_xlfn.VAR.S('Continuous Return'!H36:H38)*3</f>
        <v>3.1641820482402824E-4</v>
      </c>
      <c r="J54" s="185">
        <f>_xlfn.VAR.S('Continuous Return'!I36:I38)*3</f>
        <v>4.332540232894927E-2</v>
      </c>
      <c r="K54" s="185">
        <f>_xlfn.VAR.S('Continuous Return'!J36:J38)*3</f>
        <v>4.6669392973720247E-3</v>
      </c>
    </row>
    <row r="55" spans="2:11" ht="15.75" customHeight="1" thickTop="1" thickBot="1">
      <c r="B55" s="468"/>
      <c r="C55" s="161" t="s">
        <v>42</v>
      </c>
      <c r="D55" s="177">
        <f>_xlfn.VAR.S('Continuous Return'!C39:C41)*3</f>
        <v>4.0568181678752605E-2</v>
      </c>
      <c r="E55" s="178">
        <f>_xlfn.VAR.S('Continuous Return'!D39:D41)*3</f>
        <v>6.1591894998074253E-3</v>
      </c>
      <c r="F55" s="178">
        <f>_xlfn.VAR.S('Continuous Return'!E39:E41)*3</f>
        <v>5.7574942037173213E-2</v>
      </c>
      <c r="G55" s="178">
        <f>_xlfn.VAR.S('Continuous Return'!F39:F41)*3</f>
        <v>2.3623062614220132E-3</v>
      </c>
      <c r="H55" s="178">
        <f>_xlfn.VAR.S('Continuous Return'!G39:G41)*3</f>
        <v>1.615081655850029E-3</v>
      </c>
      <c r="I55" s="178">
        <f>_xlfn.VAR.S('Continuous Return'!H39:H41)*3</f>
        <v>2.7816418260537389E-2</v>
      </c>
      <c r="J55" s="178">
        <f>_xlfn.VAR.S('Continuous Return'!I39:I41)*3</f>
        <v>2.723876591409415E-3</v>
      </c>
      <c r="K55" s="178">
        <f>_xlfn.VAR.S('Continuous Return'!J39:J41)*3</f>
        <v>1.5324771916450553E-3</v>
      </c>
    </row>
    <row r="56" spans="2:11" ht="15.75" customHeight="1" thickTop="1" thickBot="1">
      <c r="B56" s="468"/>
      <c r="C56" s="161" t="s">
        <v>43</v>
      </c>
      <c r="D56" s="175">
        <f>_xlfn.VAR.S('Continuous Return'!C42:C44)*3</f>
        <v>2.0616978578266158E-2</v>
      </c>
      <c r="E56" s="176">
        <f>_xlfn.VAR.S('Continuous Return'!D42:D44)*3</f>
        <v>1.7011341185084962E-4</v>
      </c>
      <c r="F56" s="176">
        <f>_xlfn.VAR.S('Continuous Return'!E42:E44)*3</f>
        <v>1.5324154166447175E-3</v>
      </c>
      <c r="G56" s="176">
        <f>_xlfn.VAR.S('Continuous Return'!F42:F44)*3</f>
        <v>1.1468455205127273E-2</v>
      </c>
      <c r="H56" s="176">
        <f>_xlfn.VAR.S('Continuous Return'!G42:G44)*3</f>
        <v>8.9593224921355255E-3</v>
      </c>
      <c r="I56" s="176">
        <f>_xlfn.VAR.S('Continuous Return'!H42:H44)*3</f>
        <v>6.0445514629583544E-3</v>
      </c>
      <c r="J56" s="176">
        <f>_xlfn.VAR.S('Continuous Return'!I42:I44)*3</f>
        <v>4.8692372736576471E-3</v>
      </c>
      <c r="K56" s="176">
        <f>_xlfn.VAR.S('Continuous Return'!J42:J44)*3</f>
        <v>6.0407052170167556E-3</v>
      </c>
    </row>
    <row r="57" spans="2:11" ht="15.75" customHeight="1" thickTop="1" thickBot="1">
      <c r="B57" s="468"/>
      <c r="C57" s="165" t="s">
        <v>44</v>
      </c>
      <c r="D57" s="186">
        <f>_xlfn.VAR.S('Continuous Return'!C45:C47)*3</f>
        <v>6.4596716362419777E-3</v>
      </c>
      <c r="E57" s="187">
        <f>_xlfn.VAR.S('Continuous Return'!D45:D47)*3</f>
        <v>1.3065042072310348E-3</v>
      </c>
      <c r="F57" s="187">
        <f>_xlfn.VAR.S('Continuous Return'!E45:E47)*3</f>
        <v>1.7899899782126891E-2</v>
      </c>
      <c r="G57" s="187">
        <f>_xlfn.VAR.S('Continuous Return'!F45:F47)*3</f>
        <v>8.3394795033131977E-2</v>
      </c>
      <c r="H57" s="187">
        <f>_xlfn.VAR.S('Continuous Return'!G45:G47)*3</f>
        <v>2.075158420773336E-3</v>
      </c>
      <c r="I57" s="187">
        <f>_xlfn.VAR.S('Continuous Return'!H45:H47)*3</f>
        <v>2.8381943478733174E-3</v>
      </c>
      <c r="J57" s="187">
        <f>_xlfn.VAR.S('Continuous Return'!I45:I47)*3</f>
        <v>1.6265713840147245E-2</v>
      </c>
      <c r="K57" s="187">
        <f>_xlfn.VAR.S('Continuous Return'!J45:J47)*3</f>
        <v>1.1724128463827584E-2</v>
      </c>
    </row>
    <row r="58" spans="2:11" ht="15.75" customHeight="1" thickTop="1" thickBot="1">
      <c r="B58" s="469">
        <v>2018</v>
      </c>
      <c r="C58" s="164" t="s">
        <v>45</v>
      </c>
      <c r="D58" s="184">
        <f>_xlfn.VAR.S('Continuous Return'!C48:C50)*3</f>
        <v>4.3285293346520259E-3</v>
      </c>
      <c r="E58" s="185">
        <f>_xlfn.VAR.S('Continuous Return'!D48:D50)*3</f>
        <v>7.2359637023764801E-4</v>
      </c>
      <c r="F58" s="185">
        <f>_xlfn.VAR.S('Continuous Return'!E48:E50)*3</f>
        <v>1.5049600969207013E-2</v>
      </c>
      <c r="G58" s="185">
        <f>_xlfn.VAR.S('Continuous Return'!F48:F50)*3</f>
        <v>1.2080574645496743E-2</v>
      </c>
      <c r="H58" s="185">
        <f>_xlfn.VAR.S('Continuous Return'!G48:G50)*3</f>
        <v>1.8128003112444712E-3</v>
      </c>
      <c r="I58" s="185">
        <f>_xlfn.VAR.S('Continuous Return'!H48:H50)*3</f>
        <v>7.438445202120424E-4</v>
      </c>
      <c r="J58" s="185">
        <f>_xlfn.VAR.S('Continuous Return'!I48:I50)*3</f>
        <v>4.7896372735356119E-3</v>
      </c>
      <c r="K58" s="185">
        <f>_xlfn.VAR.S('Continuous Return'!J48:J50)*3</f>
        <v>9.5076817410118665E-4</v>
      </c>
    </row>
    <row r="59" spans="2:11" ht="15.75" customHeight="1" thickTop="1" thickBot="1">
      <c r="B59" s="468"/>
      <c r="C59" s="161" t="s">
        <v>46</v>
      </c>
      <c r="D59" s="177">
        <f>_xlfn.VAR.S('Continuous Return'!C51:C53)*3</f>
        <v>1.7065076965972396E-3</v>
      </c>
      <c r="E59" s="178">
        <f>_xlfn.VAR.S('Continuous Return'!D51:D53)*3</f>
        <v>2.5384703282503307E-3</v>
      </c>
      <c r="F59" s="178">
        <f>_xlfn.VAR.S('Continuous Return'!E51:E53)*3</f>
        <v>1.3610687700596879E-2</v>
      </c>
      <c r="G59" s="178">
        <f>_xlfn.VAR.S('Continuous Return'!F51:F53)*3</f>
        <v>1.5752851166510432E-2</v>
      </c>
      <c r="H59" s="178">
        <f>_xlfn.VAR.S('Continuous Return'!G51:G53)*3</f>
        <v>2.3016508831604013E-3</v>
      </c>
      <c r="I59" s="178">
        <f>_xlfn.VAR.S('Continuous Return'!H51:H53)*3</f>
        <v>2.8789632145602086E-3</v>
      </c>
      <c r="J59" s="178">
        <f>_xlfn.VAR.S('Continuous Return'!I51:I53)*3</f>
        <v>7.5026907465551001E-3</v>
      </c>
      <c r="K59" s="178">
        <f>_xlfn.VAR.S('Continuous Return'!J51:J53)*3</f>
        <v>7.6923005273648263E-3</v>
      </c>
    </row>
    <row r="60" spans="2:11" ht="15.75" customHeight="1" thickTop="1"/>
    <row r="61" spans="2:11" ht="15.75" customHeight="1"/>
    <row r="62" spans="2:11" ht="15.75" customHeight="1">
      <c r="B62" s="470" t="s">
        <v>50</v>
      </c>
      <c r="C62" s="470"/>
      <c r="D62" s="470"/>
      <c r="E62" s="470"/>
      <c r="F62" s="470"/>
      <c r="G62" s="470"/>
      <c r="H62" s="470"/>
      <c r="I62" s="470"/>
      <c r="J62" s="470"/>
      <c r="K62" s="470"/>
    </row>
    <row r="63" spans="2:11" ht="15.75" customHeight="1" thickBot="1">
      <c r="B63" s="159" t="s">
        <v>27</v>
      </c>
      <c r="C63" s="159" t="s">
        <v>28</v>
      </c>
      <c r="D63" s="70" t="s">
        <v>1</v>
      </c>
      <c r="E63" s="70" t="s">
        <v>2</v>
      </c>
      <c r="F63" s="70" t="s">
        <v>3</v>
      </c>
      <c r="G63" s="70" t="s">
        <v>4</v>
      </c>
      <c r="H63" s="70" t="s">
        <v>5</v>
      </c>
      <c r="I63" s="70" t="s">
        <v>6</v>
      </c>
      <c r="J63" s="70" t="s">
        <v>7</v>
      </c>
      <c r="K63" s="70" t="s">
        <v>13</v>
      </c>
    </row>
    <row r="64" spans="2:11" ht="15.75" customHeight="1" thickTop="1" thickBot="1">
      <c r="B64" s="467">
        <v>2022</v>
      </c>
      <c r="C64" s="160" t="s">
        <v>48</v>
      </c>
      <c r="D64" s="173">
        <f t="shared" ref="D64:K64" si="1">SQRTPI(D43)</f>
        <v>4.8129052022552972E-2</v>
      </c>
      <c r="E64" s="174">
        <f t="shared" si="1"/>
        <v>0.17529055467231686</v>
      </c>
      <c r="F64" s="174">
        <f t="shared" si="1"/>
        <v>0.24194535513790361</v>
      </c>
      <c r="G64" s="174">
        <f t="shared" si="1"/>
        <v>5.350700035593333E-2</v>
      </c>
      <c r="H64" s="174">
        <f t="shared" si="1"/>
        <v>0.1716615156343195</v>
      </c>
      <c r="I64" s="174">
        <f t="shared" si="1"/>
        <v>9.2852573227115206E-3</v>
      </c>
      <c r="J64" s="174">
        <f t="shared" si="1"/>
        <v>0.24844591157992418</v>
      </c>
      <c r="K64" s="174">
        <f t="shared" si="1"/>
        <v>0.21666427093109986</v>
      </c>
    </row>
    <row r="65" spans="2:11" ht="15.75" customHeight="1" thickTop="1" thickBot="1">
      <c r="B65" s="468"/>
      <c r="C65" s="160" t="s">
        <v>30</v>
      </c>
      <c r="D65" s="175">
        <f t="shared" ref="D65:K65" si="2">SQRTPI(D44)</f>
        <v>2.5614768495968651E-2</v>
      </c>
      <c r="E65" s="176">
        <f t="shared" si="2"/>
        <v>0.11402281802900852</v>
      </c>
      <c r="F65" s="176">
        <f t="shared" si="2"/>
        <v>0.11736810272627637</v>
      </c>
      <c r="G65" s="176">
        <f t="shared" si="2"/>
        <v>4.0928037636641795E-2</v>
      </c>
      <c r="H65" s="176">
        <f t="shared" si="2"/>
        <v>0.12689460745787715</v>
      </c>
      <c r="I65" s="176">
        <f t="shared" si="2"/>
        <v>6.0741589235784273E-2</v>
      </c>
      <c r="J65" s="176">
        <f t="shared" si="2"/>
        <v>9.129380534216068E-2</v>
      </c>
      <c r="K65" s="176">
        <f t="shared" si="2"/>
        <v>5.9032851505752174E-2</v>
      </c>
    </row>
    <row r="66" spans="2:11" ht="15.75" customHeight="1" thickTop="1" thickBot="1">
      <c r="B66" s="468"/>
      <c r="C66" s="163" t="s">
        <v>31</v>
      </c>
      <c r="D66" s="177">
        <f t="shared" ref="D66:K66" si="3">SQRTPI(D45)</f>
        <v>0.10387420580283294</v>
      </c>
      <c r="E66" s="178">
        <f t="shared" si="3"/>
        <v>5.5452157944303158E-2</v>
      </c>
      <c r="F66" s="178">
        <f t="shared" si="3"/>
        <v>7.3921498899079494E-2</v>
      </c>
      <c r="G66" s="178">
        <f t="shared" si="3"/>
        <v>7.953979679788753E-2</v>
      </c>
      <c r="H66" s="178">
        <f t="shared" si="3"/>
        <v>6.7759121700753558E-2</v>
      </c>
      <c r="I66" s="178">
        <f t="shared" si="3"/>
        <v>7.0564176198995146E-2</v>
      </c>
      <c r="J66" s="178">
        <f t="shared" si="3"/>
        <v>0.16181489765559426</v>
      </c>
      <c r="K66" s="178">
        <f t="shared" si="3"/>
        <v>8.0354842308909449E-2</v>
      </c>
    </row>
    <row r="67" spans="2:11" ht="15.75" customHeight="1" thickTop="1" thickBot="1">
      <c r="B67" s="469">
        <v>2021</v>
      </c>
      <c r="C67" s="164" t="s">
        <v>32</v>
      </c>
      <c r="D67" s="175">
        <f t="shared" ref="D67:K67" si="4">SQRTPI(D46)</f>
        <v>9.5512575472850691E-2</v>
      </c>
      <c r="E67" s="176">
        <f t="shared" si="4"/>
        <v>0.24307085833449532</v>
      </c>
      <c r="F67" s="176">
        <f t="shared" si="4"/>
        <v>0.39668380999247504</v>
      </c>
      <c r="G67" s="176">
        <f t="shared" si="4"/>
        <v>7.2058922095833852E-2</v>
      </c>
      <c r="H67" s="176">
        <f t="shared" si="4"/>
        <v>0.1104578695008448</v>
      </c>
      <c r="I67" s="176">
        <f t="shared" si="4"/>
        <v>3.9590372444602707E-2</v>
      </c>
      <c r="J67" s="176">
        <f t="shared" si="4"/>
        <v>0.20996928050748817</v>
      </c>
      <c r="K67" s="176">
        <f t="shared" si="4"/>
        <v>9.3229914701506642E-2</v>
      </c>
    </row>
    <row r="68" spans="2:11" ht="15.75" customHeight="1" thickTop="1" thickBot="1">
      <c r="B68" s="468"/>
      <c r="C68" s="161" t="s">
        <v>33</v>
      </c>
      <c r="D68" s="177">
        <f t="shared" ref="D68:K68" si="5">SQRTPI(D47)</f>
        <v>0.20174504920691011</v>
      </c>
      <c r="E68" s="178">
        <f t="shared" si="5"/>
        <v>8.3974798104414383E-2</v>
      </c>
      <c r="F68" s="178">
        <f t="shared" si="5"/>
        <v>0.35150995695634163</v>
      </c>
      <c r="G68" s="178">
        <f t="shared" si="5"/>
        <v>5.6231687991857918E-2</v>
      </c>
      <c r="H68" s="178">
        <f t="shared" si="5"/>
        <v>8.8258444674897282E-2</v>
      </c>
      <c r="I68" s="178">
        <f t="shared" si="5"/>
        <v>0.1406649470727068</v>
      </c>
      <c r="J68" s="178">
        <f t="shared" si="5"/>
        <v>0.19782970406955866</v>
      </c>
      <c r="K68" s="178">
        <f t="shared" si="5"/>
        <v>3.9291938032693083E-2</v>
      </c>
    </row>
    <row r="69" spans="2:11" ht="15.75" customHeight="1" thickTop="1" thickBot="1">
      <c r="B69" s="468"/>
      <c r="C69" s="162" t="s">
        <v>34</v>
      </c>
      <c r="D69" s="175">
        <f t="shared" ref="D69:K69" si="6">SQRTPI(D48)</f>
        <v>3.4672702475438702E-2</v>
      </c>
      <c r="E69" s="176">
        <f t="shared" si="6"/>
        <v>0.29019135082515579</v>
      </c>
      <c r="F69" s="176">
        <f t="shared" si="6"/>
        <v>0.26660612241765075</v>
      </c>
      <c r="G69" s="176">
        <f t="shared" si="6"/>
        <v>0.12230066026319804</v>
      </c>
      <c r="H69" s="176">
        <f t="shared" si="6"/>
        <v>0.12847210230676814</v>
      </c>
      <c r="I69" s="176">
        <f t="shared" si="6"/>
        <v>0.11613155050719556</v>
      </c>
      <c r="J69" s="176">
        <f t="shared" si="6"/>
        <v>9.8678127505988034E-2</v>
      </c>
      <c r="K69" s="176">
        <f t="shared" si="6"/>
        <v>0.1030983020425891</v>
      </c>
    </row>
    <row r="70" spans="2:11" ht="15.75" customHeight="1" thickTop="1" thickBot="1">
      <c r="B70" s="468"/>
      <c r="C70" s="165" t="s">
        <v>35</v>
      </c>
      <c r="D70" s="177">
        <f t="shared" ref="D70:K70" si="7">SQRTPI(D49)</f>
        <v>0.25299170841155383</v>
      </c>
      <c r="E70" s="178">
        <f t="shared" si="7"/>
        <v>0</v>
      </c>
      <c r="F70" s="178">
        <f t="shared" si="7"/>
        <v>0.90149039561782129</v>
      </c>
      <c r="G70" s="178">
        <f t="shared" si="7"/>
        <v>7.652065880651196E-2</v>
      </c>
      <c r="H70" s="178">
        <f t="shared" si="7"/>
        <v>0</v>
      </c>
      <c r="I70" s="178">
        <f t="shared" si="7"/>
        <v>4.602211178921882E-2</v>
      </c>
      <c r="J70" s="178">
        <f t="shared" si="7"/>
        <v>7.9382109080776558E-2</v>
      </c>
      <c r="K70" s="178">
        <f t="shared" si="7"/>
        <v>0.14334978410604707</v>
      </c>
    </row>
    <row r="71" spans="2:11" ht="15.75" customHeight="1" thickTop="1" thickBot="1">
      <c r="B71" s="469">
        <v>2020</v>
      </c>
      <c r="C71" s="164" t="s">
        <v>36</v>
      </c>
      <c r="D71" s="175">
        <f t="shared" ref="D71:K71" si="8">SQRTPI(D50)</f>
        <v>0.18537411632273018</v>
      </c>
      <c r="E71" s="176">
        <f t="shared" si="8"/>
        <v>0.16895445123650515</v>
      </c>
      <c r="F71" s="176">
        <f t="shared" si="8"/>
        <v>1.5681563498627014</v>
      </c>
      <c r="G71" s="176">
        <f t="shared" si="8"/>
        <v>0.25758737806975296</v>
      </c>
      <c r="H71" s="176">
        <f t="shared" si="8"/>
        <v>0</v>
      </c>
      <c r="I71" s="176">
        <f t="shared" si="8"/>
        <v>5.6869517519738483E-2</v>
      </c>
      <c r="J71" s="176">
        <f t="shared" si="8"/>
        <v>0.15786144272926186</v>
      </c>
      <c r="K71" s="176">
        <f t="shared" si="8"/>
        <v>0.20688877867455852</v>
      </c>
    </row>
    <row r="72" spans="2:11" ht="15.75" customHeight="1" thickTop="1" thickBot="1">
      <c r="B72" s="468"/>
      <c r="C72" s="161" t="s">
        <v>37</v>
      </c>
      <c r="D72" s="177">
        <f t="shared" ref="D72:K72" si="9">SQRTPI(D51)</f>
        <v>0.2756425170510145</v>
      </c>
      <c r="E72" s="178">
        <f t="shared" si="9"/>
        <v>6.5704917425470121E-4</v>
      </c>
      <c r="F72" s="178">
        <f t="shared" si="9"/>
        <v>1.2927609634161719</v>
      </c>
      <c r="G72" s="178">
        <f t="shared" si="9"/>
        <v>0.12729227421492806</v>
      </c>
      <c r="H72" s="178">
        <f t="shared" si="9"/>
        <v>1.3391428535161667E-2</v>
      </c>
      <c r="I72" s="178">
        <f t="shared" si="9"/>
        <v>0.12765518960861552</v>
      </c>
      <c r="J72" s="178">
        <f t="shared" si="9"/>
        <v>0.27958264271274225</v>
      </c>
      <c r="K72" s="178">
        <f t="shared" si="9"/>
        <v>0.20417595147440726</v>
      </c>
    </row>
    <row r="73" spans="2:11" ht="15.75" customHeight="1" thickTop="1" thickBot="1">
      <c r="B73" s="468"/>
      <c r="C73" s="161" t="s">
        <v>38</v>
      </c>
      <c r="D73" s="175">
        <f t="shared" ref="D73:K73" si="10">SQRTPI(D52)</f>
        <v>0.2123209356147483</v>
      </c>
      <c r="E73" s="176">
        <f t="shared" si="10"/>
        <v>0.41667791863281245</v>
      </c>
      <c r="F73" s="176">
        <f t="shared" si="10"/>
        <v>0.16893289522467284</v>
      </c>
      <c r="G73" s="176">
        <f t="shared" si="10"/>
        <v>0</v>
      </c>
      <c r="H73" s="176">
        <f t="shared" si="10"/>
        <v>0.41669277055159964</v>
      </c>
      <c r="I73" s="176">
        <f t="shared" si="10"/>
        <v>0</v>
      </c>
      <c r="J73" s="176">
        <f t="shared" si="10"/>
        <v>0</v>
      </c>
      <c r="K73" s="179">
        <f t="shared" si="10"/>
        <v>2.7282414475563319E-2</v>
      </c>
    </row>
    <row r="74" spans="2:11" ht="15.75" customHeight="1" thickTop="1" thickBot="1">
      <c r="B74" s="468"/>
      <c r="C74" s="167" t="s">
        <v>39</v>
      </c>
      <c r="D74" s="177">
        <f t="shared" ref="D74:K74" si="11">SQRTPI(D53)</f>
        <v>0.32975850439828197</v>
      </c>
      <c r="E74" s="178">
        <f t="shared" si="11"/>
        <v>0.13020631912400643</v>
      </c>
      <c r="F74" s="178">
        <f t="shared" si="11"/>
        <v>0.30049395169335191</v>
      </c>
      <c r="G74" s="178">
        <f t="shared" si="11"/>
        <v>6.4954225154873799E-2</v>
      </c>
      <c r="H74" s="178">
        <f t="shared" si="11"/>
        <v>0.13067203545771269</v>
      </c>
      <c r="I74" s="178">
        <f t="shared" si="11"/>
        <v>5.9274717338023197E-2</v>
      </c>
      <c r="J74" s="178">
        <f t="shared" si="11"/>
        <v>0.32883681591172381</v>
      </c>
      <c r="K74" s="178">
        <f t="shared" si="11"/>
        <v>0.1170390525891091</v>
      </c>
    </row>
    <row r="75" spans="2:11" ht="15.75" customHeight="1" thickTop="1" thickBot="1">
      <c r="B75" s="469">
        <v>2019</v>
      </c>
      <c r="C75" s="166" t="s">
        <v>41</v>
      </c>
      <c r="D75" s="175">
        <f t="shared" ref="D75:K75" si="12">SQRTPI(D54)</f>
        <v>0.19155632743911474</v>
      </c>
      <c r="E75" s="176">
        <f t="shared" si="12"/>
        <v>0.12707454266154597</v>
      </c>
      <c r="F75" s="176">
        <f t="shared" si="12"/>
        <v>0.27565673073778363</v>
      </c>
      <c r="G75" s="176">
        <f t="shared" si="12"/>
        <v>0.34220429665866603</v>
      </c>
      <c r="H75" s="176">
        <f t="shared" si="12"/>
        <v>9.0996749543172648E-2</v>
      </c>
      <c r="I75" s="176">
        <f t="shared" si="12"/>
        <v>3.1528671201578373E-2</v>
      </c>
      <c r="J75" s="176">
        <f t="shared" si="12"/>
        <v>0.36893192552346177</v>
      </c>
      <c r="K75" s="176">
        <f t="shared" si="12"/>
        <v>0.12108518576346762</v>
      </c>
    </row>
    <row r="76" spans="2:11" ht="15.75" customHeight="1" thickTop="1" thickBot="1">
      <c r="B76" s="468"/>
      <c r="C76" s="161" t="s">
        <v>42</v>
      </c>
      <c r="D76" s="177">
        <f t="shared" ref="D76:K76" si="13">SQRTPI(D55)</f>
        <v>0.35699958197659731</v>
      </c>
      <c r="E76" s="178">
        <f t="shared" si="13"/>
        <v>0.13910307144223091</v>
      </c>
      <c r="F76" s="178">
        <f t="shared" si="13"/>
        <v>0.42529638481280502</v>
      </c>
      <c r="G76" s="178">
        <f t="shared" si="13"/>
        <v>8.6147571041861451E-2</v>
      </c>
      <c r="H76" s="178">
        <f t="shared" si="13"/>
        <v>7.1231514549152247E-2</v>
      </c>
      <c r="I76" s="178">
        <f t="shared" si="13"/>
        <v>0.29561436916443223</v>
      </c>
      <c r="J76" s="178">
        <f t="shared" si="13"/>
        <v>9.2505733275603116E-2</v>
      </c>
      <c r="K76" s="178">
        <f t="shared" si="13"/>
        <v>6.9386015068355261E-2</v>
      </c>
    </row>
    <row r="77" spans="2:11" ht="15.75" customHeight="1" thickTop="1" thickBot="1">
      <c r="B77" s="468"/>
      <c r="C77" s="161" t="s">
        <v>43</v>
      </c>
      <c r="D77" s="175">
        <f t="shared" ref="D77:K77" si="14">SQRTPI(D56)</f>
        <v>0.25449980047280801</v>
      </c>
      <c r="E77" s="176">
        <f t="shared" si="14"/>
        <v>2.3117678191110023E-2</v>
      </c>
      <c r="F77" s="176">
        <f t="shared" si="14"/>
        <v>6.9384616560004039E-2</v>
      </c>
      <c r="G77" s="176">
        <f t="shared" si="14"/>
        <v>0.18981363128198003</v>
      </c>
      <c r="H77" s="176">
        <f t="shared" si="14"/>
        <v>0.16776931102688228</v>
      </c>
      <c r="I77" s="176">
        <f t="shared" si="14"/>
        <v>0.13780246177146258</v>
      </c>
      <c r="J77" s="176">
        <f t="shared" si="14"/>
        <v>0.12368168840822176</v>
      </c>
      <c r="K77" s="176">
        <f t="shared" si="14"/>
        <v>0.137758611826199</v>
      </c>
    </row>
    <row r="78" spans="2:11" ht="15.75" customHeight="1" thickTop="1" thickBot="1">
      <c r="B78" s="468"/>
      <c r="C78" s="165" t="s">
        <v>44</v>
      </c>
      <c r="D78" s="177">
        <f t="shared" ref="D78:K78" si="15">SQRTPI(D57)</f>
        <v>0.14245580703158489</v>
      </c>
      <c r="E78" s="178">
        <f t="shared" si="15"/>
        <v>6.4066403202623884E-2</v>
      </c>
      <c r="F78" s="178">
        <f t="shared" si="15"/>
        <v>0.2371374994713476</v>
      </c>
      <c r="G78" s="178">
        <f t="shared" si="15"/>
        <v>0.51185200539190423</v>
      </c>
      <c r="H78" s="178">
        <f t="shared" si="15"/>
        <v>8.0742197454221593E-2</v>
      </c>
      <c r="I78" s="178">
        <f t="shared" si="15"/>
        <v>9.4426958612140455E-2</v>
      </c>
      <c r="J78" s="178">
        <f t="shared" si="15"/>
        <v>0.22605363767389455</v>
      </c>
      <c r="K78" s="178">
        <f t="shared" si="15"/>
        <v>0.19191778409439736</v>
      </c>
    </row>
    <row r="79" spans="2:11" ht="15.75" customHeight="1" thickTop="1" thickBot="1">
      <c r="B79" s="469">
        <v>2018</v>
      </c>
      <c r="C79" s="164" t="s">
        <v>45</v>
      </c>
      <c r="D79" s="175">
        <f t="shared" ref="D79:K79" si="16">SQRTPI(D58)</f>
        <v>0.11661250344020027</v>
      </c>
      <c r="E79" s="176">
        <f t="shared" si="16"/>
        <v>4.7678559551467527E-2</v>
      </c>
      <c r="F79" s="176">
        <f t="shared" si="16"/>
        <v>0.21743899338508393</v>
      </c>
      <c r="G79" s="176">
        <f t="shared" si="16"/>
        <v>0.19481335826230112</v>
      </c>
      <c r="H79" s="176">
        <f t="shared" si="16"/>
        <v>7.5465754751615127E-2</v>
      </c>
      <c r="I79" s="176">
        <f t="shared" si="16"/>
        <v>4.8341043432172388E-2</v>
      </c>
      <c r="J79" s="176">
        <f t="shared" si="16"/>
        <v>0.12266657764810807</v>
      </c>
      <c r="K79" s="176">
        <f t="shared" si="16"/>
        <v>5.465277953611572E-2</v>
      </c>
    </row>
    <row r="80" spans="2:11" ht="15.75" customHeight="1" thickTop="1" thickBot="1">
      <c r="B80" s="468"/>
      <c r="C80" s="161" t="s">
        <v>46</v>
      </c>
      <c r="D80" s="177">
        <f t="shared" ref="D80:K80" si="17">SQRTPI(D59)</f>
        <v>7.321988830177445E-2</v>
      </c>
      <c r="E80" s="178">
        <f t="shared" si="17"/>
        <v>8.9301958178905072E-2</v>
      </c>
      <c r="F80" s="178">
        <f t="shared" si="17"/>
        <v>0.20678306625664519</v>
      </c>
      <c r="G80" s="178">
        <f t="shared" si="17"/>
        <v>0.22246132584744382</v>
      </c>
      <c r="H80" s="178">
        <f t="shared" si="17"/>
        <v>8.50344018951458E-2</v>
      </c>
      <c r="I80" s="178">
        <f t="shared" si="17"/>
        <v>9.510273226788811E-2</v>
      </c>
      <c r="J80" s="178">
        <f t="shared" si="17"/>
        <v>0.15352653885088929</v>
      </c>
      <c r="K80" s="178">
        <f t="shared" si="17"/>
        <v>0.15545441398035062</v>
      </c>
    </row>
    <row r="81" ht="15.75" customHeight="1" thickTop="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4">
    <mergeCell ref="B75:B78"/>
    <mergeCell ref="B79:B80"/>
    <mergeCell ref="B46:B49"/>
    <mergeCell ref="B50:B53"/>
    <mergeCell ref="B54:B57"/>
    <mergeCell ref="B58:B59"/>
    <mergeCell ref="B62:K62"/>
    <mergeCell ref="B64:B66"/>
    <mergeCell ref="B67:B70"/>
    <mergeCell ref="B34:B37"/>
    <mergeCell ref="B38:B39"/>
    <mergeCell ref="B43:B45"/>
    <mergeCell ref="B71:B74"/>
    <mergeCell ref="B41:K41"/>
    <mergeCell ref="B18:B19"/>
    <mergeCell ref="B23:B25"/>
    <mergeCell ref="B26:B29"/>
    <mergeCell ref="B30:B33"/>
    <mergeCell ref="B21:K21"/>
    <mergeCell ref="B3:B5"/>
    <mergeCell ref="B6:B9"/>
    <mergeCell ref="B10:B13"/>
    <mergeCell ref="B14:B17"/>
    <mergeCell ref="B1:K1"/>
  </mergeCells>
  <pageMargins left="0.7" right="0.7" top="0.75" bottom="0.75" header="0" footer="0"/>
  <pageSetup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1000"/>
  <sheetViews>
    <sheetView showGridLines="0" topLeftCell="A4" workbookViewId="0">
      <selection activeCell="R15" sqref="R15"/>
    </sheetView>
  </sheetViews>
  <sheetFormatPr defaultColWidth="12.5703125" defaultRowHeight="15" customHeight="1"/>
  <cols>
    <col min="1" max="1" width="16.42578125" customWidth="1"/>
    <col min="2" max="2" width="14" customWidth="1"/>
    <col min="3" max="3" width="13.5703125" customWidth="1"/>
  </cols>
  <sheetData>
    <row r="1" spans="1:14" ht="15.75" customHeight="1"/>
    <row r="2" spans="1:14" ht="15.75" customHeight="1">
      <c r="A2" s="195"/>
      <c r="B2" s="471" t="s">
        <v>51</v>
      </c>
      <c r="C2" s="472"/>
      <c r="D2" s="472"/>
      <c r="E2" s="472"/>
      <c r="F2" s="472"/>
      <c r="G2" s="472"/>
      <c r="H2" s="472"/>
      <c r="I2" s="472"/>
      <c r="J2" s="473"/>
      <c r="K2" s="15"/>
    </row>
    <row r="3" spans="1:14" ht="15.75" customHeight="1">
      <c r="A3" s="196"/>
      <c r="B3" s="197"/>
      <c r="C3" s="198" t="s">
        <v>1</v>
      </c>
      <c r="D3" s="188" t="s">
        <v>2</v>
      </c>
      <c r="E3" s="188" t="s">
        <v>3</v>
      </c>
      <c r="F3" s="188" t="s">
        <v>4</v>
      </c>
      <c r="G3" s="188" t="s">
        <v>5</v>
      </c>
      <c r="H3" s="188" t="s">
        <v>6</v>
      </c>
      <c r="I3" s="188" t="s">
        <v>7</v>
      </c>
      <c r="J3" s="155" t="s">
        <v>13</v>
      </c>
    </row>
    <row r="4" spans="1:14" ht="15.75" customHeight="1">
      <c r="A4" s="196"/>
      <c r="B4" s="189" t="s">
        <v>52</v>
      </c>
      <c r="C4" s="190">
        <f t="array" ref="C4">MMULT(TRANSPOSE('Inferential Statistics'!D23:D39),'Inferential Statistics'!D3:D19)*4</f>
        <v>-5.9010830320288684E-4</v>
      </c>
      <c r="D4" s="191">
        <f t="array" ref="D4">MMULT(TRANSPOSE('Inferential Statistics'!E23:E39),'Inferential Statistics'!E3:E19)*4</f>
        <v>0.19231415509299812</v>
      </c>
      <c r="E4" s="191">
        <f t="array" ref="E4">MMULT(TRANSPOSE('Inferential Statistics'!F23:F39),'Inferential Statistics'!F3:F19)*4</f>
        <v>0.46141794525616098</v>
      </c>
      <c r="F4" s="191">
        <f t="array" ref="F4">MMULT(TRANSPOSE('Inferential Statistics'!G23:G39),'Inferential Statistics'!G3:G19)*4</f>
        <v>5.7601854035051921E-2</v>
      </c>
      <c r="G4" s="191">
        <f t="array" ref="G4">MMULT(TRANSPOSE('Inferential Statistics'!H23:H39),'Inferential Statistics'!H3:H19)*4</f>
        <v>-7.837492565780492E-2</v>
      </c>
      <c r="H4" s="191">
        <f t="array" ref="H4">MMULT(TRANSPOSE('Inferential Statistics'!I23:I39),'Inferential Statistics'!I3:I19)*4</f>
        <v>0.15038396993733827</v>
      </c>
      <c r="I4" s="191">
        <f t="array" ref="I4">MMULT(TRANSPOSE('Inferential Statistics'!J23:J39),'Inferential Statistics'!J3:J19)*4</f>
        <v>-4.1477491685337688E-2</v>
      </c>
      <c r="J4" s="192">
        <f t="array" ref="J4">MMULT(TRANSPOSE('Inferential Statistics'!K23:K39),'Inferential Statistics'!K3:K19)*4</f>
        <v>0.12324327296288312</v>
      </c>
    </row>
    <row r="5" spans="1:14" ht="15.75" customHeight="1">
      <c r="A5" s="196"/>
      <c r="B5" s="189" t="s">
        <v>53</v>
      </c>
      <c r="C5" s="147">
        <f t="array" ref="C5">MMULT(TRANSPOSE('Inferential Statistics'!D43:D59),'Inferential Statistics'!D3:D19)*4</f>
        <v>3.8376103430376216E-2</v>
      </c>
      <c r="D5" s="147">
        <f t="array" ref="D5">MMULT(TRANSPOSE('Inferential Statistics'!E43:E59),'Inferential Statistics'!E3:E19)*4</f>
        <v>3.0518726787908398E-2</v>
      </c>
      <c r="E5" s="147">
        <f t="array" ref="E5">MMULT(TRANSPOSE('Inferential Statistics'!F43:F59),'Inferential Statistics'!F3:F19)*4</f>
        <v>0.38632017081745929</v>
      </c>
      <c r="F5" s="147">
        <f t="array" ref="F5">MMULT(TRANSPOSE('Inferential Statistics'!G43:G59),'Inferential Statistics'!G3:G19)*4</f>
        <v>2.0008543053867629E-2</v>
      </c>
      <c r="G5" s="147">
        <f t="array" ref="G5">MMULT(TRANSPOSE('Inferential Statistics'!H43:H59),'Inferential Statistics'!H3:H19)*4</f>
        <v>1.7526755887656311E-2</v>
      </c>
      <c r="H5" s="147">
        <f t="array" ref="H5">MMULT(TRANSPOSE('Inferential Statistics'!I43:I59),'Inferential Statistics'!I3:I19)*4</f>
        <v>9.8113188376506722E-3</v>
      </c>
      <c r="I5" s="147">
        <f t="array" ref="I5">MMULT(TRANSPOSE('Inferential Statistics'!J43:J59),'Inferential Statistics'!J3:J19)*4</f>
        <v>4.9295737024674831E-2</v>
      </c>
      <c r="J5" s="193">
        <f t="array" ref="J5">MMULT(TRANSPOSE('Inferential Statistics'!K43:K59),'Inferential Statistics'!K3:K19)*4</f>
        <v>2.4338746677060152E-2</v>
      </c>
    </row>
    <row r="6" spans="1:14" ht="15.75" customHeight="1">
      <c r="A6" s="196"/>
      <c r="B6" s="189" t="s">
        <v>54</v>
      </c>
      <c r="C6" s="152">
        <f t="shared" ref="C6:J6" si="0">SQRT(C5)</f>
        <v>0.19589819659807034</v>
      </c>
      <c r="D6" s="152">
        <f t="shared" si="0"/>
        <v>0.17469609837631864</v>
      </c>
      <c r="E6" s="152">
        <f t="shared" si="0"/>
        <v>0.62154659585380989</v>
      </c>
      <c r="F6" s="152">
        <f t="shared" si="0"/>
        <v>0.14145155726915001</v>
      </c>
      <c r="G6" s="152">
        <f t="shared" si="0"/>
        <v>0.13238865467877642</v>
      </c>
      <c r="H6" s="152">
        <f t="shared" si="0"/>
        <v>9.9052101631669942E-2</v>
      </c>
      <c r="I6" s="152">
        <f t="shared" si="0"/>
        <v>0.2220264331665823</v>
      </c>
      <c r="J6" s="194">
        <f t="shared" si="0"/>
        <v>0.15600880320372998</v>
      </c>
    </row>
    <row r="7" spans="1:14" ht="15.75" customHeight="1">
      <c r="L7" s="16"/>
      <c r="M7" s="16"/>
      <c r="N7" s="16"/>
    </row>
    <row r="8" spans="1:14" ht="15.75" customHeight="1">
      <c r="B8" s="471" t="s">
        <v>55</v>
      </c>
      <c r="C8" s="472"/>
      <c r="D8" s="472"/>
      <c r="E8" s="472"/>
      <c r="F8" s="472"/>
      <c r="G8" s="472"/>
      <c r="H8" s="472"/>
      <c r="I8" s="472"/>
      <c r="J8" s="473"/>
      <c r="K8" s="199"/>
    </row>
    <row r="9" spans="1:14" ht="15.75" customHeight="1">
      <c r="B9" s="197"/>
      <c r="C9" s="198" t="s">
        <v>1</v>
      </c>
      <c r="D9" s="188" t="s">
        <v>2</v>
      </c>
      <c r="E9" s="188" t="s">
        <v>3</v>
      </c>
      <c r="F9" s="188" t="s">
        <v>4</v>
      </c>
      <c r="G9" s="188" t="s">
        <v>5</v>
      </c>
      <c r="H9" s="188" t="s">
        <v>6</v>
      </c>
      <c r="I9" s="188" t="s">
        <v>7</v>
      </c>
      <c r="J9" s="155" t="s">
        <v>13</v>
      </c>
    </row>
    <row r="10" spans="1:14" ht="15.75" customHeight="1">
      <c r="B10" s="189" t="s">
        <v>52</v>
      </c>
      <c r="C10" s="190">
        <f>AVERAGE('Continuous Return'!C3:C53)</f>
        <v>-5.7537513368859242E-3</v>
      </c>
      <c r="D10" s="191">
        <f>AVERAGE('Continuous Return'!D3:D53)</f>
        <v>1.4094517456231592E-2</v>
      </c>
      <c r="E10" s="191">
        <f>AVERAGE('Continuous Return'!E3:E53)</f>
        <v>3.1376014173060039E-2</v>
      </c>
      <c r="F10" s="191">
        <f>AVERAGE('Continuous Return'!F3:F53)</f>
        <v>1.2919718317984657E-3</v>
      </c>
      <c r="G10" s="191">
        <f>AVERAGE('Continuous Return'!G3:G53)</f>
        <v>-5.4802017916413094E-3</v>
      </c>
      <c r="H10" s="191">
        <f>AVERAGE('Continuous Return'!H3:H53)</f>
        <v>1.4953273525633998E-2</v>
      </c>
      <c r="I10" s="191">
        <f>AVERAGE('Continuous Return'!I3:I53)</f>
        <v>-8.9726101185741286E-3</v>
      </c>
      <c r="J10" s="192">
        <f>AVERAGE('Continuous Return'!J3:J53)</f>
        <v>3.7581889083583473E-3</v>
      </c>
    </row>
    <row r="11" spans="1:14" ht="15.75" customHeight="1">
      <c r="B11" s="189" t="s">
        <v>53</v>
      </c>
      <c r="C11" s="147">
        <f>_xlfn.VAR.S('Continuous Return'!C3:C53)</f>
        <v>4.4344370939174938E-3</v>
      </c>
      <c r="D11" s="147">
        <f>_xlfn.VAR.S('Continuous Return'!D3:D53)</f>
        <v>5.3689970966886462E-3</v>
      </c>
      <c r="E11" s="147">
        <f>_xlfn.VAR.S('Continuous Return'!E3:E53)</f>
        <v>3.5561683243506878E-2</v>
      </c>
      <c r="F11" s="147">
        <f>_xlfn.VAR.S('Continuous Return'!F3:F53)</f>
        <v>3.5517899113046902E-3</v>
      </c>
      <c r="G11" s="147">
        <f>_xlfn.VAR.S('Continuous Return'!G3:G53)</f>
        <v>3.5583943042742606E-3</v>
      </c>
      <c r="H11" s="147">
        <f>_xlfn.VAR.S('Continuous Return'!H3:H53)</f>
        <v>1.757113357577954E-3</v>
      </c>
      <c r="I11" s="147">
        <f>_xlfn.VAR.S('Continuous Return'!I3:I53)</f>
        <v>5.3652434385904587E-3</v>
      </c>
      <c r="J11" s="193">
        <f>_xlfn.VAR.S('Continuous Return'!J3:J53)</f>
        <v>2.3895267996187877E-3</v>
      </c>
    </row>
    <row r="12" spans="1:14" ht="15.75" customHeight="1">
      <c r="B12" s="189" t="s">
        <v>54</v>
      </c>
      <c r="C12" s="152">
        <f t="shared" ref="C12:J12" si="1">SQRT(C11)</f>
        <v>6.6591569240538953E-2</v>
      </c>
      <c r="D12" s="152">
        <f t="shared" si="1"/>
        <v>7.3273440595407052E-2</v>
      </c>
      <c r="E12" s="152">
        <f t="shared" si="1"/>
        <v>0.18857805610278963</v>
      </c>
      <c r="F12" s="152">
        <f t="shared" si="1"/>
        <v>5.959689514819283E-2</v>
      </c>
      <c r="G12" s="152">
        <f t="shared" si="1"/>
        <v>5.9652278282344429E-2</v>
      </c>
      <c r="H12" s="152">
        <f t="shared" si="1"/>
        <v>4.1917935989000628E-2</v>
      </c>
      <c r="I12" s="152">
        <f t="shared" si="1"/>
        <v>7.3247822074041624E-2</v>
      </c>
      <c r="J12" s="194">
        <f t="shared" si="1"/>
        <v>4.8882786332397087E-2</v>
      </c>
    </row>
    <row r="13" spans="1:14" ht="15.75" customHeight="1"/>
    <row r="14" spans="1:14" ht="15.75" customHeight="1"/>
    <row r="15" spans="1:14" ht="15.75" customHeight="1">
      <c r="B15" s="471" t="s">
        <v>56</v>
      </c>
      <c r="C15" s="472"/>
      <c r="D15" s="472"/>
      <c r="E15" s="472"/>
      <c r="F15" s="472"/>
      <c r="G15" s="472"/>
      <c r="H15" s="472"/>
      <c r="I15" s="472"/>
      <c r="J15" s="473"/>
      <c r="K15" s="199"/>
      <c r="L15" s="17"/>
      <c r="M15" s="17"/>
    </row>
    <row r="16" spans="1:14" ht="15.75" customHeight="1">
      <c r="B16" s="197"/>
      <c r="C16" s="198" t="s">
        <v>1</v>
      </c>
      <c r="D16" s="188" t="s">
        <v>2</v>
      </c>
      <c r="E16" s="188" t="s">
        <v>3</v>
      </c>
      <c r="F16" s="188" t="s">
        <v>4</v>
      </c>
      <c r="G16" s="188" t="s">
        <v>5</v>
      </c>
      <c r="H16" s="188" t="s">
        <v>6</v>
      </c>
      <c r="I16" s="188" t="s">
        <v>7</v>
      </c>
      <c r="J16" s="155" t="s">
        <v>13</v>
      </c>
    </row>
    <row r="17" spans="1:11" ht="15.75" customHeight="1">
      <c r="B17" s="189" t="s">
        <v>52</v>
      </c>
      <c r="C17" s="190">
        <f t="shared" ref="C17:J17" si="2">C10*12</f>
        <v>-6.9045016042631094E-2</v>
      </c>
      <c r="D17" s="191">
        <f t="shared" si="2"/>
        <v>0.16913420947477908</v>
      </c>
      <c r="E17" s="191">
        <f t="shared" si="2"/>
        <v>0.37651217007672044</v>
      </c>
      <c r="F17" s="191">
        <f t="shared" si="2"/>
        <v>1.5503661981581589E-2</v>
      </c>
      <c r="G17" s="191">
        <f t="shared" si="2"/>
        <v>-6.5762421499695717E-2</v>
      </c>
      <c r="H17" s="191">
        <f t="shared" si="2"/>
        <v>0.17943928230760797</v>
      </c>
      <c r="I17" s="191">
        <f t="shared" si="2"/>
        <v>-0.10767132142288954</v>
      </c>
      <c r="J17" s="192">
        <f t="shared" si="2"/>
        <v>4.5098266900300166E-2</v>
      </c>
    </row>
    <row r="18" spans="1:11" ht="15.75" customHeight="1">
      <c r="B18" s="189" t="s">
        <v>53</v>
      </c>
      <c r="C18" s="147">
        <f t="shared" ref="C18:J18" si="3">C11*12</f>
        <v>5.3213245127009923E-2</v>
      </c>
      <c r="D18" s="147">
        <f t="shared" si="3"/>
        <v>6.442796516026375E-2</v>
      </c>
      <c r="E18" s="147">
        <f t="shared" si="3"/>
        <v>0.42674019892208254</v>
      </c>
      <c r="F18" s="147">
        <f t="shared" si="3"/>
        <v>4.2621478935656279E-2</v>
      </c>
      <c r="G18" s="147">
        <f t="shared" si="3"/>
        <v>4.2700731651291124E-2</v>
      </c>
      <c r="H18" s="147">
        <f t="shared" si="3"/>
        <v>2.1085360290935447E-2</v>
      </c>
      <c r="I18" s="147">
        <f t="shared" si="3"/>
        <v>6.4382921263085507E-2</v>
      </c>
      <c r="J18" s="193">
        <f t="shared" si="3"/>
        <v>2.8674321595425455E-2</v>
      </c>
    </row>
    <row r="19" spans="1:11" ht="15.75" customHeight="1">
      <c r="B19" s="189" t="s">
        <v>54</v>
      </c>
      <c r="C19" s="152">
        <f t="shared" ref="C19:J19" si="4">C12*12</f>
        <v>0.79909883088646749</v>
      </c>
      <c r="D19" s="152">
        <f t="shared" si="4"/>
        <v>0.87928128714488463</v>
      </c>
      <c r="E19" s="152">
        <f t="shared" si="4"/>
        <v>2.2629366732334755</v>
      </c>
      <c r="F19" s="152">
        <f t="shared" si="4"/>
        <v>0.71516274177831396</v>
      </c>
      <c r="G19" s="152">
        <f t="shared" si="4"/>
        <v>0.71582733938813314</v>
      </c>
      <c r="H19" s="152">
        <f t="shared" si="4"/>
        <v>0.50301523186800756</v>
      </c>
      <c r="I19" s="152">
        <f t="shared" si="4"/>
        <v>0.87897386488849949</v>
      </c>
      <c r="J19" s="194">
        <f t="shared" si="4"/>
        <v>0.58659343598876501</v>
      </c>
    </row>
    <row r="20" spans="1:11" ht="15.75" customHeight="1"/>
    <row r="21" spans="1:11" ht="15.75" customHeight="1">
      <c r="A21" s="17"/>
      <c r="B21" s="465" t="s">
        <v>57</v>
      </c>
      <c r="C21" s="465"/>
      <c r="D21" s="465"/>
      <c r="E21" s="465"/>
      <c r="F21" s="465"/>
      <c r="G21" s="465"/>
      <c r="H21" s="465"/>
      <c r="I21" s="465"/>
      <c r="J21" s="465"/>
      <c r="K21" s="465"/>
    </row>
    <row r="22" spans="1:11" ht="15.75" customHeight="1">
      <c r="B22" s="156"/>
      <c r="C22" s="154" t="s">
        <v>11</v>
      </c>
      <c r="D22" s="154" t="s">
        <v>1</v>
      </c>
      <c r="E22" s="157" t="s">
        <v>2</v>
      </c>
      <c r="F22" s="153" t="s">
        <v>3</v>
      </c>
      <c r="G22" s="157" t="s">
        <v>4</v>
      </c>
      <c r="H22" s="157" t="s">
        <v>5</v>
      </c>
      <c r="I22" s="157" t="s">
        <v>6</v>
      </c>
      <c r="J22" s="157" t="s">
        <v>7</v>
      </c>
      <c r="K22" s="158" t="s">
        <v>13</v>
      </c>
    </row>
    <row r="23" spans="1:11" ht="15.75" customHeight="1">
      <c r="B23" s="466">
        <v>2022</v>
      </c>
      <c r="C23" s="116" t="s">
        <v>14</v>
      </c>
      <c r="D23" s="84">
        <f>'Continuous Return'!C3-$C$4</f>
        <v>8.205236830455008E-3</v>
      </c>
      <c r="E23" s="142">
        <f>'Continuous Return'!D3-$D$4</f>
        <v>-6.2763009687528543E-2</v>
      </c>
      <c r="F23" s="84">
        <f>'Continuous Return'!E3-$E$4</f>
        <v>-0.41759117121691175</v>
      </c>
      <c r="G23" s="142">
        <f>'Continuous Return'!F3-$F$4</f>
        <v>-4.9162985389187314E-2</v>
      </c>
      <c r="H23" s="84">
        <f>'Continuous Return'!G3-$G$4</f>
        <v>6.7129827242302403E-2</v>
      </c>
      <c r="I23" s="142">
        <f>'Continuous Return'!H3-$H$4</f>
        <v>-0.14461724360242104</v>
      </c>
      <c r="J23" s="84">
        <f>'Continuous Return'!I3-$I$4</f>
        <v>7.7323623458473573E-2</v>
      </c>
      <c r="K23" s="145">
        <f>'Continuous Return'!J3-$J$4</f>
        <v>-0.10936496939796334</v>
      </c>
    </row>
    <row r="24" spans="1:11" ht="15.75" customHeight="1">
      <c r="B24" s="466"/>
      <c r="C24" s="92" t="s">
        <v>15</v>
      </c>
      <c r="D24" s="83">
        <f>'Continuous Return'!C4-$C$4</f>
        <v>-2.1743752482956773E-2</v>
      </c>
      <c r="E24" s="141">
        <f>'Continuous Return'!D4-$D$4</f>
        <v>-6.1066389859613907E-2</v>
      </c>
      <c r="F24" s="83">
        <f>'Continuous Return'!E4-$E$4</f>
        <v>-0.44865724466594648</v>
      </c>
      <c r="G24" s="141">
        <f>'Continuous Return'!F4-$F$4</f>
        <v>-4.7581730118288916E-2</v>
      </c>
      <c r="H24" s="83">
        <f>'Continuous Return'!G4-$G$4</f>
        <v>0.13760275985813825</v>
      </c>
      <c r="I24" s="141">
        <f>'Continuous Return'!H4-$H$4</f>
        <v>-0.14107930942620406</v>
      </c>
      <c r="J24" s="83">
        <f>'Continuous Return'!I4-$I$4</f>
        <v>0.17146979453282946</v>
      </c>
      <c r="K24" s="141">
        <f>'Continuous Return'!J4-$J$4</f>
        <v>-4.6550236955698945E-2</v>
      </c>
    </row>
    <row r="25" spans="1:11" ht="15.75" customHeight="1">
      <c r="B25" s="466"/>
      <c r="C25" s="91" t="s">
        <v>16</v>
      </c>
      <c r="D25" s="84">
        <f>'Continuous Return'!C5-$C$4</f>
        <v>1.2699179826805881E-3</v>
      </c>
      <c r="E25" s="142">
        <f>'Continuous Return'!D5-$D$4</f>
        <v>-0.16080088938692133</v>
      </c>
      <c r="F25" s="84">
        <f>'Continuous Return'!E5-$E$4</f>
        <v>-0.5669496791320241</v>
      </c>
      <c r="G25" s="142">
        <f>'Continuous Return'!F5-$F$4</f>
        <v>-7.8529374141007913E-2</v>
      </c>
      <c r="H25" s="84">
        <f>'Continuous Return'!G5-$G$4</f>
        <v>2.7166380624091289E-2</v>
      </c>
      <c r="I25" s="142">
        <f>'Continuous Return'!H5-$H$4</f>
        <v>-0.13859907981370428</v>
      </c>
      <c r="J25" s="84">
        <f>'Continuous Return'!I5-$I$4</f>
        <v>1.0378422455409344E-2</v>
      </c>
      <c r="K25" s="142">
        <f>'Continuous Return'!J5-$J$4</f>
        <v>-0.18742578283185377</v>
      </c>
    </row>
    <row r="26" spans="1:11" ht="15.75" customHeight="1">
      <c r="B26" s="466"/>
      <c r="C26" s="92" t="s">
        <v>17</v>
      </c>
      <c r="D26" s="83">
        <f>'Continuous Return'!C6-$C$4</f>
        <v>-4.2663473583624427E-2</v>
      </c>
      <c r="E26" s="141">
        <f>'Continuous Return'!D6-$D$4</f>
        <v>-0.24778220435420567</v>
      </c>
      <c r="F26" s="83">
        <f>'Continuous Return'!E6-$E$4</f>
        <v>-0.49995690419988159</v>
      </c>
      <c r="G26" s="141">
        <f>'Continuous Return'!F6-$F$4</f>
        <v>-4.1696946195387406E-2</v>
      </c>
      <c r="H26" s="83">
        <f>'Continuous Return'!G6-$G$4</f>
        <v>7.6765914852104253E-2</v>
      </c>
      <c r="I26" s="141">
        <f>'Continuous Return'!H6-$H$4</f>
        <v>-0.11840340239596256</v>
      </c>
      <c r="J26" s="83">
        <f>'Continuous Return'!I6-$I$4</f>
        <v>4.2283618290862281E-2</v>
      </c>
      <c r="K26" s="141">
        <f>'Continuous Return'!J6-$J$4</f>
        <v>-0.12573509283342438</v>
      </c>
    </row>
    <row r="27" spans="1:11" ht="15.75" customHeight="1">
      <c r="B27" s="466"/>
      <c r="C27" s="91" t="s">
        <v>18</v>
      </c>
      <c r="D27" s="84">
        <f>'Continuous Return'!C7-$C$4</f>
        <v>-4.0244911205492569E-2</v>
      </c>
      <c r="E27" s="142">
        <f>'Continuous Return'!D7-$D$4</f>
        <v>-0.22732648353622836</v>
      </c>
      <c r="F27" s="84">
        <f>'Continuous Return'!E7-$E$4</f>
        <v>-0.56015912173241411</v>
      </c>
      <c r="G27" s="142">
        <f>'Continuous Return'!F7-$F$4</f>
        <v>-6.0603357038808543E-2</v>
      </c>
      <c r="H27" s="84">
        <f>'Continuous Return'!G7-$G$4</f>
        <v>1.30328689205505E-2</v>
      </c>
      <c r="I27" s="142">
        <f>'Continuous Return'!H7-$H$4</f>
        <v>-0.15391746730249029</v>
      </c>
      <c r="J27" s="84">
        <f>'Continuous Return'!I7-$I$4</f>
        <v>-1.1145563339801594E-2</v>
      </c>
      <c r="K27" s="142">
        <f>'Continuous Return'!J7-$J$4</f>
        <v>-0.16353071509981409</v>
      </c>
    </row>
    <row r="28" spans="1:11" ht="15.75" customHeight="1">
      <c r="B28" s="466"/>
      <c r="C28" s="92" t="s">
        <v>19</v>
      </c>
      <c r="D28" s="83">
        <f>'Continuous Return'!C8-$C$4</f>
        <v>-2.7155197936336042E-2</v>
      </c>
      <c r="E28" s="141">
        <f>'Continuous Return'!D8-$D$4</f>
        <v>-0.17571112223498697</v>
      </c>
      <c r="F28" s="83">
        <f>'Continuous Return'!E8-$E$4</f>
        <v>-0.48923430822983571</v>
      </c>
      <c r="G28" s="141">
        <f>'Continuous Return'!F8-$F$4</f>
        <v>-3.4867861555962325E-2</v>
      </c>
      <c r="H28" s="83">
        <f>'Continuous Return'!G8-$G$4</f>
        <v>9.049628619014996E-2</v>
      </c>
      <c r="I28" s="141">
        <f>'Continuous Return'!H8-$H$4</f>
        <v>-0.15127601171006058</v>
      </c>
      <c r="J28" s="83">
        <f>'Continuous Return'!I8-$I$4</f>
        <v>-7.0576029762709491E-3</v>
      </c>
      <c r="K28" s="141">
        <f>'Continuous Return'!J8-$J$4</f>
        <v>-0.13847748508374583</v>
      </c>
    </row>
    <row r="29" spans="1:11" ht="15.75" customHeight="1">
      <c r="B29" s="466"/>
      <c r="C29" s="91" t="s">
        <v>20</v>
      </c>
      <c r="D29" s="84">
        <f>'Continuous Return'!C9-$C$4</f>
        <v>-3.2601756111992966E-2</v>
      </c>
      <c r="E29" s="142">
        <f>'Continuous Return'!D9-$D$4</f>
        <v>-0.19804482980198321</v>
      </c>
      <c r="F29" s="84">
        <f>'Continuous Return'!E9-$E$4</f>
        <v>-0.42483255475889503</v>
      </c>
      <c r="G29" s="142">
        <f>'Continuous Return'!F9-$F$4</f>
        <v>-3.6428845169781496E-2</v>
      </c>
      <c r="H29" s="84">
        <f>'Continuous Return'!G9-$G$4</f>
        <v>6.2645623749260887E-2</v>
      </c>
      <c r="I29" s="142">
        <f>'Continuous Return'!H9-$H$4</f>
        <v>-0.16897702648360893</v>
      </c>
      <c r="J29" s="84">
        <f>'Continuous Return'!I9-$I$4</f>
        <v>-2.8874999317653353E-2</v>
      </c>
      <c r="K29" s="142">
        <f>'Continuous Return'!J9-$J$4</f>
        <v>-0.12051827577756399</v>
      </c>
    </row>
    <row r="30" spans="1:11" ht="15.75" customHeight="1">
      <c r="B30" s="466"/>
      <c r="C30" s="92" t="s">
        <v>21</v>
      </c>
      <c r="D30" s="83">
        <f>'Continuous Return'!C10-$C$4</f>
        <v>-4.5114066602736931E-2</v>
      </c>
      <c r="E30" s="141">
        <f>'Continuous Return'!D10-$D$4</f>
        <v>-0.20367791374331323</v>
      </c>
      <c r="F30" s="83">
        <f>'Continuous Return'!E10-$E$4</f>
        <v>-0.47219972085944933</v>
      </c>
      <c r="G30" s="141">
        <f>'Continuous Return'!F10-$F$4</f>
        <v>-5.446541654492161E-2</v>
      </c>
      <c r="H30" s="83">
        <f>'Continuous Return'!G10-$G$4</f>
        <v>3.1759421839502325E-2</v>
      </c>
      <c r="I30" s="141">
        <f>'Continuous Return'!H10-$H$4</f>
        <v>-0.13217297354896368</v>
      </c>
      <c r="J30" s="83">
        <f>'Continuous Return'!I10-$I$4</f>
        <v>-5.2473068602947627E-2</v>
      </c>
      <c r="K30" s="141">
        <f>'Continuous Return'!J10-$J$4</f>
        <v>-0.15059075385750648</v>
      </c>
    </row>
    <row r="31" spans="1:11" ht="15.75" customHeight="1">
      <c r="B31" s="466"/>
      <c r="C31" s="93" t="s">
        <v>22</v>
      </c>
      <c r="D31" s="152">
        <f>'Continuous Return'!C11-$C$4</f>
        <v>1.8736339145484841E-2</v>
      </c>
      <c r="E31" s="144">
        <f>'Continuous Return'!D11-$D$4</f>
        <v>-0.16995852959033658</v>
      </c>
      <c r="F31" s="152">
        <f>'Continuous Return'!E11-$E$4</f>
        <v>-0.45604158821978069</v>
      </c>
      <c r="G31" s="144">
        <f>'Continuous Return'!F11-$F$4</f>
        <v>-8.7516410606575168E-2</v>
      </c>
      <c r="H31" s="152">
        <f>'Continuous Return'!G11-$G$4</f>
        <v>7.4515296822461385E-2</v>
      </c>
      <c r="I31" s="144">
        <f>'Continuous Return'!H11-$H$4</f>
        <v>-0.12672007128025098</v>
      </c>
      <c r="J31" s="152">
        <f>'Continuous Return'!I11-$I$4</f>
        <v>4.8303456755737578E-2</v>
      </c>
      <c r="K31" s="144">
        <f>'Continuous Return'!J11-$J$4</f>
        <v>-9.8446161742494681E-2</v>
      </c>
    </row>
    <row r="32" spans="1:11" ht="15.75" customHeight="1">
      <c r="B32" s="464">
        <v>2021</v>
      </c>
      <c r="C32" s="92" t="s">
        <v>23</v>
      </c>
      <c r="D32" s="83">
        <f>'Continuous Return'!C12-$C$4</f>
        <v>4.0294926051123595E-3</v>
      </c>
      <c r="E32" s="141">
        <f>'Continuous Return'!D12-$D$4</f>
        <v>-0.16893316624842813</v>
      </c>
      <c r="F32" s="83">
        <f>'Continuous Return'!E12-$E$4</f>
        <v>-0.48538713536915723</v>
      </c>
      <c r="G32" s="141">
        <f>'Continuous Return'!F12-$F$4</f>
        <v>-4.4817225800293202E-2</v>
      </c>
      <c r="H32" s="83">
        <f>'Continuous Return'!G12-$G$4</f>
        <v>7.7091686014969185E-2</v>
      </c>
      <c r="I32" s="141">
        <f>'Continuous Return'!H12-$H$4</f>
        <v>-0.14143487605372757</v>
      </c>
      <c r="J32" s="83">
        <f>'Continuous Return'!I12-$I$4</f>
        <v>5.149009097776746E-2</v>
      </c>
      <c r="K32" s="141">
        <f>'Continuous Return'!J12-$J$4</f>
        <v>-0.11530855128280351</v>
      </c>
    </row>
    <row r="33" spans="2:11" ht="15.75" customHeight="1">
      <c r="B33" s="464"/>
      <c r="C33" s="91" t="s">
        <v>24</v>
      </c>
      <c r="D33" s="84">
        <f>'Continuous Return'!C13-$C$4</f>
        <v>-2.8274374364516665E-2</v>
      </c>
      <c r="E33" s="142">
        <f>'Continuous Return'!D13-$D$4</f>
        <v>-0.29217228858087885</v>
      </c>
      <c r="F33" s="84">
        <f>'Continuous Return'!E13-$E$4</f>
        <v>-0.53190093403685279</v>
      </c>
      <c r="G33" s="142">
        <f>'Continuous Return'!F13-$F$4</f>
        <v>-6.6313156882174679E-2</v>
      </c>
      <c r="H33" s="84">
        <f>'Continuous Return'!G13-$G$4</f>
        <v>4.0212491994535131E-2</v>
      </c>
      <c r="I33" s="142">
        <f>'Continuous Return'!H13-$H$4</f>
        <v>-0.15676566831570315</v>
      </c>
      <c r="J33" s="84">
        <f>'Continuous Return'!I13-$I$4</f>
        <v>-5.3260769315865979E-2</v>
      </c>
      <c r="K33" s="142">
        <f>'Continuous Return'!J13-$J$4</f>
        <v>-0.16669521530384165</v>
      </c>
    </row>
    <row r="34" spans="2:11" ht="15.75" customHeight="1">
      <c r="B34" s="464"/>
      <c r="C34" s="92" t="s">
        <v>25</v>
      </c>
      <c r="D34" s="83">
        <f>'Continuous Return'!C14-$C$4</f>
        <v>-5.8178661711450863E-2</v>
      </c>
      <c r="E34" s="141">
        <f>'Continuous Return'!D14-$D$4</f>
        <v>-0.14443691703123962</v>
      </c>
      <c r="F34" s="83">
        <f>'Continuous Return'!E14-$E$4</f>
        <v>-0.28849415092097752</v>
      </c>
      <c r="G34" s="141">
        <f>'Continuous Return'!F14-$F$4</f>
        <v>-9.170746652156285E-2</v>
      </c>
      <c r="H34" s="83">
        <f>'Continuous Return'!G14-$G$4</f>
        <v>5.1392502971021464E-3</v>
      </c>
      <c r="I34" s="141">
        <f>'Continuous Return'!H14-$H$4</f>
        <v>-0.16706254528805622</v>
      </c>
      <c r="J34" s="83">
        <f>'Continuous Return'!I14-$I$4</f>
        <v>-7.7068029711380298E-2</v>
      </c>
      <c r="K34" s="141">
        <f>'Continuous Return'!J14-$J$4</f>
        <v>-0.16904202147201455</v>
      </c>
    </row>
    <row r="35" spans="2:11" ht="15.75" customHeight="1">
      <c r="B35" s="464"/>
      <c r="C35" s="91" t="s">
        <v>14</v>
      </c>
      <c r="D35" s="84">
        <f>'Continuous Return'!C15-$C$4</f>
        <v>4.7987240036780808E-2</v>
      </c>
      <c r="E35" s="142">
        <f>'Continuous Return'!D15-$D$4</f>
        <v>-0.12059748536869258</v>
      </c>
      <c r="F35" s="84">
        <f>'Continuous Return'!E15-$E$4</f>
        <v>-0.21467447860107786</v>
      </c>
      <c r="G35" s="142">
        <f>'Continuous Return'!F15-$F$4</f>
        <v>-4.3698948866060489E-2</v>
      </c>
      <c r="H35" s="84">
        <f>'Continuous Return'!G15-$G$4</f>
        <v>0.12695478689464784</v>
      </c>
      <c r="I35" s="142">
        <f>'Continuous Return'!H15-$H$4</f>
        <v>-0.14570233355439524</v>
      </c>
      <c r="J35" s="84">
        <f>'Continuous Return'!I15-$I$4</f>
        <v>0.16346141188508834</v>
      </c>
      <c r="K35" s="142">
        <f>'Continuous Return'!J15-$J$4</f>
        <v>-5.8453572904680229E-2</v>
      </c>
    </row>
    <row r="36" spans="2:11" ht="15.75" customHeight="1">
      <c r="B36" s="464"/>
      <c r="C36" s="92" t="s">
        <v>15</v>
      </c>
      <c r="D36" s="83">
        <f>'Continuous Return'!C16-$C$4</f>
        <v>-4.4437042070899629E-2</v>
      </c>
      <c r="E36" s="141">
        <f>'Continuous Return'!D16-$D$4</f>
        <v>-0.12584703355260146</v>
      </c>
      <c r="F36" s="83">
        <f>'Continuous Return'!E16-$E$4</f>
        <v>-0.3008724842203821</v>
      </c>
      <c r="G36" s="141">
        <f>'Continuous Return'!F16-$F$4</f>
        <v>-1.0510246501201546E-2</v>
      </c>
      <c r="H36" s="83">
        <f>'Continuous Return'!G16-$G$4</f>
        <v>0.15294621112771734</v>
      </c>
      <c r="I36" s="141">
        <f>'Continuous Return'!H16-$H$4</f>
        <v>-0.17471110310496371</v>
      </c>
      <c r="J36" s="83">
        <f>'Continuous Return'!I16-$I$4</f>
        <v>4.2051709329596662E-2</v>
      </c>
      <c r="K36" s="141">
        <f>'Continuous Return'!J16-$J$4</f>
        <v>-5.6425339288000947E-2</v>
      </c>
    </row>
    <row r="37" spans="2:11" ht="15.75" customHeight="1">
      <c r="B37" s="464"/>
      <c r="C37" s="91" t="s">
        <v>16</v>
      </c>
      <c r="D37" s="84">
        <f>'Continuous Return'!C17-$C$4</f>
        <v>8.2700159298100082E-2</v>
      </c>
      <c r="E37" s="142">
        <f>'Continuous Return'!D17-$D$4</f>
        <v>-0.17038133858523086</v>
      </c>
      <c r="F37" s="84">
        <f>'Continuous Return'!E17-$E$4</f>
        <v>-0.44150578293604803</v>
      </c>
      <c r="G37" s="142">
        <f>'Continuous Return'!F17-$F$4</f>
        <v>-1.3674063181733809E-2</v>
      </c>
      <c r="H37" s="84">
        <f>'Continuous Return'!G17-$G$4</f>
        <v>9.5533991420334183E-2</v>
      </c>
      <c r="I37" s="142">
        <f>'Continuous Return'!H17-$H$4</f>
        <v>-8.4926258967199075E-2</v>
      </c>
      <c r="J37" s="84">
        <f>'Continuous Return'!I17-$I$4</f>
        <v>6.5308901409219328E-2</v>
      </c>
      <c r="K37" s="142">
        <f>'Continuous Return'!J17-$J$4</f>
        <v>-7.9537859986023779E-2</v>
      </c>
    </row>
    <row r="38" spans="2:11" ht="15.75" customHeight="1">
      <c r="B38" s="464"/>
      <c r="C38" s="92" t="s">
        <v>17</v>
      </c>
      <c r="D38" s="83">
        <f>'Continuous Return'!C18-$C$4</f>
        <v>9.5020545947826236E-3</v>
      </c>
      <c r="E38" s="141">
        <f>'Continuous Return'!D18-$D$4</f>
        <v>-0.35603709246420362</v>
      </c>
      <c r="F38" s="83">
        <f>'Continuous Return'!E18-$E$4</f>
        <v>-0.44905128961894908</v>
      </c>
      <c r="G38" s="141">
        <f>'Continuous Return'!F18-$F$4</f>
        <v>-7.2819539005938613E-2</v>
      </c>
      <c r="H38" s="83">
        <f>'Continuous Return'!G18-$G$4</f>
        <v>6.3749441956895969E-3</v>
      </c>
      <c r="I38" s="141">
        <f>'Continuous Return'!H18-$H$4</f>
        <v>-8.6192299340563772E-2</v>
      </c>
      <c r="J38" s="83">
        <f>'Continuous Return'!I18-$I$4</f>
        <v>1.7071864317197056E-2</v>
      </c>
      <c r="K38" s="141">
        <f>'Continuous Return'!J18-$J$4</f>
        <v>-9.6968150164987471E-2</v>
      </c>
    </row>
    <row r="39" spans="2:11" ht="15.75" customHeight="1">
      <c r="B39" s="464"/>
      <c r="C39" s="91" t="s">
        <v>18</v>
      </c>
      <c r="D39" s="84">
        <f>'Continuous Return'!C19-$C$4</f>
        <v>2.1895452331128842E-2</v>
      </c>
      <c r="E39" s="142">
        <f>'Continuous Return'!D19-$D$4</f>
        <v>-0.19231415509299812</v>
      </c>
      <c r="F39" s="84">
        <f>'Continuous Return'!E19-$E$4</f>
        <v>-0.44545409426714699</v>
      </c>
      <c r="G39" s="142">
        <f>'Continuous Return'!F19-$F$4</f>
        <v>-1.1235933477126148E-2</v>
      </c>
      <c r="H39" s="84">
        <f>'Continuous Return'!G19-$G$4</f>
        <v>7.837492565780492E-2</v>
      </c>
      <c r="I39" s="142">
        <f>'Continuous Return'!H19-$H$4</f>
        <v>-0.13320871176906646</v>
      </c>
      <c r="J39" s="84">
        <f>'Continuous Return'!I19-$I$4</f>
        <v>8.0101368055757322E-2</v>
      </c>
      <c r="K39" s="142">
        <f>'Continuous Return'!J19-$J$4</f>
        <v>-3.4022198751670729E-2</v>
      </c>
    </row>
    <row r="40" spans="2:11" ht="15.75" customHeight="1">
      <c r="B40" s="464"/>
      <c r="C40" s="92" t="s">
        <v>19</v>
      </c>
      <c r="D40" s="83">
        <f>'Continuous Return'!C20-$C$4</f>
        <v>3.2053377758987991E-2</v>
      </c>
      <c r="E40" s="141">
        <f>'Continuous Return'!D20-$D$4</f>
        <v>-0.19231415509299812</v>
      </c>
      <c r="F40" s="83">
        <f>'Continuous Return'!E20-$E$4</f>
        <v>-0.29686855820800401</v>
      </c>
      <c r="G40" s="141">
        <f>'Continuous Return'!F20-$F$4</f>
        <v>1.7523886141306913E-3</v>
      </c>
      <c r="H40" s="83">
        <f>'Continuous Return'!G20-$G$4</f>
        <v>7.9330752862411383E-2</v>
      </c>
      <c r="I40" s="141">
        <f>'Continuous Return'!H20-$H$4</f>
        <v>-0.1610326668831156</v>
      </c>
      <c r="J40" s="83">
        <f>'Continuous Return'!I20-$I$4</f>
        <v>5.9539391490350979E-2</v>
      </c>
      <c r="K40" s="141">
        <f>'Continuous Return'!J20-$J$4</f>
        <v>-8.5786894553454451E-2</v>
      </c>
    </row>
    <row r="41" spans="2:11" ht="15.75" customHeight="1">
      <c r="B41" s="464"/>
      <c r="C41" s="91" t="s">
        <v>20</v>
      </c>
      <c r="D41" s="84">
        <f>'Continuous Return'!C21-$C$4</f>
        <v>-2.8806129558794726E-2</v>
      </c>
      <c r="E41" s="142">
        <f>'Continuous Return'!D21-$D$4</f>
        <v>-0.19231415509299812</v>
      </c>
      <c r="F41" s="84">
        <f>'Continuous Return'!E21-$E$4</f>
        <v>-0.54831639807425192</v>
      </c>
      <c r="G41" s="142">
        <f>'Continuous Return'!F21-$F$4</f>
        <v>-8.6555132013835218E-2</v>
      </c>
      <c r="H41" s="84">
        <f>'Continuous Return'!G21-$G$4</f>
        <v>7.837492565780492E-2</v>
      </c>
      <c r="I41" s="142">
        <f>'Continuous Return'!H21-$H$4</f>
        <v>-0.16382239698757864</v>
      </c>
      <c r="J41" s="84">
        <f>'Continuous Return'!I21-$I$4</f>
        <v>2.1031800525048161E-2</v>
      </c>
      <c r="K41" s="142">
        <f>'Continuous Return'!J21-$J$4</f>
        <v>-0.14695131825056232</v>
      </c>
    </row>
    <row r="42" spans="2:11" ht="15.75" customHeight="1">
      <c r="B42" s="464"/>
      <c r="C42" s="92" t="s">
        <v>21</v>
      </c>
      <c r="D42" s="83">
        <f>'Continuous Return'!C22-$C$4</f>
        <v>-9.4101816841158578E-2</v>
      </c>
      <c r="E42" s="141">
        <f>'Continuous Return'!D22-$D$4</f>
        <v>-0.19231415509299812</v>
      </c>
      <c r="F42" s="83">
        <f>'Continuous Return'!E22-$E$4</f>
        <v>-0.54136509174657721</v>
      </c>
      <c r="G42" s="141">
        <f>'Continuous Return'!F22-$F$4</f>
        <v>-0.1338292194229363</v>
      </c>
      <c r="H42" s="83">
        <f>'Continuous Return'!G22-$G$4</f>
        <v>7.837492565780492E-2</v>
      </c>
      <c r="I42" s="141">
        <f>'Continuous Return'!H22-$H$4</f>
        <v>-0.17297610569778771</v>
      </c>
      <c r="J42" s="83">
        <f>'Continuous Return'!I22-$I$4</f>
        <v>-1.8026053780498236E-2</v>
      </c>
      <c r="K42" s="141">
        <f>'Continuous Return'!J22-$J$4</f>
        <v>-0.16758844163076303</v>
      </c>
    </row>
    <row r="43" spans="2:11" ht="15.75" customHeight="1">
      <c r="B43" s="464"/>
      <c r="C43" s="93" t="s">
        <v>22</v>
      </c>
      <c r="D43" s="152">
        <f>'Continuous Return'!C23-$C$4</f>
        <v>6.9602186366486588E-2</v>
      </c>
      <c r="E43" s="144">
        <f>'Continuous Return'!D23-$D$4</f>
        <v>-0.19231415509299812</v>
      </c>
      <c r="F43" s="152">
        <f>'Continuous Return'!E23-$E$4</f>
        <v>-3.6264882175777113E-2</v>
      </c>
      <c r="G43" s="144">
        <f>'Continuous Return'!F23-$F$4</f>
        <v>-0.12389275143827297</v>
      </c>
      <c r="H43" s="152">
        <f>'Continuous Return'!G23-$G$4</f>
        <v>7.837492565780492E-2</v>
      </c>
      <c r="I43" s="144">
        <f>'Continuous Return'!H23-$H$4</f>
        <v>-0.14367378632511263</v>
      </c>
      <c r="J43" s="152">
        <f>'Continuous Return'!I23-$I$4</f>
        <v>-2.7851834691794856E-2</v>
      </c>
      <c r="K43" s="144">
        <f>'Continuous Return'!J23-$J$4</f>
        <v>-7.8392869178744107E-2</v>
      </c>
    </row>
    <row r="44" spans="2:11" ht="15.75" customHeight="1">
      <c r="B44" s="464">
        <v>2020</v>
      </c>
      <c r="C44" s="92" t="s">
        <v>23</v>
      </c>
      <c r="D44" s="83">
        <f>'Continuous Return'!C24-$C$4</f>
        <v>8.4698497886745633E-2</v>
      </c>
      <c r="E44" s="141">
        <f>'Continuous Return'!D24-$D$4</f>
        <v>-0.19231415509299812</v>
      </c>
      <c r="F44" s="83">
        <f>'Continuous Return'!E24-$E$4</f>
        <v>0.39115697223188628</v>
      </c>
      <c r="G44" s="141">
        <f>'Continuous Return'!F24-$F$4</f>
        <v>3.4934398886547667E-2</v>
      </c>
      <c r="H44" s="83">
        <f>'Continuous Return'!G24-$G$4</f>
        <v>7.837492565780492E-2</v>
      </c>
      <c r="I44" s="141">
        <f>'Continuous Return'!H24-$H$4</f>
        <v>-0.13725344267478651</v>
      </c>
      <c r="J44" s="83">
        <f>'Continuous Return'!I24-$I$4</f>
        <v>0.12606566173054881</v>
      </c>
      <c r="K44" s="141">
        <f>'Continuous Return'!J24-$J$4</f>
        <v>-1.890776650702003E-2</v>
      </c>
    </row>
    <row r="45" spans="2:11" ht="15.75" customHeight="1">
      <c r="B45" s="464"/>
      <c r="C45" s="91" t="s">
        <v>24</v>
      </c>
      <c r="D45" s="84">
        <f>'Continuous Return'!C25-$C$4</f>
        <v>-3.2088508490284523E-2</v>
      </c>
      <c r="E45" s="142">
        <f>'Continuous Return'!D25-$D$4</f>
        <v>-9.6991813611334576E-2</v>
      </c>
      <c r="F45" s="84">
        <f>'Continuous Return'!E25-$E$4</f>
        <v>-0.32494277658762483</v>
      </c>
      <c r="G45" s="142">
        <f>'Continuous Return'!F25-$F$4</f>
        <v>-0.13230323932061736</v>
      </c>
      <c r="H45" s="84">
        <f>'Continuous Return'!G25-$G$4</f>
        <v>7.837492565780492E-2</v>
      </c>
      <c r="I45" s="142">
        <f>'Continuous Return'!H25-$H$4</f>
        <v>-0.14492116272701089</v>
      </c>
      <c r="J45" s="84">
        <f>'Continuous Return'!I25-$I$4</f>
        <v>2.3418310146940156E-2</v>
      </c>
      <c r="K45" s="142">
        <f>'Continuous Return'!J25-$J$4</f>
        <v>-0.11897267486975226</v>
      </c>
    </row>
    <row r="46" spans="2:11" ht="15.75" customHeight="1">
      <c r="B46" s="464"/>
      <c r="C46" s="92" t="s">
        <v>25</v>
      </c>
      <c r="D46" s="83">
        <f>'Continuous Return'!C26-$C$4</f>
        <v>-3.1939607963772415E-4</v>
      </c>
      <c r="E46" s="141">
        <f>'Continuous Return'!D26-$D$4</f>
        <v>-0.19231415509299812</v>
      </c>
      <c r="F46" s="83">
        <f>'Continuous Return'!E26-$E$4</f>
        <v>-0.59789311392469702</v>
      </c>
      <c r="G46" s="141">
        <f>'Continuous Return'!F26-$F$4</f>
        <v>-6.0681938605616458E-2</v>
      </c>
      <c r="H46" s="83">
        <f>'Continuous Return'!G26-$G$4</f>
        <v>7.837492565780492E-2</v>
      </c>
      <c r="I46" s="141">
        <f>'Continuous Return'!H26-$H$4</f>
        <v>-0.17247780972325996</v>
      </c>
      <c r="J46" s="83">
        <f>'Continuous Return'!I26-$I$4</f>
        <v>6.9264933064514103E-2</v>
      </c>
      <c r="K46" s="141">
        <f>'Continuous Return'!J26-$J$4</f>
        <v>-0.14713784250368289</v>
      </c>
    </row>
    <row r="47" spans="2:11" ht="15.75" customHeight="1">
      <c r="B47" s="464"/>
      <c r="C47" s="91" t="s">
        <v>14</v>
      </c>
      <c r="D47" s="84">
        <f>'Continuous Return'!C27-$C$4</f>
        <v>3.6374308793500877E-2</v>
      </c>
      <c r="E47" s="142">
        <f>'Continuous Return'!D27-$D$4</f>
        <v>-0.19252817901098782</v>
      </c>
      <c r="F47" s="84">
        <f>'Continuous Return'!E27-$E$4</f>
        <v>-0.55560516031586205</v>
      </c>
      <c r="G47" s="142">
        <f>'Continuous Return'!F27-$F$4</f>
        <v>-2.6894263023764221E-2</v>
      </c>
      <c r="H47" s="84">
        <f>'Continuous Return'!G27-$G$4</f>
        <v>7.4012868577639279E-2</v>
      </c>
      <c r="I47" s="142">
        <f>'Continuous Return'!H27-$H$4</f>
        <v>-7.145108430174392E-2</v>
      </c>
      <c r="J47" s="84">
        <f>'Continuous Return'!I27-$I$4</f>
        <v>-7.3400551152929677E-3</v>
      </c>
      <c r="K47" s="142">
        <f>'Continuous Return'!J27-$J$4</f>
        <v>-0.10614342049154203</v>
      </c>
    </row>
    <row r="48" spans="2:11" ht="15.75" customHeight="1">
      <c r="B48" s="464"/>
      <c r="C48" s="92" t="s">
        <v>15</v>
      </c>
      <c r="D48" s="83">
        <f>'Continuous Return'!C28-$C$4</f>
        <v>0.20900286832494686</v>
      </c>
      <c r="E48" s="141">
        <f>'Continuous Return'!D28-$D$4</f>
        <v>-0.19210013117500838</v>
      </c>
      <c r="F48" s="83">
        <f>'Continuous Return'!E28-$E$4</f>
        <v>0.2279909131931771</v>
      </c>
      <c r="G48" s="141">
        <f>'Continuous Return'!F28-$F$4</f>
        <v>5.5895978768971559E-2</v>
      </c>
      <c r="H48" s="83">
        <f>'Continuous Return'!G28-$G$4</f>
        <v>8.2736982737970532E-2</v>
      </c>
      <c r="I48" s="141">
        <f>'Continuous Return'!H28-$H$4</f>
        <v>3.3298452270030532E-3</v>
      </c>
      <c r="J48" s="83">
        <f>'Continuous Return'!I28-$I$4</f>
        <v>0.10535905451613156</v>
      </c>
      <c r="K48" s="141">
        <f>'Continuous Return'!J28-$J$4</f>
        <v>2.3213723674150644E-2</v>
      </c>
    </row>
    <row r="49" spans="2:11" ht="15.75" customHeight="1">
      <c r="B49" s="464"/>
      <c r="C49" s="91" t="s">
        <v>16</v>
      </c>
      <c r="D49" s="84">
        <f>'Continuous Return'!C29-$C$4</f>
        <v>7.9859420733239705E-2</v>
      </c>
      <c r="E49" s="142">
        <f>'Continuous Return'!D29-$D$4</f>
        <v>-0.19231415509299812</v>
      </c>
      <c r="F49" s="84">
        <f>'Continuous Return'!E29-$E$4</f>
        <v>-0.43111259576083194</v>
      </c>
      <c r="G49" s="142">
        <f>'Continuous Return'!F29-$F$4</f>
        <v>1.0376561366928598E-2</v>
      </c>
      <c r="H49" s="84">
        <f>'Continuous Return'!G29-$G$4</f>
        <v>7.837492565780492E-2</v>
      </c>
      <c r="I49" s="142">
        <f>'Continuous Return'!H29-$H$4</f>
        <v>-6.5572343960211416E-2</v>
      </c>
      <c r="J49" s="84">
        <f>'Continuous Return'!I29-$I$4</f>
        <v>0.1729261576853777</v>
      </c>
      <c r="K49" s="142">
        <f>'Continuous Return'!J29-$J$4</f>
        <v>-6.8291922647136849E-2</v>
      </c>
    </row>
    <row r="50" spans="2:11" ht="15.75" customHeight="1">
      <c r="B50" s="464"/>
      <c r="C50" s="92" t="s">
        <v>17</v>
      </c>
      <c r="D50" s="83">
        <f>'Continuous Return'!C30-$C$4</f>
        <v>-6.8570253344093154E-2</v>
      </c>
      <c r="E50" s="141">
        <f>'Continuous Return'!D30-$D$4</f>
        <v>-0.19231415509299812</v>
      </c>
      <c r="F50" s="83">
        <f>'Continuous Return'!E30-$E$4</f>
        <v>-0.55672812506048586</v>
      </c>
      <c r="G50" s="141">
        <f>'Continuous Return'!F30-$F$4</f>
        <v>-5.7601854035051921E-2</v>
      </c>
      <c r="H50" s="83">
        <f>'Continuous Return'!G30-$G$4</f>
        <v>7.837492565780492E-2</v>
      </c>
      <c r="I50" s="141">
        <f>'Continuous Return'!H30-$H$4</f>
        <v>-0.15038396993733827</v>
      </c>
      <c r="J50" s="83">
        <f>'Continuous Return'!I30-$I$4</f>
        <v>4.1477491685337688E-2</v>
      </c>
      <c r="K50" s="141">
        <f>'Continuous Return'!J30-$J$4</f>
        <v>-0.14097398721484672</v>
      </c>
    </row>
    <row r="51" spans="2:11" ht="15.75" customHeight="1">
      <c r="B51" s="464"/>
      <c r="C51" s="91" t="s">
        <v>18</v>
      </c>
      <c r="D51" s="84">
        <f>'Continuous Return'!C31-$C$4</f>
        <v>6.975046995049905E-2</v>
      </c>
      <c r="E51" s="142">
        <f>'Continuous Return'!D31-$D$4</f>
        <v>-0.42739949647999043</v>
      </c>
      <c r="F51" s="84">
        <f>'Continuous Return'!E31-$E$4</f>
        <v>-0.36610776545183604</v>
      </c>
      <c r="G51" s="142">
        <f>'Continuous Return'!F31-$F$4</f>
        <v>-5.7601854035051921E-2</v>
      </c>
      <c r="H51" s="84">
        <f>'Continuous Return'!G31-$G$4</f>
        <v>-0.15671879502706276</v>
      </c>
      <c r="I51" s="142">
        <f>'Continuous Return'!H31-$H$4</f>
        <v>-0.15038396993733827</v>
      </c>
      <c r="J51" s="84">
        <f>'Continuous Return'!I31-$I$4</f>
        <v>4.1477491685337688E-2</v>
      </c>
      <c r="K51" s="142">
        <f>'Continuous Return'!J31-$J$4</f>
        <v>-0.1103141524589739</v>
      </c>
    </row>
    <row r="52" spans="2:11" ht="15.75" customHeight="1">
      <c r="B52" s="464"/>
      <c r="C52" s="92" t="s">
        <v>19</v>
      </c>
      <c r="D52" s="83">
        <f>'Continuous Return'!C32-$C$4</f>
        <v>5.9010830320288684E-4</v>
      </c>
      <c r="E52" s="141">
        <f>'Continuous Return'!D32-$D$4</f>
        <v>4.2771186293994234E-2</v>
      </c>
      <c r="F52" s="83">
        <f>'Continuous Return'!E32-$E$4</f>
        <v>-0.46141794525616098</v>
      </c>
      <c r="G52" s="141">
        <f>'Continuous Return'!F32-$F$4</f>
        <v>-5.7601854035051921E-2</v>
      </c>
      <c r="H52" s="83">
        <f>'Continuous Return'!G32-$G$4</f>
        <v>0.31346864634267274</v>
      </c>
      <c r="I52" s="141">
        <f>'Continuous Return'!H32-$H$4</f>
        <v>-0.15038396993733827</v>
      </c>
      <c r="J52" s="83">
        <f>'Continuous Return'!I32-$I$4</f>
        <v>4.1477491685337688E-2</v>
      </c>
      <c r="K52" s="141">
        <f>'Continuous Return'!J32-$J$4</f>
        <v>-0.12324327296288312</v>
      </c>
    </row>
    <row r="53" spans="2:11" ht="15.75" customHeight="1">
      <c r="B53" s="464"/>
      <c r="C53" s="91" t="s">
        <v>20</v>
      </c>
      <c r="D53" s="84">
        <f>'Continuous Return'!C33-$C$4</f>
        <v>-0.13837040603008019</v>
      </c>
      <c r="E53" s="142">
        <f>'Continuous Return'!D33-$D$4</f>
        <v>-5.1259069275837704E-2</v>
      </c>
      <c r="F53" s="84">
        <f>'Continuous Return'!E33-$E$4</f>
        <v>-0.6627876970208102</v>
      </c>
      <c r="G53" s="142">
        <f>'Continuous Return'!F33-$F$4</f>
        <v>-9.0636955250246093E-2</v>
      </c>
      <c r="H53" s="84">
        <f>'Continuous Return'!G33-$G$4</f>
        <v>-2.1767079194677408E-2</v>
      </c>
      <c r="I53" s="142">
        <f>'Continuous Return'!H33-$H$4</f>
        <v>-0.19316755927188001</v>
      </c>
      <c r="J53" s="84">
        <f>'Continuous Return'!I33-$I$4</f>
        <v>-0.15822432880699255</v>
      </c>
      <c r="K53" s="142">
        <f>'Continuous Return'!J33-$J$4</f>
        <v>-0.23455320370502869</v>
      </c>
    </row>
    <row r="54" spans="2:11" ht="15.75" customHeight="1">
      <c r="B54" s="464"/>
      <c r="C54" s="92" t="s">
        <v>21</v>
      </c>
      <c r="D54" s="83">
        <f>'Continuous Return'!C34-$C$4</f>
        <v>6.2992913649845925E-2</v>
      </c>
      <c r="E54" s="141">
        <f>'Continuous Return'!D34-$D$4</f>
        <v>-2.4624081564815936E-2</v>
      </c>
      <c r="F54" s="83">
        <f>'Continuous Return'!E34-$E$4</f>
        <v>-0.32698767616662122</v>
      </c>
      <c r="G54" s="141">
        <f>'Continuous Return'!F34-$F$4</f>
        <v>-2.7730311295050322E-2</v>
      </c>
      <c r="H54" s="83">
        <f>'Continuous Return'!G34-$G$4</f>
        <v>0.12531289444682253</v>
      </c>
      <c r="I54" s="141">
        <f>'Continuous Return'!H34-$H$4</f>
        <v>-0.19188270377696398</v>
      </c>
      <c r="J54" s="83">
        <f>'Continuous Return'!I34-$I$4</f>
        <v>-2.0365196121363303E-2</v>
      </c>
      <c r="K54" s="141">
        <f>'Continuous Return'!J34-$J$4</f>
        <v>-0.12088122638245197</v>
      </c>
    </row>
    <row r="55" spans="2:11" ht="15.75" customHeight="1">
      <c r="B55" s="464"/>
      <c r="C55" s="91" t="s">
        <v>22</v>
      </c>
      <c r="D55" s="84">
        <f>'Continuous Return'!C35-$C$4</f>
        <v>-0.10251806668747709</v>
      </c>
      <c r="E55" s="142">
        <f>'Continuous Return'!D35-$D$4</f>
        <v>-0.16307154871192242</v>
      </c>
      <c r="F55" s="84">
        <f>'Continuous Return'!E35-$E$4</f>
        <v>-0.4541976972826739</v>
      </c>
      <c r="G55" s="142">
        <f>'Continuous Return'!F35-$F$4</f>
        <v>-9.1756058567054488E-2</v>
      </c>
      <c r="H55" s="84">
        <f>'Continuous Return'!G35-$G$4</f>
        <v>6.0784435500805353E-2</v>
      </c>
      <c r="I55" s="142">
        <f>'Continuous Return'!H35-$H$4</f>
        <v>-0.13461226865314208</v>
      </c>
      <c r="J55" s="84">
        <f>'Continuous Return'!I35-$I$4</f>
        <v>0.20904426541382257</v>
      </c>
      <c r="K55" s="142">
        <f>'Continuous Return'!J35-$J$4</f>
        <v>-0.11949547365578717</v>
      </c>
    </row>
    <row r="56" spans="2:11" ht="15.75" customHeight="1">
      <c r="B56" s="464">
        <v>2019</v>
      </c>
      <c r="C56" s="149" t="s">
        <v>23</v>
      </c>
      <c r="D56" s="150">
        <f>'Continuous Return'!C36-$C$4</f>
        <v>-0.10679774210471656</v>
      </c>
      <c r="E56" s="151">
        <f>'Continuous Return'!D36-$D$4</f>
        <v>-0.24036088858169091</v>
      </c>
      <c r="F56" s="150">
        <f>'Continuous Return'!E36-$E$4</f>
        <v>-0.57111686251258531</v>
      </c>
      <c r="G56" s="151">
        <f>'Continuous Return'!F36-$F$4</f>
        <v>-0.22578238207274873</v>
      </c>
      <c r="H56" s="150">
        <f>'Continuous Return'!G36-$G$4</f>
        <v>2.1357938530769345E-2</v>
      </c>
      <c r="I56" s="151">
        <f>'Continuous Return'!H36-$H$4</f>
        <v>-0.16750777747967105</v>
      </c>
      <c r="J56" s="150">
        <f>'Continuous Return'!I36-$I$4</f>
        <v>-6.3155486654111526E-2</v>
      </c>
      <c r="K56" s="151">
        <f>'Continuous Return'!J36-$J$4</f>
        <v>-0.18390844888044283</v>
      </c>
    </row>
    <row r="57" spans="2:11" ht="15.75" customHeight="1">
      <c r="B57" s="464"/>
      <c r="C57" s="91" t="s">
        <v>24</v>
      </c>
      <c r="D57" s="142">
        <f>'Continuous Return'!C37-$C$4</f>
        <v>2.7924058741429668E-3</v>
      </c>
      <c r="E57" s="142">
        <f>'Continuous Return'!D37-$D$4</f>
        <v>-0.20248819610934579</v>
      </c>
      <c r="F57" s="84">
        <f>'Continuous Return'!E37-$E$4</f>
        <v>-0.46141794525616098</v>
      </c>
      <c r="G57" s="142">
        <f>'Continuous Return'!F37-$F$4</f>
        <v>-3.463633533036399E-2</v>
      </c>
      <c r="H57" s="142">
        <f>'Continuous Return'!G37-$G$4</f>
        <v>8.0059440554992006E-2</v>
      </c>
      <c r="I57" s="142">
        <f>'Continuous Return'!H37-$H$4</f>
        <v>-0.16368948835993777</v>
      </c>
      <c r="J57" s="142">
        <f>'Continuous Return'!I37-$I$4</f>
        <v>0.10339935193173708</v>
      </c>
      <c r="K57" s="142">
        <f>'Continuous Return'!J37-$J$4</f>
        <v>-0.11293336670921103</v>
      </c>
    </row>
    <row r="58" spans="2:11" ht="15.75" customHeight="1">
      <c r="B58" s="464"/>
      <c r="C58" s="92" t="s">
        <v>25</v>
      </c>
      <c r="D58" s="83">
        <f>'Continuous Return'!C38-$C$4</f>
        <v>-0.10369896742607519</v>
      </c>
      <c r="E58" s="141">
        <f>'Continuous Return'!D38-$D$4</f>
        <v>-0.15767273355670272</v>
      </c>
      <c r="F58" s="141">
        <f>'Continuous Return'!E38-$E$4</f>
        <v>-0.63940110045151743</v>
      </c>
      <c r="G58" s="141">
        <f>'Continuous Return'!F38-$F$4</f>
        <v>-3.084798440556754E-2</v>
      </c>
      <c r="H58" s="83">
        <f>'Continuous Return'!G38-$G$4</f>
        <v>5.7873611675285083E-2</v>
      </c>
      <c r="I58" s="141">
        <f>'Continuous Return'!H38-$H$4</f>
        <v>-0.14812054074781311</v>
      </c>
      <c r="J58" s="83">
        <f>'Continuous Return'!I38-$I$4</f>
        <v>-0.12994477465058135</v>
      </c>
      <c r="K58" s="141">
        <f>'Continuous Return'!J38-$J$4</f>
        <v>-0.17823437086878391</v>
      </c>
    </row>
    <row r="59" spans="2:11" ht="15.75" customHeight="1">
      <c r="B59" s="464"/>
      <c r="C59" s="91" t="s">
        <v>14</v>
      </c>
      <c r="D59" s="84">
        <f>'Continuous Return'!C39-$C$4</f>
        <v>0.12235381455574496</v>
      </c>
      <c r="E59" s="142">
        <f>'Continuous Return'!D39-$D$4</f>
        <v>-0.17012189488821919</v>
      </c>
      <c r="F59" s="84">
        <f>'Continuous Return'!E39-$E$4</f>
        <v>-0.54978709570625128</v>
      </c>
      <c r="G59" s="142">
        <f>'Continuous Return'!F39-$F$4</f>
        <v>-0.10318473181744398</v>
      </c>
      <c r="H59" s="84">
        <f>'Continuous Return'!G39-$G$4</f>
        <v>9.5630069071085289E-2</v>
      </c>
      <c r="I59" s="142">
        <f>'Continuous Return'!H39-$H$4</f>
        <v>-0.21821799618646048</v>
      </c>
      <c r="J59" s="84">
        <f>'Continuous Return'!I39-$I$4</f>
        <v>2.7389330573153091E-2</v>
      </c>
      <c r="K59" s="142">
        <f>'Continuous Return'!J39-$J$4</f>
        <v>-0.15274538272991456</v>
      </c>
    </row>
    <row r="60" spans="2:11" ht="15.75" customHeight="1">
      <c r="B60" s="464"/>
      <c r="C60" s="92" t="s">
        <v>15</v>
      </c>
      <c r="D60" s="83">
        <f>'Continuous Return'!C40-$C$4</f>
        <v>-6.2745766868607875E-2</v>
      </c>
      <c r="E60" s="141">
        <f>'Continuous Return'!D40-$D$4</f>
        <v>-0.12097173589123572</v>
      </c>
      <c r="F60" s="83">
        <f>'Continuous Return'!E40-$E$4</f>
        <v>-0.37846886227541005</v>
      </c>
      <c r="G60" s="141">
        <f>'Continuous Return'!F40-$F$4</f>
        <v>-4.9799473750867122E-2</v>
      </c>
      <c r="H60" s="83">
        <f>'Continuous Return'!G40-$G$4</f>
        <v>7.179477390200617E-2</v>
      </c>
      <c r="I60" s="141">
        <f>'Continuous Return'!H40-$H$4</f>
        <v>-6.8683990947857612E-2</v>
      </c>
      <c r="J60" s="83">
        <f>'Continuous Return'!I40-$I$4</f>
        <v>-2.9282590479223249E-2</v>
      </c>
      <c r="K60" s="141">
        <f>'Continuous Return'!J40-$J$4</f>
        <v>-0.13165013234337369</v>
      </c>
    </row>
    <row r="61" spans="2:11" ht="15.75" customHeight="1">
      <c r="B61" s="464"/>
      <c r="C61" s="91" t="s">
        <v>16</v>
      </c>
      <c r="D61" s="84">
        <f>'Continuous Return'!C41-$C$4</f>
        <v>-9.2145926530138617E-2</v>
      </c>
      <c r="E61" s="142">
        <f>'Continuous Return'!D41-$D$4</f>
        <v>-0.21148152478270088</v>
      </c>
      <c r="F61" s="84">
        <f>'Continuous Return'!E41-$E$4</f>
        <v>-0.6527081720328759</v>
      </c>
      <c r="G61" s="142">
        <f>'Continuous Return'!F41-$F$4</f>
        <v>-9.1485999118856409E-2</v>
      </c>
      <c r="H61" s="84">
        <f>'Continuous Return'!G41-$G$4</f>
        <v>4.9230677273090051E-2</v>
      </c>
      <c r="I61" s="142">
        <f>'Continuous Return'!H41-$H$4</f>
        <v>-3.8350545335414987E-2</v>
      </c>
      <c r="J61" s="84">
        <f>'Continuous Return'!I41-$I$4</f>
        <v>-1.869759090122964E-2</v>
      </c>
      <c r="K61" s="142">
        <f>'Continuous Return'!J41-$J$4</f>
        <v>-0.17682029354993922</v>
      </c>
    </row>
    <row r="62" spans="2:11" ht="15.75" customHeight="1">
      <c r="B62" s="464"/>
      <c r="C62" s="92" t="s">
        <v>17</v>
      </c>
      <c r="D62" s="83">
        <f>'Continuous Return'!C42-$C$4</f>
        <v>2.7265766168795114E-2</v>
      </c>
      <c r="E62" s="141">
        <f>'Continuous Return'!D42-$D$4</f>
        <v>-0.18554198608498274</v>
      </c>
      <c r="F62" s="83">
        <f>'Continuous Return'!E42-$E$4</f>
        <v>-0.48785120232431656</v>
      </c>
      <c r="G62" s="141">
        <f>'Continuous Return'!F42-$F$4</f>
        <v>-8.5969021119171207E-2</v>
      </c>
      <c r="H62" s="83">
        <f>'Continuous Return'!G42-$G$4</f>
        <v>0.10098203778950793</v>
      </c>
      <c r="I62" s="141">
        <f>'Continuous Return'!H42-$H$4</f>
        <v>-8.2567154095757794E-2</v>
      </c>
      <c r="J62" s="83">
        <f>'Continuous Return'!I42-$I$4</f>
        <v>8.6930024162638286E-2</v>
      </c>
      <c r="K62" s="141">
        <f>'Continuous Return'!J42-$J$4</f>
        <v>-0.11511682075031336</v>
      </c>
    </row>
    <row r="63" spans="2:11" ht="15.75" customHeight="1">
      <c r="B63" s="464"/>
      <c r="C63" s="91" t="s">
        <v>18</v>
      </c>
      <c r="D63" s="84">
        <f>'Continuous Return'!C43-$C$4</f>
        <v>-9.4968362859917284E-3</v>
      </c>
      <c r="E63" s="142">
        <f>'Continuous Return'!D43-$D$4</f>
        <v>-0.17139347801699911</v>
      </c>
      <c r="F63" s="84">
        <f>'Continuous Return'!E43-$E$4</f>
        <v>-0.45706063988720513</v>
      </c>
      <c r="G63" s="142">
        <f>'Continuous Return'!F43-$F$4</f>
        <v>1.1987017259189207E-2</v>
      </c>
      <c r="H63" s="84">
        <f>'Continuous Return'!G43-$G$4</f>
        <v>7.023376807410503E-2</v>
      </c>
      <c r="I63" s="142">
        <f>'Continuous Return'!H43-$H$4</f>
        <v>-0.14394579990449646</v>
      </c>
      <c r="J63" s="84">
        <f>'Continuous Return'!I43-$I$4</f>
        <v>4.9034762594018039E-2</v>
      </c>
      <c r="K63" s="142">
        <f>'Continuous Return'!J43-$J$4</f>
        <v>-9.0181613765736912E-2</v>
      </c>
    </row>
    <row r="64" spans="2:11" ht="15.75" customHeight="1">
      <c r="B64" s="464"/>
      <c r="C64" s="92" t="s">
        <v>19</v>
      </c>
      <c r="D64" s="83">
        <f>'Continuous Return'!C44-$C$4</f>
        <v>-0.13112754123603165</v>
      </c>
      <c r="E64" s="141">
        <f>'Continuous Return'!D44-$D$4</f>
        <v>-0.18293743018828179</v>
      </c>
      <c r="F64" s="83">
        <f>'Continuous Return'!E44-$E$4</f>
        <v>-0.44379634390634159</v>
      </c>
      <c r="G64" s="141">
        <f>'Continuous Return'!F44-$F$4</f>
        <v>-0.10235089876314214</v>
      </c>
      <c r="H64" s="83">
        <f>'Continuous Return'!G44-$G$4</f>
        <v>-5.2228761261051138E-3</v>
      </c>
      <c r="I64" s="141">
        <f>'Continuous Return'!H44-$H$4</f>
        <v>-0.1699931304260423</v>
      </c>
      <c r="J64" s="83">
        <f>'Continuous Return'!I44-$I$4</f>
        <v>6.4015592118276538E-3</v>
      </c>
      <c r="K64" s="141">
        <f>'Continuous Return'!J44-$J$4</f>
        <v>-0.17731100002869035</v>
      </c>
    </row>
    <row r="65" spans="2:11" ht="15.75" customHeight="1">
      <c r="B65" s="464"/>
      <c r="C65" s="91" t="s">
        <v>20</v>
      </c>
      <c r="D65" s="84">
        <f>'Continuous Return'!C45-$C$4</f>
        <v>3.9713074523216353E-2</v>
      </c>
      <c r="E65" s="142">
        <f>'Continuous Return'!D45-$D$4</f>
        <v>-0.21126187683469996</v>
      </c>
      <c r="F65" s="84">
        <f>'Continuous Return'!E45-$E$4</f>
        <v>-0.50914934807735102</v>
      </c>
      <c r="G65" s="142">
        <f>'Continuous Return'!F45-$F$4</f>
        <v>-0.22446245147744529</v>
      </c>
      <c r="H65" s="84">
        <f>'Continuous Return'!G45-$G$4</f>
        <v>9.4390956847426433E-2</v>
      </c>
      <c r="I65" s="142">
        <f>'Continuous Return'!H45-$H$4</f>
        <v>-5.8069021549027974E-2</v>
      </c>
      <c r="J65" s="84">
        <f>'Continuous Return'!I45-$I$4</f>
        <v>4.1908433299418964E-2</v>
      </c>
      <c r="K65" s="142">
        <f>'Continuous Return'!J45-$J$4</f>
        <v>-0.16250670546162654</v>
      </c>
    </row>
    <row r="66" spans="2:11" ht="15.75" customHeight="1">
      <c r="B66" s="464"/>
      <c r="C66" s="92" t="s">
        <v>21</v>
      </c>
      <c r="D66" s="83">
        <f>'Continuous Return'!C46-$C$4</f>
        <v>-1.1283215469435127E-2</v>
      </c>
      <c r="E66" s="141">
        <f>'Continuous Return'!D46-$D$4</f>
        <v>-0.19548423860491534</v>
      </c>
      <c r="F66" s="83">
        <f>'Continuous Return'!E46-$E$4</f>
        <v>-0.53097562895807104</v>
      </c>
      <c r="G66" s="141">
        <f>'Continuous Return'!F46-$F$4</f>
        <v>4.3007232268748724E-3</v>
      </c>
      <c r="H66" s="83">
        <f>'Continuous Return'!G46-$G$4</f>
        <v>0.14583919434255216</v>
      </c>
      <c r="I66" s="141">
        <f>'Continuous Return'!H46-$H$4</f>
        <v>-9.3858446204359236E-2</v>
      </c>
      <c r="J66" s="83">
        <f>'Continuous Return'!I46-$I$4</f>
        <v>5.9106606905951625E-3</v>
      </c>
      <c r="K66" s="141">
        <f>'Continuous Return'!J46-$J$4</f>
        <v>-0.14217934723318085</v>
      </c>
    </row>
    <row r="67" spans="2:11" ht="15.75" customHeight="1">
      <c r="B67" s="464"/>
      <c r="C67" s="93" t="s">
        <v>22</v>
      </c>
      <c r="D67" s="152">
        <f>'Continuous Return'!C47-$C$4</f>
        <v>8.1365547107677044E-2</v>
      </c>
      <c r="E67" s="144">
        <f>'Continuous Return'!D47-$D$4</f>
        <v>-0.16990958799312564</v>
      </c>
      <c r="F67" s="152">
        <f>'Continuous Return'!E47-$E$4</f>
        <v>-0.38761397067279957</v>
      </c>
      <c r="G67" s="144">
        <f>'Continuous Return'!F47-$F$4</f>
        <v>0.10002709016853134</v>
      </c>
      <c r="H67" s="152">
        <f>'Continuous Return'!G47-$G$4</f>
        <v>0.1296001989340497</v>
      </c>
      <c r="I67" s="144">
        <f>'Continuous Return'!H47-$H$4</f>
        <v>-0.11929423306610512</v>
      </c>
      <c r="J67" s="152">
        <f>'Continuous Return'!I47-$I$4</f>
        <v>0.14757778914128244</v>
      </c>
      <c r="K67" s="144">
        <f>'Continuous Return'!J47-$J$4</f>
        <v>-4.5505638956954475E-2</v>
      </c>
    </row>
    <row r="68" spans="2:11" ht="15.75" customHeight="1">
      <c r="B68" s="464">
        <v>2018</v>
      </c>
      <c r="C68" s="92" t="s">
        <v>23</v>
      </c>
      <c r="D68" s="83">
        <f>'Continuous Return'!C48-$C$4</f>
        <v>1.3193014839967951E-2</v>
      </c>
      <c r="E68" s="141">
        <f>'Continuous Return'!D48-$D$4</f>
        <v>-0.16771782172062685</v>
      </c>
      <c r="F68" s="83">
        <f>'Continuous Return'!E48-$E$4</f>
        <v>-0.39090416092850283</v>
      </c>
      <c r="G68" s="141">
        <f>'Continuous Return'!F48-$F$4</f>
        <v>-0.11178069490584545</v>
      </c>
      <c r="H68" s="141">
        <f>'Continuous Return'!G48-$G$4</f>
        <v>8.7693499643404296E-2</v>
      </c>
      <c r="I68" s="141">
        <f>'Continuous Return'!H48-$H$4</f>
        <v>-0.16173407728568376</v>
      </c>
      <c r="J68" s="141">
        <f>'Continuous Return'!I48-$I$4</f>
        <v>3.3645154939871351E-2</v>
      </c>
      <c r="K68" s="141">
        <f>'Continuous Return'!J48-$J$4</f>
        <v>-0.10366993288615213</v>
      </c>
    </row>
    <row r="69" spans="2:11" ht="15.75" customHeight="1">
      <c r="B69" s="464"/>
      <c r="C69" s="91" t="s">
        <v>24</v>
      </c>
      <c r="D69" s="142">
        <f>'Continuous Return'!C49-$C$4</f>
        <v>-4.5478643786126018E-2</v>
      </c>
      <c r="E69" s="142">
        <f>'Continuous Return'!D49-$D$4</f>
        <v>-0.13932648117058233</v>
      </c>
      <c r="F69" s="142">
        <f>'Continuous Return'!E49-$E$4</f>
        <v>-0.52894856095341014</v>
      </c>
      <c r="G69" s="142">
        <f>'Continuous Return'!F49-$F$4</f>
        <v>1.4769034823019646E-2</v>
      </c>
      <c r="H69" s="84">
        <f>'Continuous Return'!G49-$G$4</f>
        <v>4.0768681570064629E-2</v>
      </c>
      <c r="I69" s="142">
        <f>'Continuous Return'!H49-$H$4</f>
        <v>-0.13041492299468815</v>
      </c>
      <c r="J69" s="84">
        <f>'Continuous Return'!I49-$I$4</f>
        <v>3.8727719100267025E-2</v>
      </c>
      <c r="K69" s="142">
        <f>'Continuous Return'!J49-$J$4</f>
        <v>-0.12378655730987562</v>
      </c>
    </row>
    <row r="70" spans="2:11" ht="15.75" customHeight="1">
      <c r="B70" s="464"/>
      <c r="C70" s="92" t="s">
        <v>25</v>
      </c>
      <c r="D70" s="83">
        <f>'Continuous Return'!C50-$C$4</f>
        <v>2.565140390936408E-2</v>
      </c>
      <c r="E70" s="141">
        <f>'Continuous Return'!D50-$D$4</f>
        <v>-0.16443293540305673</v>
      </c>
      <c r="F70" s="83">
        <f>'Continuous Return'!E50-$E$4</f>
        <v>-0.43240530199458699</v>
      </c>
      <c r="G70" s="141">
        <f>'Continuous Return'!F50-$F$4</f>
        <v>-4.0172218899768325E-2</v>
      </c>
      <c r="H70" s="83">
        <f>'Continuous Return'!G50-$G$4</f>
        <v>7.6933310799773627E-2</v>
      </c>
      <c r="I70" s="141">
        <f>'Continuous Return'!H50-$H$4</f>
        <v>-0.14321487584936535</v>
      </c>
      <c r="J70" s="83">
        <f>'Continuous Return'!I50-$I$4</f>
        <v>0.10525352708257441</v>
      </c>
      <c r="K70" s="141">
        <f>'Continuous Return'!J50-$J$4</f>
        <v>-0.13916953516843533</v>
      </c>
    </row>
    <row r="71" spans="2:11" ht="15.75" customHeight="1">
      <c r="B71" s="464"/>
      <c r="C71" s="91" t="s">
        <v>14</v>
      </c>
      <c r="D71" s="84">
        <f>'Continuous Return'!C51-$C$4</f>
        <v>-4.2216955699003383E-2</v>
      </c>
      <c r="E71" s="142">
        <f>'Continuous Return'!D51-$D$4</f>
        <v>-0.19358815653931652</v>
      </c>
      <c r="F71" s="84">
        <f>'Continuous Return'!E51-$E$4</f>
        <v>-0.55728716352890462</v>
      </c>
      <c r="G71" s="142">
        <f>'Continuous Return'!F51-$F$4</f>
        <v>-0.11732108873667411</v>
      </c>
      <c r="H71" s="84">
        <f>'Continuous Return'!G51-$G$4</f>
        <v>5.3126147667074582E-2</v>
      </c>
      <c r="I71" s="142">
        <f>'Continuous Return'!H51-$H$4</f>
        <v>-0.10855277609220958</v>
      </c>
      <c r="J71" s="84">
        <f>'Continuous Return'!I51-$I$4</f>
        <v>5.7706025863579757E-2</v>
      </c>
      <c r="K71" s="142">
        <f>'Continuous Return'!J51-$J$4</f>
        <v>-0.16549179121226609</v>
      </c>
    </row>
    <row r="72" spans="2:11" ht="15.75" customHeight="1">
      <c r="B72" s="464"/>
      <c r="C72" s="92" t="s">
        <v>15</v>
      </c>
      <c r="D72" s="83">
        <f>'Continuous Return'!C52-$C$4</f>
        <v>-8.6787531115772882E-3</v>
      </c>
      <c r="E72" s="141">
        <f>'Continuous Return'!D52-$D$4</f>
        <v>-0.23242290877690935</v>
      </c>
      <c r="F72" s="83">
        <f>'Continuous Return'!E52-$E$4</f>
        <v>-0.4227559582218966</v>
      </c>
      <c r="G72" s="141">
        <f>'Continuous Return'!F52-$F$4</f>
        <v>1.2611815561455249E-2</v>
      </c>
      <c r="H72" s="83">
        <f>'Continuous Return'!G52-$G$4</f>
        <v>9.3114889478907698E-2</v>
      </c>
      <c r="I72" s="141">
        <f>'Continuous Return'!H52-$H$4</f>
        <v>-0.1608322848390987</v>
      </c>
      <c r="J72" s="83">
        <f>'Continuous Return'!I52-$I$4</f>
        <v>1.7958524244416216E-2</v>
      </c>
      <c r="K72" s="141">
        <f>'Continuous Return'!J52-$J$4</f>
        <v>-6.8565319931166824E-2</v>
      </c>
    </row>
    <row r="73" spans="2:11" ht="15.75" customHeight="1">
      <c r="B73" s="464"/>
      <c r="C73" s="93" t="s">
        <v>16</v>
      </c>
      <c r="D73" s="142">
        <f>'Continuous Return'!C53-$C$4</f>
        <v>3.9272953305121046E-3</v>
      </c>
      <c r="E73" s="144">
        <f>'Continuous Return'!D53-$D$4</f>
        <v>-0.25052042093242227</v>
      </c>
      <c r="F73" s="84">
        <f>'Continuous Return'!E53-$E$4</f>
        <v>-0.49607992695707925</v>
      </c>
      <c r="G73" s="144">
        <f>'Continuous Return'!F53-$F$4</f>
        <v>-0.10795078260511951</v>
      </c>
      <c r="H73" s="84">
        <f>'Continuous Return'!G53-$G$4</f>
        <v>0.1063218179359726</v>
      </c>
      <c r="I73" s="144">
        <f>'Continuous Return'!H53-$H$4</f>
        <v>-0.16348667810798184</v>
      </c>
      <c r="J73" s="144">
        <f>'Continuous Return'!I53-$I$4</f>
        <v>-4.1652269562116186E-2</v>
      </c>
      <c r="K73" s="144">
        <f>'Continuous Return'!J53-$J$4</f>
        <v>-0.14244990292213253</v>
      </c>
    </row>
    <row r="74" spans="2:11" ht="15.75" customHeight="1">
      <c r="D74" s="146"/>
      <c r="F74" s="146"/>
      <c r="H74" s="146"/>
    </row>
    <row r="75" spans="2:11" ht="15.75" customHeight="1"/>
    <row r="76" spans="2:11" ht="15.75" customHeight="1"/>
    <row r="77" spans="2:11" ht="15.75" customHeight="1"/>
    <row r="78" spans="2:11" ht="15.75" customHeight="1"/>
    <row r="79" spans="2:11" ht="15.75" customHeight="1"/>
    <row r="80" spans="2:11"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B56:B67"/>
    <mergeCell ref="B68:B73"/>
    <mergeCell ref="B2:J2"/>
    <mergeCell ref="B21:K21"/>
    <mergeCell ref="B23:B31"/>
    <mergeCell ref="B32:B43"/>
    <mergeCell ref="B44:B55"/>
    <mergeCell ref="B8:J8"/>
    <mergeCell ref="B15:J15"/>
  </mergeCells>
  <pageMargins left="0.7" right="0.7" top="0.75" bottom="0.75" header="0" footer="0"/>
  <pageSetup orientation="landscape"/>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000"/>
  <sheetViews>
    <sheetView showGridLines="0" topLeftCell="C1" workbookViewId="0">
      <selection activeCell="S7" sqref="S7"/>
    </sheetView>
  </sheetViews>
  <sheetFormatPr defaultColWidth="12.5703125" defaultRowHeight="15" customHeight="1"/>
  <cols>
    <col min="3" max="4" width="18" customWidth="1"/>
    <col min="5" max="5" width="18.7109375" customWidth="1"/>
    <col min="6" max="6" width="16.42578125" customWidth="1"/>
    <col min="7" max="7" width="18.140625" customWidth="1"/>
    <col min="8" max="8" width="17.7109375" customWidth="1"/>
    <col min="9" max="9" width="18.7109375" customWidth="1"/>
    <col min="11" max="11" width="15.28515625" bestFit="1" customWidth="1"/>
  </cols>
  <sheetData>
    <row r="1" spans="1:11" ht="15.75" customHeight="1">
      <c r="B1" s="477" t="s">
        <v>58</v>
      </c>
      <c r="C1" s="478"/>
      <c r="D1" s="478"/>
      <c r="E1" s="478"/>
      <c r="F1" s="478"/>
      <c r="G1" s="478"/>
      <c r="H1" s="478"/>
      <c r="I1" s="479"/>
      <c r="K1" s="70" t="s">
        <v>59</v>
      </c>
    </row>
    <row r="2" spans="1:11" ht="15.75" customHeight="1">
      <c r="B2" s="223"/>
      <c r="C2" s="200" t="s">
        <v>1</v>
      </c>
      <c r="D2" s="201" t="s">
        <v>2</v>
      </c>
      <c r="E2" s="201" t="s">
        <v>3</v>
      </c>
      <c r="F2" s="201" t="s">
        <v>4</v>
      </c>
      <c r="G2" s="201" t="s">
        <v>5</v>
      </c>
      <c r="H2" s="201" t="s">
        <v>6</v>
      </c>
      <c r="I2" s="202" t="s">
        <v>7</v>
      </c>
      <c r="K2" s="224">
        <v>0.4</v>
      </c>
    </row>
    <row r="3" spans="1:11" ht="15.75" customHeight="1">
      <c r="B3" s="211" t="s">
        <v>1</v>
      </c>
      <c r="C3" s="212">
        <f t="array" ref="C3:I9">K2*(C13:I19)+(1-K2)*C23:I29</f>
        <v>4.6475349661295644E-3</v>
      </c>
      <c r="D3" s="218">
        <v>1.9303532191895941E-4</v>
      </c>
      <c r="E3" s="213">
        <v>3.9369595804167566E-3</v>
      </c>
      <c r="F3" s="218">
        <v>7.8279149351523261E-4</v>
      </c>
      <c r="G3" s="213">
        <v>1.9190159266236083E-4</v>
      </c>
      <c r="H3" s="218">
        <v>6.6292576873650715E-4</v>
      </c>
      <c r="I3" s="214">
        <v>8.8297618667897799E-4</v>
      </c>
    </row>
    <row r="4" spans="1:11" ht="15.75" customHeight="1">
      <c r="A4" s="19"/>
      <c r="B4" s="210" t="s">
        <v>2</v>
      </c>
      <c r="C4" s="205">
        <v>1.9303532191895941E-4</v>
      </c>
      <c r="D4" s="219">
        <v>3.9340084500892318E-2</v>
      </c>
      <c r="E4" s="206">
        <v>3.2759759849299686E-2</v>
      </c>
      <c r="F4" s="220">
        <v>4.4188354777357141E-3</v>
      </c>
      <c r="G4" s="206">
        <v>-4.3985836928815405E-3</v>
      </c>
      <c r="H4" s="220">
        <v>1.002922024571707E-2</v>
      </c>
      <c r="I4" s="207">
        <v>-2.3299567465575734E-3</v>
      </c>
      <c r="J4" s="19"/>
    </row>
    <row r="5" spans="1:11" ht="15.75" customHeight="1">
      <c r="B5" s="211" t="s">
        <v>3</v>
      </c>
      <c r="C5" s="215">
        <v>3.9369595804167566E-3</v>
      </c>
      <c r="D5" s="218">
        <v>3.2759759849299686E-2</v>
      </c>
      <c r="E5" s="216">
        <v>0.2335379864406073</v>
      </c>
      <c r="F5" s="218">
        <v>1.1930216847927777E-2</v>
      </c>
      <c r="G5" s="213">
        <v>-1.2853602258888517E-2</v>
      </c>
      <c r="H5" s="218">
        <v>2.5357485285575104E-2</v>
      </c>
      <c r="I5" s="214">
        <v>-3.993559594058606E-3</v>
      </c>
    </row>
    <row r="6" spans="1:11" ht="15.75" customHeight="1">
      <c r="B6" s="210" t="s">
        <v>60</v>
      </c>
      <c r="C6" s="205">
        <v>7.8279149351523261E-4</v>
      </c>
      <c r="D6" s="220">
        <v>4.4188354777357141E-3</v>
      </c>
      <c r="E6" s="206">
        <v>1.1930216847927777E-2</v>
      </c>
      <c r="F6" s="219">
        <v>7.06875916846235E-3</v>
      </c>
      <c r="G6" s="206">
        <v>-1.4460159118863259E-3</v>
      </c>
      <c r="H6" s="220">
        <v>3.4283916553840815E-3</v>
      </c>
      <c r="I6" s="207">
        <v>-1.264307351161996E-4</v>
      </c>
    </row>
    <row r="7" spans="1:11" ht="15.75" customHeight="1">
      <c r="B7" s="211" t="s">
        <v>5</v>
      </c>
      <c r="C7" s="215">
        <v>1.9190159266236083E-4</v>
      </c>
      <c r="D7" s="218">
        <v>-4.3985836928815405E-3</v>
      </c>
      <c r="E7" s="213">
        <v>-1.2853602258888517E-2</v>
      </c>
      <c r="F7" s="218">
        <v>-1.4460159118863259E-3</v>
      </c>
      <c r="G7" s="216">
        <v>9.3524040491135309E-3</v>
      </c>
      <c r="H7" s="218">
        <v>-4.1471634975261016E-3</v>
      </c>
      <c r="I7" s="214">
        <v>1.5497283969175409E-3</v>
      </c>
    </row>
    <row r="8" spans="1:11" ht="15.75" customHeight="1">
      <c r="B8" s="210" t="s">
        <v>61</v>
      </c>
      <c r="C8" s="205">
        <v>6.6292576873650715E-4</v>
      </c>
      <c r="D8" s="220">
        <v>1.002922024571707E-2</v>
      </c>
      <c r="E8" s="206">
        <v>2.5357485285575104E-2</v>
      </c>
      <c r="F8" s="220">
        <v>3.4283916553840815E-3</v>
      </c>
      <c r="G8" s="206">
        <v>-4.1471634975261016E-3</v>
      </c>
      <c r="H8" s="219">
        <v>2.1318142040362854E-2</v>
      </c>
      <c r="I8" s="207">
        <v>-1.5318903053385083E-3</v>
      </c>
    </row>
    <row r="9" spans="1:11" ht="15.75" customHeight="1">
      <c r="B9" s="211" t="s">
        <v>7</v>
      </c>
      <c r="C9" s="215">
        <v>8.8297618667897799E-4</v>
      </c>
      <c r="D9" s="218">
        <v>-2.3299567465575734E-3</v>
      </c>
      <c r="E9" s="213">
        <v>-3.993559594058606E-3</v>
      </c>
      <c r="F9" s="218">
        <v>-1.264307351161996E-4</v>
      </c>
      <c r="G9" s="213">
        <v>1.5497283969175409E-3</v>
      </c>
      <c r="H9" s="218">
        <v>-1.5318903053385083E-3</v>
      </c>
      <c r="I9" s="217">
        <v>6.7113980320553865E-3</v>
      </c>
    </row>
    <row r="10" spans="1:11" ht="15.75" customHeight="1"/>
    <row r="11" spans="1:11" ht="15.75" customHeight="1">
      <c r="A11" s="196"/>
      <c r="B11" s="474" t="s">
        <v>62</v>
      </c>
      <c r="C11" s="475"/>
      <c r="D11" s="475"/>
      <c r="E11" s="475"/>
      <c r="F11" s="475"/>
      <c r="G11" s="475"/>
      <c r="H11" s="475"/>
      <c r="I11" s="476"/>
    </row>
    <row r="12" spans="1:11" ht="15.75" customHeight="1">
      <c r="B12" s="223"/>
      <c r="C12" s="221" t="s">
        <v>1</v>
      </c>
      <c r="D12" s="87" t="s">
        <v>2</v>
      </c>
      <c r="E12" s="87" t="s">
        <v>3</v>
      </c>
      <c r="F12" s="87" t="s">
        <v>4</v>
      </c>
      <c r="G12" s="87" t="s">
        <v>5</v>
      </c>
      <c r="H12" s="87" t="s">
        <v>6</v>
      </c>
      <c r="I12" s="222" t="s">
        <v>7</v>
      </c>
    </row>
    <row r="13" spans="1:11" ht="15.75" customHeight="1">
      <c r="B13" s="211" t="s">
        <v>1</v>
      </c>
      <c r="C13" s="212">
        <f t="array" ref="C13:I19">MMULT(TRANSPOSE('Weighted Stats &amp; Excess Returns'!D23:K73),'Weighted Stats &amp; Excess Returns'!D23:K73)/48</f>
        <v>4.6475349661295644E-3</v>
      </c>
      <c r="D13" s="218">
        <v>4.8258830479739847E-4</v>
      </c>
      <c r="E13" s="213">
        <v>9.8423989510418915E-3</v>
      </c>
      <c r="F13" s="218">
        <v>1.9569787337880814E-3</v>
      </c>
      <c r="G13" s="213">
        <v>4.7975398165590205E-4</v>
      </c>
      <c r="H13" s="218">
        <v>1.6573144218412677E-3</v>
      </c>
      <c r="I13" s="214">
        <v>2.2074404666974448E-3</v>
      </c>
    </row>
    <row r="14" spans="1:11" ht="15.75" customHeight="1">
      <c r="B14" s="210" t="s">
        <v>2</v>
      </c>
      <c r="C14" s="205">
        <v>4.8258830479739847E-4</v>
      </c>
      <c r="D14" s="219">
        <v>3.9340084500892318E-2</v>
      </c>
      <c r="E14" s="206">
        <v>8.1899399623249214E-2</v>
      </c>
      <c r="F14" s="220">
        <v>1.1047088694339286E-2</v>
      </c>
      <c r="G14" s="206">
        <v>-1.0996459232203852E-2</v>
      </c>
      <c r="H14" s="220">
        <v>2.5073050614292672E-2</v>
      </c>
      <c r="I14" s="207">
        <v>-5.8248918663939336E-3</v>
      </c>
      <c r="J14" s="19"/>
    </row>
    <row r="15" spans="1:11" ht="15.75" customHeight="1">
      <c r="B15" s="211" t="s">
        <v>3</v>
      </c>
      <c r="C15" s="215">
        <v>9.8423989510418915E-3</v>
      </c>
      <c r="D15" s="218">
        <v>8.1899399623249214E-2</v>
      </c>
      <c r="E15" s="216">
        <v>0.2335379864406073</v>
      </c>
      <c r="F15" s="218">
        <v>2.9825542119819439E-2</v>
      </c>
      <c r="G15" s="213">
        <v>-3.2134005647221291E-2</v>
      </c>
      <c r="H15" s="218">
        <v>6.3393713213937761E-2</v>
      </c>
      <c r="I15" s="214">
        <v>-9.9838989851465144E-3</v>
      </c>
    </row>
    <row r="16" spans="1:11" ht="15.75" customHeight="1">
      <c r="B16" s="210" t="s">
        <v>60</v>
      </c>
      <c r="C16" s="205">
        <v>1.9569787337880814E-3</v>
      </c>
      <c r="D16" s="220">
        <v>1.1047088694339286E-2</v>
      </c>
      <c r="E16" s="206">
        <v>2.9825542119819439E-2</v>
      </c>
      <c r="F16" s="219">
        <v>7.06875916846235E-3</v>
      </c>
      <c r="G16" s="206">
        <v>-3.6150397797158145E-3</v>
      </c>
      <c r="H16" s="220">
        <v>8.5709791384602028E-3</v>
      </c>
      <c r="I16" s="207">
        <v>-3.1607683779049896E-4</v>
      </c>
    </row>
    <row r="17" spans="2:10" ht="15.75" customHeight="1">
      <c r="B17" s="211" t="s">
        <v>5</v>
      </c>
      <c r="C17" s="215">
        <v>4.7975398165590205E-4</v>
      </c>
      <c r="D17" s="218">
        <v>-1.0996459232203852E-2</v>
      </c>
      <c r="E17" s="213">
        <v>-3.2134005647221291E-2</v>
      </c>
      <c r="F17" s="218">
        <v>-3.6150397797158145E-3</v>
      </c>
      <c r="G17" s="216">
        <v>9.3524040491135309E-3</v>
      </c>
      <c r="H17" s="218">
        <v>-1.0367908743815255E-2</v>
      </c>
      <c r="I17" s="214">
        <v>3.8743209922938522E-3</v>
      </c>
    </row>
    <row r="18" spans="2:10" ht="15.75" customHeight="1">
      <c r="B18" s="210" t="s">
        <v>6</v>
      </c>
      <c r="C18" s="205">
        <v>1.6573144218412677E-3</v>
      </c>
      <c r="D18" s="220">
        <v>2.5073050614292672E-2</v>
      </c>
      <c r="E18" s="206">
        <v>6.3393713213937761E-2</v>
      </c>
      <c r="F18" s="220">
        <v>8.5709791384602028E-3</v>
      </c>
      <c r="G18" s="206">
        <v>-1.0367908743815255E-2</v>
      </c>
      <c r="H18" s="219">
        <v>2.1318142040362854E-2</v>
      </c>
      <c r="I18" s="207">
        <v>-3.8297257633462707E-3</v>
      </c>
    </row>
    <row r="19" spans="2:10" ht="15.75" customHeight="1">
      <c r="B19" s="211" t="s">
        <v>7</v>
      </c>
      <c r="C19" s="215">
        <v>2.2074404666974448E-3</v>
      </c>
      <c r="D19" s="218">
        <v>-5.8248918663939336E-3</v>
      </c>
      <c r="E19" s="213">
        <v>-9.9838989851465144E-3</v>
      </c>
      <c r="F19" s="218">
        <v>-3.1607683779049896E-4</v>
      </c>
      <c r="G19" s="213">
        <v>3.8743209922938522E-3</v>
      </c>
      <c r="H19" s="218">
        <v>-3.8297257633462707E-3</v>
      </c>
      <c r="I19" s="217">
        <v>6.7113980320553865E-3</v>
      </c>
    </row>
    <row r="20" spans="2:10" ht="15.75" customHeight="1">
      <c r="B20" s="18"/>
      <c r="C20" s="18"/>
      <c r="D20" s="18"/>
      <c r="E20" s="18"/>
      <c r="F20" s="18"/>
      <c r="G20" s="18"/>
      <c r="H20" s="18"/>
      <c r="I20" s="18"/>
    </row>
    <row r="21" spans="2:10" ht="15.75" customHeight="1">
      <c r="B21" s="474" t="s">
        <v>63</v>
      </c>
      <c r="C21" s="475"/>
      <c r="D21" s="475"/>
      <c r="E21" s="475"/>
      <c r="F21" s="475"/>
      <c r="G21" s="475"/>
      <c r="H21" s="475"/>
      <c r="I21" s="476"/>
    </row>
    <row r="22" spans="2:10" ht="15.75" customHeight="1">
      <c r="B22" s="223"/>
      <c r="C22" s="221" t="s">
        <v>1</v>
      </c>
      <c r="D22" s="87" t="s">
        <v>2</v>
      </c>
      <c r="E22" s="87" t="s">
        <v>3</v>
      </c>
      <c r="F22" s="87" t="s">
        <v>4</v>
      </c>
      <c r="G22" s="87" t="s">
        <v>5</v>
      </c>
      <c r="H22" s="87" t="s">
        <v>6</v>
      </c>
      <c r="I22" s="222" t="s">
        <v>7</v>
      </c>
    </row>
    <row r="23" spans="2:10" ht="15.75" customHeight="1">
      <c r="B23" s="211" t="s">
        <v>1</v>
      </c>
      <c r="C23" s="212">
        <f t="array" ref="C23:I29">MMULT(TRANSPOSE('Continuous Return'!C3:I53-'Weighted Stats &amp; Excess Returns'!C4:I4),'Continuous Return'!C3:I53-'Weighted Stats &amp; Excess Returns'!C4:I4)/48*IF('Variance-Covariance Matrix '!B23:B29='Variance-Covariance Matrix '!C22:I22,1,0)</f>
        <v>4.6475349661295644E-3</v>
      </c>
      <c r="D23" s="218">
        <v>0</v>
      </c>
      <c r="E23" s="213">
        <v>0</v>
      </c>
      <c r="F23" s="218">
        <v>0</v>
      </c>
      <c r="G23" s="213">
        <v>0</v>
      </c>
      <c r="H23" s="218">
        <v>0</v>
      </c>
      <c r="I23" s="214">
        <v>0</v>
      </c>
    </row>
    <row r="24" spans="2:10" ht="15.75" customHeight="1">
      <c r="B24" s="210" t="s">
        <v>2</v>
      </c>
      <c r="C24" s="205">
        <v>0</v>
      </c>
      <c r="D24" s="219">
        <v>3.9340084500892318E-2</v>
      </c>
      <c r="E24" s="206">
        <v>0</v>
      </c>
      <c r="F24" s="220">
        <v>0</v>
      </c>
      <c r="G24" s="206">
        <v>0</v>
      </c>
      <c r="H24" s="220">
        <v>0</v>
      </c>
      <c r="I24" s="207">
        <v>0</v>
      </c>
      <c r="J24" s="19"/>
    </row>
    <row r="25" spans="2:10" ht="15.75" customHeight="1">
      <c r="B25" s="211" t="s">
        <v>3</v>
      </c>
      <c r="C25" s="215">
        <v>0</v>
      </c>
      <c r="D25" s="218">
        <v>0</v>
      </c>
      <c r="E25" s="216">
        <v>0.2335379864406073</v>
      </c>
      <c r="F25" s="218">
        <v>0</v>
      </c>
      <c r="G25" s="213">
        <v>0</v>
      </c>
      <c r="H25" s="218">
        <v>0</v>
      </c>
      <c r="I25" s="214">
        <v>0</v>
      </c>
    </row>
    <row r="26" spans="2:10" ht="15.75" customHeight="1">
      <c r="B26" s="210" t="s">
        <v>4</v>
      </c>
      <c r="C26" s="205">
        <v>0</v>
      </c>
      <c r="D26" s="220">
        <v>0</v>
      </c>
      <c r="E26" s="206">
        <v>0</v>
      </c>
      <c r="F26" s="219">
        <v>7.06875916846235E-3</v>
      </c>
      <c r="G26" s="206">
        <v>0</v>
      </c>
      <c r="H26" s="220">
        <v>0</v>
      </c>
      <c r="I26" s="207">
        <v>0</v>
      </c>
    </row>
    <row r="27" spans="2:10" ht="15.75" customHeight="1">
      <c r="B27" s="211" t="s">
        <v>5</v>
      </c>
      <c r="C27" s="215">
        <v>0</v>
      </c>
      <c r="D27" s="218">
        <v>0</v>
      </c>
      <c r="E27" s="213">
        <v>0</v>
      </c>
      <c r="F27" s="218">
        <v>0</v>
      </c>
      <c r="G27" s="216">
        <v>9.3524040491135309E-3</v>
      </c>
      <c r="H27" s="218">
        <v>0</v>
      </c>
      <c r="I27" s="214">
        <v>0</v>
      </c>
    </row>
    <row r="28" spans="2:10" ht="15.75" customHeight="1">
      <c r="B28" s="210" t="s">
        <v>6</v>
      </c>
      <c r="C28" s="205">
        <v>0</v>
      </c>
      <c r="D28" s="220">
        <v>0</v>
      </c>
      <c r="E28" s="206">
        <v>0</v>
      </c>
      <c r="F28" s="220">
        <v>0</v>
      </c>
      <c r="G28" s="206">
        <v>0</v>
      </c>
      <c r="H28" s="219">
        <v>2.1318142040362854E-2</v>
      </c>
      <c r="I28" s="207">
        <v>0</v>
      </c>
    </row>
    <row r="29" spans="2:10" ht="15.75" customHeight="1">
      <c r="B29" s="211" t="s">
        <v>7</v>
      </c>
      <c r="C29" s="215">
        <v>0</v>
      </c>
      <c r="D29" s="218">
        <v>0</v>
      </c>
      <c r="E29" s="213">
        <v>0</v>
      </c>
      <c r="F29" s="218">
        <v>0</v>
      </c>
      <c r="G29" s="213">
        <v>0</v>
      </c>
      <c r="H29" s="218">
        <v>0</v>
      </c>
      <c r="I29" s="217">
        <v>6.7113980320553865E-3</v>
      </c>
    </row>
    <row r="30" spans="2:10" ht="15.75" customHeight="1">
      <c r="B30" s="18"/>
      <c r="C30" s="18"/>
      <c r="D30" s="18"/>
      <c r="E30" s="18"/>
      <c r="F30" s="18"/>
      <c r="G30" s="18"/>
      <c r="H30" s="18"/>
      <c r="I30" s="18"/>
    </row>
    <row r="31" spans="2:10" ht="15.75" customHeight="1">
      <c r="B31" s="474" t="s">
        <v>64</v>
      </c>
      <c r="C31" s="475"/>
      <c r="D31" s="475"/>
      <c r="E31" s="475"/>
      <c r="F31" s="475"/>
      <c r="G31" s="475"/>
      <c r="H31" s="475"/>
      <c r="I31" s="476"/>
    </row>
    <row r="32" spans="2:10" ht="15.75" customHeight="1">
      <c r="B32" s="223"/>
      <c r="C32" s="221" t="s">
        <v>1</v>
      </c>
      <c r="D32" s="87" t="s">
        <v>2</v>
      </c>
      <c r="E32" s="87" t="s">
        <v>3</v>
      </c>
      <c r="F32" s="188" t="s">
        <v>4</v>
      </c>
      <c r="G32" s="188" t="s">
        <v>5</v>
      </c>
      <c r="H32" s="188" t="s">
        <v>6</v>
      </c>
      <c r="I32" s="155" t="s">
        <v>7</v>
      </c>
    </row>
    <row r="33" spans="2:9" ht="15.75" customHeight="1" thickBot="1">
      <c r="B33" s="211" t="s">
        <v>1</v>
      </c>
      <c r="C33" s="229">
        <f t="array" ref="C33">CORREL('Continuous Return'!$C$3:$C$53,'Continuous Return'!C3:C53)</f>
        <v>1</v>
      </c>
      <c r="D33" s="230">
        <f t="array" ref="D33">CORREL('Continuous Return'!$C$3:$C$53,'Continuous Return'!D3:D53)</f>
        <v>-9.7426674029122515E-2</v>
      </c>
      <c r="E33" s="228">
        <f t="array" ref="E33">CORREL('Continuous Return'!$C$3:$C$53,'Continuous Return'!E3:E53)</f>
        <v>0.57205565870920483</v>
      </c>
      <c r="F33" s="203">
        <f t="array" ref="F33">CORREL('Continuous Return'!$C$3:$C$53,'Continuous Return'!F3:F53)</f>
        <v>0.39865442001030149</v>
      </c>
      <c r="G33" s="203">
        <f t="array" ref="G33">CORREL('Continuous Return'!$C$3:$C$53,'Continuous Return'!G3:G53)</f>
        <v>0.21259369869695141</v>
      </c>
      <c r="H33" s="233">
        <f t="array" ref="H33">CORREL('Continuous Return'!$C$3:$C$53,'Continuous Return'!H3:H53)</f>
        <v>0.3144392379355096</v>
      </c>
      <c r="I33" s="204">
        <f t="array" ref="I33">CORREL('Continuous Return'!$C$3:$C$53,'Continuous Return'!I3:I53)</f>
        <v>0.46955516628316651</v>
      </c>
    </row>
    <row r="34" spans="2:9" ht="15.75" customHeight="1" thickBot="1">
      <c r="B34" s="210" t="s">
        <v>2</v>
      </c>
      <c r="C34" s="205">
        <f>CORREL('Continuous Return'!$D$3:$D$53,'Continuous Return'!C3:C53)</f>
        <v>-9.7426674029122515E-2</v>
      </c>
      <c r="D34" s="231">
        <f>CORREL('Continuous Return'!$D$3:$D$53,'Continuous Return'!D3:D53)</f>
        <v>0.99999999999999989</v>
      </c>
      <c r="E34" s="206">
        <f>CORREL('Continuous Return'!$D$3:$D$53,'Continuous Return'!E3:E53)</f>
        <v>3.2470391178841748E-2</v>
      </c>
      <c r="F34" s="206">
        <f>CORREL('Continuous Return'!$D$3:$D$53,'Continuous Return'!F3:F53)</f>
        <v>8.4492518986952092E-2</v>
      </c>
      <c r="G34" s="206">
        <f>CORREL('Continuous Return'!$D$3:$D$53,'Continuous Return'!G3:G53)</f>
        <v>0.61645857346316613</v>
      </c>
      <c r="H34" s="206">
        <f>CORREL('Continuous Return'!$D$3:$D$53,'Continuous Return'!H3:H53)</f>
        <v>-0.17874470320100708</v>
      </c>
      <c r="I34" s="207">
        <f>CORREL('Continuous Return'!$D$3:$D$53,'Continuous Return'!I3:I53)</f>
        <v>5.9058152300566817E-2</v>
      </c>
    </row>
    <row r="35" spans="2:9" ht="15.75" customHeight="1" thickBot="1">
      <c r="B35" s="225" t="s">
        <v>3</v>
      </c>
      <c r="C35" s="203">
        <f>CORREL('Continuous Return'!$E$3:$E$53,'Continuous Return'!C3:C53)</f>
        <v>0.57205565870920483</v>
      </c>
      <c r="D35" s="203">
        <f>CORREL('Continuous Return'!$E$3:$E$53,'Continuous Return'!D3:D53)</f>
        <v>3.2470391178841748E-2</v>
      </c>
      <c r="E35" s="231">
        <f>CORREL('Continuous Return'!$E$3:$E$53,'Continuous Return'!E3:E53)</f>
        <v>1.0000000000000002</v>
      </c>
      <c r="F35" s="203">
        <f>CORREL('Continuous Return'!$E$3:$E$53,'Continuous Return'!F3:F53)</f>
        <v>0.34991675353755047</v>
      </c>
      <c r="G35" s="203">
        <f>CORREL('Continuous Return'!$E$3:$E$53,'Continuous Return'!G3:G53)</f>
        <v>0.10010552693101214</v>
      </c>
      <c r="H35" s="203">
        <f>CORREL('Continuous Return'!$E$3:$E$53,'Continuous Return'!H3:H53)</f>
        <v>0.18371981306783094</v>
      </c>
      <c r="I35" s="204">
        <f>CORREL('Continuous Return'!$E$3:$E$53,'Continuous Return'!I3:I53)</f>
        <v>0.33834151122293232</v>
      </c>
    </row>
    <row r="36" spans="2:9" ht="15.75" customHeight="1" thickBot="1">
      <c r="B36" s="226" t="s">
        <v>60</v>
      </c>
      <c r="C36" s="206">
        <f>CORREL('Continuous Return'!$F$3:$F$53,'Continuous Return'!C3:C53)</f>
        <v>0.39865442001030149</v>
      </c>
      <c r="D36" s="206">
        <f>CORREL('Continuous Return'!$F$3:$F$53,'Continuous Return'!D3:D53)</f>
        <v>8.4492518986952092E-2</v>
      </c>
      <c r="E36" s="206">
        <f>CORREL('Continuous Return'!$F$3:$F$53,'Continuous Return'!E3:E53)</f>
        <v>0.34991675353755047</v>
      </c>
      <c r="F36" s="231">
        <f>CORREL('Continuous Return'!$F$3:$F$53,'Continuous Return'!F3:F53)</f>
        <v>1</v>
      </c>
      <c r="G36" s="206">
        <f>CORREL('Continuous Return'!$F$3:$F$53,'Continuous Return'!G3:G53)</f>
        <v>0.20149950527507182</v>
      </c>
      <c r="H36" s="206">
        <f>CORREL('Continuous Return'!$F$3:$F$53,'Continuous Return'!H3:H53)</f>
        <v>0.17994375485433414</v>
      </c>
      <c r="I36" s="207">
        <f>CORREL('Continuous Return'!$F$3:$F$53,'Continuous Return'!I3:I53)</f>
        <v>0.3581664236891447</v>
      </c>
    </row>
    <row r="37" spans="2:9" ht="15.75" customHeight="1" thickBot="1">
      <c r="B37" s="225" t="s">
        <v>5</v>
      </c>
      <c r="C37" s="203">
        <f>CORREL('Continuous Return'!$G$3:$G$53,'Continuous Return'!C3:C53)</f>
        <v>0.21259369869695141</v>
      </c>
      <c r="D37" s="203">
        <f>CORREL('Continuous Return'!$G$3:$G$53,'Continuous Return'!D3:D53)</f>
        <v>0.61645857346316613</v>
      </c>
      <c r="E37" s="203">
        <f>CORREL('Continuous Return'!$G$3:$G$53,'Continuous Return'!E3:E53)</f>
        <v>0.10010552693101214</v>
      </c>
      <c r="F37" s="203">
        <f>CORREL('Continuous Return'!$G$3:$G$53,'Continuous Return'!F3:F53)</f>
        <v>0.20149950527507182</v>
      </c>
      <c r="G37" s="231">
        <f>CORREL('Continuous Return'!$G$3:$G$53,'Continuous Return'!G3:G53)</f>
        <v>1</v>
      </c>
      <c r="H37" s="203">
        <f>CORREL('Continuous Return'!$G$3:$G$53,'Continuous Return'!H3:H53)</f>
        <v>4.656447526979899E-2</v>
      </c>
      <c r="I37" s="204">
        <f>CORREL('Continuous Return'!$G$3:$G$53,'Continuous Return'!I3:I53)</f>
        <v>0.29810162914210675</v>
      </c>
    </row>
    <row r="38" spans="2:9" ht="15.75" customHeight="1" thickBot="1">
      <c r="B38" s="226" t="s">
        <v>61</v>
      </c>
      <c r="C38" s="206">
        <f>CORREL('Continuous Return'!$H$3:$H$53,'Continuous Return'!C3:C53)</f>
        <v>0.3144392379355096</v>
      </c>
      <c r="D38" s="206">
        <f>CORREL('Continuous Return'!$H$3:$H$53,'Continuous Return'!D3:D53)</f>
        <v>-0.17874470320100708</v>
      </c>
      <c r="E38" s="206">
        <f>CORREL('Continuous Return'!$H$3:$H$53,'Continuous Return'!E3:E53)</f>
        <v>0.18371981306783094</v>
      </c>
      <c r="F38" s="206">
        <f>CORREL('Continuous Return'!$H$3:$H$53,'Continuous Return'!F3:F53)</f>
        <v>0.17994375485433414</v>
      </c>
      <c r="G38" s="206">
        <f>CORREL('Continuous Return'!$H$3:$H$53,'Continuous Return'!G3:G53)</f>
        <v>4.656447526979899E-2</v>
      </c>
      <c r="H38" s="231">
        <f>CORREL('Continuous Return'!$H$3:$H$53,'Continuous Return'!H3:H53)</f>
        <v>1.0000000000000002</v>
      </c>
      <c r="I38" s="232">
        <f>CORREL('Continuous Return'!$H$3:$H$53,'Continuous Return'!I3:I53)</f>
        <v>0.26500320723547027</v>
      </c>
    </row>
    <row r="39" spans="2:9" ht="15.75" customHeight="1" thickBot="1">
      <c r="B39" s="211" t="s">
        <v>7</v>
      </c>
      <c r="C39" s="208">
        <f>CORREL('Continuous Return'!$I$3:$I$53,'Continuous Return'!C3:C53)</f>
        <v>0.46955516628316651</v>
      </c>
      <c r="D39" s="227">
        <f>CORREL('Continuous Return'!$I$3:$I$53,'Continuous Return'!D3:D53)</f>
        <v>5.9058152300566817E-2</v>
      </c>
      <c r="E39" s="209">
        <f>CORREL('Continuous Return'!$I$3:$I$53,'Continuous Return'!E3:E53)</f>
        <v>0.33834151122293232</v>
      </c>
      <c r="F39" s="227">
        <f>CORREL('Continuous Return'!$I$3:$I$53,'Continuous Return'!F3:F53)</f>
        <v>0.3581664236891447</v>
      </c>
      <c r="G39" s="209">
        <f>CORREL('Continuous Return'!$I$3:$I$53,'Continuous Return'!G3:G53)</f>
        <v>0.29810162914210675</v>
      </c>
      <c r="H39" s="208">
        <f>CORREL('Continuous Return'!$I$3:$I$53,'Continuous Return'!H3:H53)</f>
        <v>0.26500320723547027</v>
      </c>
      <c r="I39" s="231">
        <f>CORREL('Continuous Return'!$I$3:$I$53,'Continuous Return'!I3:I53)</f>
        <v>1.0000000000000002</v>
      </c>
    </row>
    <row r="40" spans="2:9" ht="15.75" customHeight="1"/>
    <row r="41" spans="2:9" ht="15.75" customHeight="1"/>
    <row r="42" spans="2:9" ht="15.75" customHeight="1"/>
    <row r="43" spans="2:9" ht="15.75" customHeight="1"/>
    <row r="44" spans="2:9" ht="15.75" customHeight="1"/>
    <row r="45" spans="2:9" ht="15.75" customHeight="1"/>
    <row r="46" spans="2:9" ht="15.75" customHeight="1"/>
    <row r="47" spans="2:9" ht="15.75" customHeight="1"/>
    <row r="48" spans="2:9"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B11:I11"/>
    <mergeCell ref="B21:I21"/>
    <mergeCell ref="B31:I31"/>
    <mergeCell ref="B1:I1"/>
  </mergeCells>
  <pageMargins left="0.7" right="0.7" top="0.75" bottom="0.75" header="0" footer="0"/>
  <pageSetup orientation="landscape"/>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000"/>
  <sheetViews>
    <sheetView showGridLines="0" tabSelected="1" topLeftCell="A7" workbookViewId="0">
      <selection activeCell="F15" sqref="F15"/>
    </sheetView>
  </sheetViews>
  <sheetFormatPr defaultColWidth="12.5703125" defaultRowHeight="15" customHeight="1"/>
  <cols>
    <col min="2" max="2" width="16.5703125" bestFit="1" customWidth="1"/>
    <col min="3" max="3" width="14.42578125" customWidth="1"/>
    <col min="5" max="5" width="16.5703125" bestFit="1" customWidth="1"/>
  </cols>
  <sheetData>
    <row r="1" spans="1:9" ht="15.75" customHeight="1" thickBot="1"/>
    <row r="2" spans="1:9" ht="15.75" customHeight="1" thickBot="1">
      <c r="B2" s="489" t="s">
        <v>65</v>
      </c>
      <c r="C2" s="490"/>
      <c r="D2" s="490"/>
      <c r="E2" s="490"/>
      <c r="F2" s="490"/>
      <c r="G2" s="490"/>
      <c r="H2" s="490"/>
      <c r="I2" s="491"/>
    </row>
    <row r="3" spans="1:9" ht="15.75" customHeight="1">
      <c r="B3" s="279" t="s">
        <v>66</v>
      </c>
      <c r="C3" s="87" t="s">
        <v>1</v>
      </c>
      <c r="D3" s="87" t="s">
        <v>2</v>
      </c>
      <c r="E3" s="87" t="s">
        <v>3</v>
      </c>
      <c r="F3" s="87" t="s">
        <v>4</v>
      </c>
      <c r="G3" s="87" t="s">
        <v>5</v>
      </c>
      <c r="H3" s="87" t="s">
        <v>6</v>
      </c>
      <c r="I3" s="295" t="s">
        <v>7</v>
      </c>
    </row>
    <row r="4" spans="1:9" ht="15.75" customHeight="1">
      <c r="A4" s="2" t="s">
        <v>40</v>
      </c>
      <c r="B4" s="279" t="s">
        <v>67</v>
      </c>
      <c r="C4" s="234">
        <v>0.22</v>
      </c>
      <c r="D4" s="234">
        <v>0.11</v>
      </c>
      <c r="E4" s="234">
        <v>0.14000000000000001</v>
      </c>
      <c r="F4" s="234">
        <v>0.12</v>
      </c>
      <c r="G4" s="234">
        <v>0.08</v>
      </c>
      <c r="H4" s="234">
        <v>0.18</v>
      </c>
      <c r="I4" s="363">
        <v>0.15</v>
      </c>
    </row>
    <row r="5" spans="1:9" ht="15.75" customHeight="1" thickBot="1">
      <c r="B5" s="282" t="s">
        <v>68</v>
      </c>
      <c r="C5" s="364">
        <v>0.18</v>
      </c>
      <c r="D5" s="364">
        <v>0.14000000000000001</v>
      </c>
      <c r="E5" s="364">
        <v>0.1</v>
      </c>
      <c r="F5" s="364">
        <v>0.16</v>
      </c>
      <c r="G5" s="364">
        <v>0.14000000000000001</v>
      </c>
      <c r="H5" s="364">
        <v>0.15</v>
      </c>
      <c r="I5" s="365">
        <v>0.13</v>
      </c>
    </row>
    <row r="6" spans="1:9" ht="15.75" customHeight="1"/>
    <row r="7" spans="1:9" ht="15.75" customHeight="1"/>
    <row r="8" spans="1:9" ht="15.75" customHeight="1" thickBot="1"/>
    <row r="9" spans="1:9" ht="15.75" customHeight="1" thickBot="1">
      <c r="B9" s="492" t="s">
        <v>69</v>
      </c>
      <c r="C9" s="493"/>
      <c r="D9" s="2"/>
      <c r="E9" s="492" t="s">
        <v>70</v>
      </c>
      <c r="F9" s="493"/>
      <c r="G9" s="2"/>
      <c r="H9" s="2"/>
    </row>
    <row r="10" spans="1:9" ht="15.75" customHeight="1">
      <c r="B10" s="279" t="s">
        <v>71</v>
      </c>
      <c r="C10" s="296">
        <f t="array" ref="C10">(MMULT(C4:I4,TRANSPOSE('Weighted Stats &amp; Excess Returns'!C4:I4)))</f>
        <v>0.10711296483688977</v>
      </c>
      <c r="D10" s="2"/>
      <c r="E10" s="279" t="s">
        <v>71</v>
      </c>
      <c r="F10" s="296">
        <f t="array" ref="F10">MMULT(C5:I5,TRANSPOSE('Weighted Stats &amp; Excess Returns'!C4:I4))</f>
        <v>8.8368885369081787E-2</v>
      </c>
    </row>
    <row r="11" spans="1:9" ht="15.75" customHeight="1">
      <c r="B11" s="279" t="s">
        <v>72</v>
      </c>
      <c r="C11" s="296">
        <f t="array" ref="C11">MMULT(C4:I4,TRANSPOSE('Weighted Stats &amp; Excess Returns'!C5:I5))</f>
        <v>7.8848190197751966E-2</v>
      </c>
      <c r="E11" s="279" t="s">
        <v>72</v>
      </c>
      <c r="F11" s="296">
        <f t="array" ref="F11">MMULT(C5:I5, TRANSPOSE('Weighted Stats &amp; Excess Returns'!C5:I5))</f>
        <v>6.3347593801266852E-2</v>
      </c>
    </row>
    <row r="12" spans="1:9" ht="15.75" customHeight="1" thickBot="1">
      <c r="B12" s="282" t="s">
        <v>54</v>
      </c>
      <c r="C12" s="287">
        <f>SQRT(C11)</f>
        <v>0.28079919906892892</v>
      </c>
      <c r="E12" s="282" t="s">
        <v>54</v>
      </c>
      <c r="F12" s="287">
        <f>SQRT(F11)</f>
        <v>0.25168947892446131</v>
      </c>
    </row>
    <row r="13" spans="1:9" ht="15.75" customHeight="1" thickBot="1"/>
    <row r="14" spans="1:9" ht="15.75" customHeight="1" thickBot="1">
      <c r="C14" s="494" t="s">
        <v>73</v>
      </c>
      <c r="D14" s="495"/>
      <c r="E14" s="496"/>
    </row>
    <row r="15" spans="1:9" ht="15.75" customHeight="1">
      <c r="C15" s="480" t="s">
        <v>74</v>
      </c>
      <c r="D15" s="481"/>
      <c r="E15" s="361">
        <v>0.6</v>
      </c>
    </row>
    <row r="16" spans="1:9" ht="15.75" customHeight="1">
      <c r="C16" s="480" t="s">
        <v>71</v>
      </c>
      <c r="D16" s="481"/>
      <c r="E16" s="362">
        <f>C10*E15+(1-E15)*F10</f>
        <v>9.961533304976658E-2</v>
      </c>
    </row>
    <row r="17" spans="2:7" ht="15.75" customHeight="1">
      <c r="C17" s="480" t="s">
        <v>75</v>
      </c>
      <c r="D17" s="481"/>
      <c r="E17" s="362">
        <f t="array" ref="E17">MMULT(MMULT(C4:I4,'Variance-Covariance Matrix '!C3:I9),TRANSPOSE(C5:I5))</f>
        <v>7.5696523912326605E-3</v>
      </c>
    </row>
    <row r="18" spans="2:7" ht="15.75" customHeight="1">
      <c r="C18" s="480" t="s">
        <v>53</v>
      </c>
      <c r="D18" s="481"/>
      <c r="E18" s="362">
        <f>((E15^2)*C10)+(((1-E15)^2)*F10)+(2*(1-E15)*E15*E17)</f>
        <v>5.6333122148125088E-2</v>
      </c>
    </row>
    <row r="19" spans="2:7" ht="15.75" customHeight="1">
      <c r="C19" s="480" t="s">
        <v>54</v>
      </c>
      <c r="D19" s="481"/>
      <c r="E19" s="362">
        <f>SQRT(E18)</f>
        <v>0.23734599669706899</v>
      </c>
    </row>
    <row r="20" spans="2:7" ht="15.75" customHeight="1" thickBot="1">
      <c r="C20" s="482" t="s">
        <v>76</v>
      </c>
      <c r="D20" s="483"/>
      <c r="E20" s="535">
        <f>E17/SQRT(C11*F11)</f>
        <v>0.10710629837364019</v>
      </c>
      <c r="G20" s="2"/>
    </row>
    <row r="21" spans="2:7" ht="15.75" customHeight="1">
      <c r="G21" s="2"/>
    </row>
    <row r="22" spans="2:7" ht="15.75" customHeight="1">
      <c r="G22" s="2"/>
    </row>
    <row r="23" spans="2:7" ht="15.75" customHeight="1" thickBot="1"/>
    <row r="24" spans="2:7" ht="15.75" customHeight="1" thickBot="1">
      <c r="B24" s="484" t="s">
        <v>149</v>
      </c>
      <c r="C24" s="485"/>
      <c r="D24" s="486"/>
    </row>
    <row r="25" spans="2:7" ht="15.75" customHeight="1">
      <c r="B25" s="279" t="s">
        <v>77</v>
      </c>
      <c r="C25" s="376" t="s">
        <v>78</v>
      </c>
      <c r="D25" s="295" t="s">
        <v>79</v>
      </c>
    </row>
    <row r="26" spans="2:7" ht="15.75" customHeight="1">
      <c r="B26" s="366"/>
      <c r="C26" s="377">
        <f>E19</f>
        <v>0.23734599669706899</v>
      </c>
      <c r="D26" s="367">
        <f>E16</f>
        <v>9.961533304976658E-2</v>
      </c>
    </row>
    <row r="27" spans="2:7" ht="15.75" customHeight="1">
      <c r="B27" s="368">
        <v>0</v>
      </c>
      <c r="C27" s="378">
        <f t="dataTable" ref="C27:D47" dt2D="0" dtr="0" r1="E15"/>
        <v>0.29726904542700339</v>
      </c>
      <c r="D27" s="369">
        <v>8.8368885369081787E-2</v>
      </c>
      <c r="F27" s="8"/>
    </row>
    <row r="28" spans="2:7" ht="15.75" customHeight="1">
      <c r="B28" s="370">
        <v>0.05</v>
      </c>
      <c r="C28" s="379">
        <v>0.28414752934849818</v>
      </c>
      <c r="D28" s="371">
        <v>8.9306089342472181E-2</v>
      </c>
    </row>
    <row r="29" spans="2:7" ht="15.75" customHeight="1">
      <c r="B29" s="368">
        <v>0.1</v>
      </c>
      <c r="C29" s="378">
        <v>0.27205231891631992</v>
      </c>
      <c r="D29" s="369">
        <v>9.0243293315862588E-2</v>
      </c>
    </row>
    <row r="30" spans="2:7" ht="15.75" customHeight="1">
      <c r="B30" s="370">
        <v>0.15</v>
      </c>
      <c r="C30" s="379">
        <v>0.26112606677188688</v>
      </c>
      <c r="D30" s="371">
        <v>9.1180497289252982E-2</v>
      </c>
    </row>
    <row r="31" spans="2:7" ht="15.75" customHeight="1">
      <c r="B31" s="368">
        <v>0.2</v>
      </c>
      <c r="C31" s="378">
        <v>0.25152116013346154</v>
      </c>
      <c r="D31" s="369">
        <v>9.2117701262643389E-2</v>
      </c>
    </row>
    <row r="32" spans="2:7" ht="15.75" customHeight="1">
      <c r="B32" s="370">
        <v>0.25</v>
      </c>
      <c r="C32" s="379">
        <v>0.24339407956876513</v>
      </c>
      <c r="D32" s="371">
        <v>9.3054905236033783E-2</v>
      </c>
    </row>
    <row r="33" spans="2:4" ht="15.75" customHeight="1">
      <c r="B33" s="368">
        <v>0.3</v>
      </c>
      <c r="C33" s="378">
        <v>0.23689697058106898</v>
      </c>
      <c r="D33" s="369">
        <v>9.3992109209424177E-2</v>
      </c>
    </row>
    <row r="34" spans="2:4" ht="15.75" customHeight="1">
      <c r="B34" s="370">
        <v>0.35</v>
      </c>
      <c r="C34" s="379">
        <v>0.23216671617388854</v>
      </c>
      <c r="D34" s="371">
        <v>9.4929313182814584E-2</v>
      </c>
    </row>
    <row r="35" spans="2:4" ht="15.75" customHeight="1">
      <c r="B35" s="368">
        <v>0.4</v>
      </c>
      <c r="C35" s="378">
        <v>0.22931268228025131</v>
      </c>
      <c r="D35" s="369">
        <v>9.5866517156204978E-2</v>
      </c>
    </row>
    <row r="36" spans="2:4" ht="15.75" customHeight="1">
      <c r="B36" s="372">
        <v>0.45</v>
      </c>
      <c r="C36" s="380">
        <v>0.22840521258779886</v>
      </c>
      <c r="D36" s="373">
        <v>9.6803721129595385E-2</v>
      </c>
    </row>
    <row r="37" spans="2:4" ht="15.75" customHeight="1">
      <c r="B37" s="368">
        <v>0.5</v>
      </c>
      <c r="C37" s="378">
        <v>0.2294674023627522</v>
      </c>
      <c r="D37" s="369">
        <v>9.7740925102985779E-2</v>
      </c>
    </row>
    <row r="38" spans="2:4" ht="15.75" customHeight="1">
      <c r="B38" s="370">
        <v>0.55000000000000004</v>
      </c>
      <c r="C38" s="379">
        <v>0.23247225443923064</v>
      </c>
      <c r="D38" s="371">
        <v>9.8678129076376186E-2</v>
      </c>
    </row>
    <row r="39" spans="2:4" ht="15.75" customHeight="1">
      <c r="B39" s="368">
        <v>0.6</v>
      </c>
      <c r="C39" s="378">
        <v>0.23734599669706899</v>
      </c>
      <c r="D39" s="369">
        <v>9.961533304976658E-2</v>
      </c>
    </row>
    <row r="40" spans="2:4" ht="15.75" customHeight="1">
      <c r="B40" s="370">
        <v>0.65</v>
      </c>
      <c r="C40" s="379">
        <v>0.24397665449650979</v>
      </c>
      <c r="D40" s="371">
        <v>0.10055253702315697</v>
      </c>
    </row>
    <row r="41" spans="2:4" ht="15.75" customHeight="1">
      <c r="B41" s="368">
        <v>0.7</v>
      </c>
      <c r="C41" s="378">
        <v>0.25222570538628902</v>
      </c>
      <c r="D41" s="369">
        <v>0.10148974099654738</v>
      </c>
    </row>
    <row r="42" spans="2:4" ht="15.75" customHeight="1">
      <c r="B42" s="370">
        <v>0.75</v>
      </c>
      <c r="C42" s="379">
        <v>0.26194029415695164</v>
      </c>
      <c r="D42" s="371">
        <v>0.10242694496993777</v>
      </c>
    </row>
    <row r="43" spans="2:4" ht="15.75" customHeight="1">
      <c r="B43" s="368">
        <v>0.8</v>
      </c>
      <c r="C43" s="378">
        <v>0.27296399336829608</v>
      </c>
      <c r="D43" s="369">
        <v>0.10336414894332818</v>
      </c>
    </row>
    <row r="44" spans="2:4" ht="15.75" customHeight="1">
      <c r="B44" s="370">
        <v>0.85</v>
      </c>
      <c r="C44" s="379">
        <v>0.28514501288856781</v>
      </c>
      <c r="D44" s="371">
        <v>0.10430135291671858</v>
      </c>
    </row>
    <row r="45" spans="2:4" ht="15.75" customHeight="1">
      <c r="B45" s="368">
        <v>0.9</v>
      </c>
      <c r="C45" s="378">
        <v>0.29834162934795644</v>
      </c>
      <c r="D45" s="369">
        <v>0.10523855689010897</v>
      </c>
    </row>
    <row r="46" spans="2:4" ht="15.75" customHeight="1">
      <c r="B46" s="370">
        <v>0.95</v>
      </c>
      <c r="C46" s="379">
        <v>0.31242517497135663</v>
      </c>
      <c r="D46" s="371">
        <v>0.10617576086349938</v>
      </c>
    </row>
    <row r="47" spans="2:4" ht="15.75" customHeight="1" thickBot="1">
      <c r="B47" s="374">
        <v>1</v>
      </c>
      <c r="C47" s="381">
        <v>0.32728117091713321</v>
      </c>
      <c r="D47" s="375">
        <v>0.10711296483688977</v>
      </c>
    </row>
    <row r="48" spans="2:4" ht="15.75" customHeight="1"/>
    <row r="49" spans="2:9" ht="15.75" customHeight="1" thickBot="1"/>
    <row r="50" spans="2:9" ht="15.75" customHeight="1">
      <c r="B50" s="487" t="s">
        <v>80</v>
      </c>
      <c r="C50" s="488"/>
    </row>
    <row r="51" spans="2:9" ht="15.75" customHeight="1">
      <c r="B51" s="279" t="s">
        <v>67</v>
      </c>
      <c r="C51" s="359">
        <f>B38</f>
        <v>0.55000000000000004</v>
      </c>
    </row>
    <row r="52" spans="2:9" ht="15.75" customHeight="1" thickBot="1">
      <c r="B52" s="282" t="s">
        <v>68</v>
      </c>
      <c r="C52" s="360">
        <f>1-C51</f>
        <v>0.44999999999999996</v>
      </c>
    </row>
    <row r="53" spans="2:9" ht="15.75" customHeight="1"/>
    <row r="54" spans="2:9" ht="15.75" customHeight="1" thickBot="1"/>
    <row r="55" spans="2:9" ht="15.75" customHeight="1">
      <c r="B55" s="276"/>
      <c r="C55" s="277" t="s">
        <v>1</v>
      </c>
      <c r="D55" s="277" t="s">
        <v>2</v>
      </c>
      <c r="E55" s="277" t="s">
        <v>3</v>
      </c>
      <c r="F55" s="277" t="s">
        <v>4</v>
      </c>
      <c r="G55" s="277" t="s">
        <v>5</v>
      </c>
      <c r="H55" s="277" t="s">
        <v>6</v>
      </c>
      <c r="I55" s="278" t="s">
        <v>7</v>
      </c>
    </row>
    <row r="56" spans="2:9" ht="15.75" customHeight="1">
      <c r="B56" s="279" t="s">
        <v>67</v>
      </c>
      <c r="C56" s="280">
        <f t="shared" ref="C56:I56" si="0">$C$51*C4</f>
        <v>0.12100000000000001</v>
      </c>
      <c r="D56" s="280">
        <f t="shared" si="0"/>
        <v>6.0500000000000005E-2</v>
      </c>
      <c r="E56" s="280">
        <f t="shared" si="0"/>
        <v>7.7000000000000013E-2</v>
      </c>
      <c r="F56" s="280">
        <f t="shared" si="0"/>
        <v>6.6000000000000003E-2</v>
      </c>
      <c r="G56" s="280">
        <f t="shared" si="0"/>
        <v>4.4000000000000004E-2</v>
      </c>
      <c r="H56" s="280">
        <f t="shared" si="0"/>
        <v>9.9000000000000005E-2</v>
      </c>
      <c r="I56" s="281">
        <f t="shared" si="0"/>
        <v>8.2500000000000004E-2</v>
      </c>
    </row>
    <row r="57" spans="2:9" ht="15.75" customHeight="1" thickBot="1">
      <c r="B57" s="279" t="s">
        <v>68</v>
      </c>
      <c r="C57" s="280">
        <f t="shared" ref="C57:I57" si="1">$C$52*C5</f>
        <v>8.0999999999999989E-2</v>
      </c>
      <c r="D57" s="280">
        <f t="shared" si="1"/>
        <v>6.3E-2</v>
      </c>
      <c r="E57" s="280">
        <f t="shared" si="1"/>
        <v>4.4999999999999998E-2</v>
      </c>
      <c r="F57" s="280">
        <f t="shared" si="1"/>
        <v>7.1999999999999995E-2</v>
      </c>
      <c r="G57" s="280">
        <f t="shared" si="1"/>
        <v>6.3E-2</v>
      </c>
      <c r="H57" s="280">
        <f t="shared" si="1"/>
        <v>6.7499999999999991E-2</v>
      </c>
      <c r="I57" s="281">
        <f t="shared" si="1"/>
        <v>5.8499999999999996E-2</v>
      </c>
    </row>
    <row r="58" spans="2:9" ht="15.75" customHeight="1" thickBot="1">
      <c r="B58" s="282" t="s">
        <v>81</v>
      </c>
      <c r="C58" s="345">
        <f>SUM(C56:C57)</f>
        <v>0.20200000000000001</v>
      </c>
      <c r="D58" s="346">
        <f t="shared" ref="D58:I58" si="2">SUM(D56:D57)</f>
        <v>0.1235</v>
      </c>
      <c r="E58" s="346">
        <f t="shared" si="2"/>
        <v>0.12200000000000001</v>
      </c>
      <c r="F58" s="346">
        <f t="shared" si="2"/>
        <v>0.13800000000000001</v>
      </c>
      <c r="G58" s="346">
        <f t="shared" si="2"/>
        <v>0.10700000000000001</v>
      </c>
      <c r="H58" s="346">
        <f t="shared" si="2"/>
        <v>0.16649999999999998</v>
      </c>
      <c r="I58" s="347">
        <f t="shared" si="2"/>
        <v>0.14100000000000001</v>
      </c>
    </row>
    <row r="59" spans="2:9" ht="15.75" customHeight="1"/>
    <row r="60" spans="2:9" ht="15.75" customHeight="1"/>
    <row r="61" spans="2:9" ht="15.75" customHeight="1"/>
    <row r="62" spans="2:9" ht="15.75" customHeight="1"/>
    <row r="63" spans="2:9" ht="15.75" customHeight="1"/>
    <row r="64" spans="2:9"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B2:I2"/>
    <mergeCell ref="C16:D16"/>
    <mergeCell ref="C17:D17"/>
    <mergeCell ref="B9:C9"/>
    <mergeCell ref="E9:F9"/>
    <mergeCell ref="C14:E14"/>
    <mergeCell ref="C15:D15"/>
    <mergeCell ref="C18:D18"/>
    <mergeCell ref="C19:D19"/>
    <mergeCell ref="C20:D20"/>
    <mergeCell ref="B24:D24"/>
    <mergeCell ref="B50:C50"/>
  </mergeCells>
  <pageMargins left="0.7" right="0.7" top="0.75" bottom="0.75" header="0" footer="0"/>
  <pageSetup orientation="landscape"/>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2:P38"/>
  <sheetViews>
    <sheetView showGridLines="0" zoomScale="85" zoomScaleNormal="85" workbookViewId="0">
      <selection activeCell="I21" sqref="I21"/>
    </sheetView>
  </sheetViews>
  <sheetFormatPr defaultColWidth="12.5703125" defaultRowHeight="15" customHeight="1"/>
  <cols>
    <col min="2" max="2" width="18.42578125" customWidth="1"/>
    <col min="3" max="3" width="20.28515625" customWidth="1"/>
    <col min="4" max="4" width="13.42578125" customWidth="1"/>
    <col min="6" max="6" width="17" bestFit="1" customWidth="1"/>
    <col min="8" max="8" width="15.28515625" bestFit="1" customWidth="1"/>
    <col min="10" max="10" width="19.7109375" bestFit="1" customWidth="1"/>
    <col min="11" max="11" width="14.28515625" customWidth="1"/>
    <col min="12" max="12" width="16.28515625" customWidth="1"/>
    <col min="13" max="13" width="19.7109375" bestFit="1" customWidth="1"/>
    <col min="14" max="14" width="17.85546875" customWidth="1"/>
    <col min="15" max="15" width="18.28515625" customWidth="1"/>
  </cols>
  <sheetData>
    <row r="2" spans="1:16" ht="15" customHeight="1">
      <c r="G2" s="28"/>
    </row>
    <row r="3" spans="1:16" ht="13.5" thickBot="1">
      <c r="A3" s="505"/>
      <c r="B3" s="505"/>
      <c r="C3" s="505"/>
    </row>
    <row r="4" spans="1:16" ht="15" customHeight="1">
      <c r="H4" s="502" t="s">
        <v>65</v>
      </c>
      <c r="I4" s="503"/>
      <c r="J4" s="503"/>
      <c r="K4" s="503"/>
      <c r="L4" s="503"/>
      <c r="M4" s="503"/>
      <c r="N4" s="503"/>
      <c r="O4" s="504"/>
      <c r="P4" s="34"/>
    </row>
    <row r="5" spans="1:16" ht="15" customHeight="1">
      <c r="H5" s="255" t="s">
        <v>66</v>
      </c>
      <c r="I5" s="239" t="s">
        <v>1</v>
      </c>
      <c r="J5" s="239" t="s">
        <v>2</v>
      </c>
      <c r="K5" s="239" t="s">
        <v>3</v>
      </c>
      <c r="L5" s="239" t="s">
        <v>4</v>
      </c>
      <c r="M5" s="239" t="s">
        <v>5</v>
      </c>
      <c r="N5" s="239" t="s">
        <v>6</v>
      </c>
      <c r="O5" s="256" t="s">
        <v>7</v>
      </c>
      <c r="P5" s="34"/>
    </row>
    <row r="6" spans="1:16" ht="15.75" thickBot="1">
      <c r="B6" s="20"/>
      <c r="C6" s="20"/>
      <c r="H6" s="255" t="s">
        <v>67</v>
      </c>
      <c r="I6" s="240">
        <v>0.22</v>
      </c>
      <c r="J6" s="240">
        <v>0.11</v>
      </c>
      <c r="K6" s="240">
        <v>0.14000000000000001</v>
      </c>
      <c r="L6" s="240">
        <v>0.12</v>
      </c>
      <c r="M6" s="240">
        <v>0.08</v>
      </c>
      <c r="N6" s="240">
        <v>0.18</v>
      </c>
      <c r="O6" s="348">
        <v>0.15</v>
      </c>
      <c r="P6" s="34"/>
    </row>
    <row r="7" spans="1:16" ht="15.75" thickBot="1">
      <c r="A7" s="21"/>
      <c r="B7" s="484" t="s">
        <v>82</v>
      </c>
      <c r="C7" s="485"/>
      <c r="D7" s="486"/>
      <c r="H7" s="349" t="s">
        <v>68</v>
      </c>
      <c r="I7" s="350">
        <v>0.18</v>
      </c>
      <c r="J7" s="350">
        <v>0.14000000000000001</v>
      </c>
      <c r="K7" s="350">
        <v>0.1</v>
      </c>
      <c r="L7" s="350">
        <v>0.16</v>
      </c>
      <c r="M7" s="350">
        <v>0.14000000000000001</v>
      </c>
      <c r="N7" s="350">
        <v>0.15</v>
      </c>
      <c r="O7" s="351">
        <v>0.13</v>
      </c>
      <c r="P7" s="34"/>
    </row>
    <row r="8" spans="1:16">
      <c r="A8" s="21"/>
      <c r="B8" s="315" t="s">
        <v>77</v>
      </c>
      <c r="C8" s="318" t="s">
        <v>78</v>
      </c>
      <c r="D8" s="317" t="s">
        <v>79</v>
      </c>
      <c r="H8" s="34"/>
      <c r="I8" s="34"/>
      <c r="J8" s="34"/>
      <c r="K8" s="34"/>
      <c r="L8" s="34"/>
      <c r="M8" s="34"/>
      <c r="N8" s="34"/>
      <c r="O8" s="34"/>
      <c r="P8" s="34"/>
    </row>
    <row r="9" spans="1:16">
      <c r="A9" s="21"/>
      <c r="B9" s="257"/>
      <c r="C9" s="270">
        <f>'Markowitz Model'!C26</f>
        <v>0.23734599669706899</v>
      </c>
      <c r="D9" s="258">
        <f>'Markowitz Model'!D26</f>
        <v>9.961533304976658E-2</v>
      </c>
      <c r="H9" s="34"/>
      <c r="I9" s="34"/>
      <c r="J9" s="506" t="s">
        <v>69</v>
      </c>
      <c r="K9" s="507"/>
      <c r="L9" s="35"/>
      <c r="M9" s="506" t="s">
        <v>70</v>
      </c>
      <c r="N9" s="507"/>
      <c r="O9" s="34"/>
      <c r="P9" s="34"/>
    </row>
    <row r="10" spans="1:16">
      <c r="A10" s="21"/>
      <c r="B10" s="259">
        <f>'Markowitz Model'!B27</f>
        <v>0</v>
      </c>
      <c r="C10" s="271">
        <f>'Markowitz Model'!C27</f>
        <v>0.29726904542700339</v>
      </c>
      <c r="D10" s="260">
        <f>'Markowitz Model'!D27</f>
        <v>8.8368885369081787E-2</v>
      </c>
      <c r="H10" s="34"/>
      <c r="I10" s="34"/>
      <c r="J10" s="237" t="s">
        <v>71</v>
      </c>
      <c r="K10" s="238">
        <v>0.10711296483688977</v>
      </c>
      <c r="L10" s="35"/>
      <c r="M10" s="237" t="s">
        <v>71</v>
      </c>
      <c r="N10" s="238">
        <v>8.8368885369081787E-2</v>
      </c>
      <c r="O10" s="34"/>
      <c r="P10" s="34"/>
    </row>
    <row r="11" spans="1:16">
      <c r="A11" s="21"/>
      <c r="B11" s="263">
        <f>'Markowitz Model'!B28</f>
        <v>0.05</v>
      </c>
      <c r="C11" s="273">
        <f>'Markowitz Model'!C28</f>
        <v>0.28414752934849818</v>
      </c>
      <c r="D11" s="264">
        <f>'Markowitz Model'!D28</f>
        <v>8.9306089342472181E-2</v>
      </c>
      <c r="G11" s="33"/>
      <c r="H11" s="34"/>
      <c r="I11" s="34"/>
      <c r="J11" s="237" t="s">
        <v>72</v>
      </c>
      <c r="K11" s="238">
        <v>7.8848190197751966E-2</v>
      </c>
      <c r="L11" s="34"/>
      <c r="M11" s="237" t="s">
        <v>72</v>
      </c>
      <c r="N11" s="238">
        <v>6.3347593801266852E-2</v>
      </c>
      <c r="O11" s="34"/>
      <c r="P11" s="34"/>
    </row>
    <row r="12" spans="1:16">
      <c r="A12" s="21"/>
      <c r="B12" s="259">
        <f>'Markowitz Model'!B29</f>
        <v>0.1</v>
      </c>
      <c r="C12" s="271">
        <f>'Markowitz Model'!C29</f>
        <v>0.27205231891631992</v>
      </c>
      <c r="D12" s="260">
        <f>'Markowitz Model'!D29</f>
        <v>9.0243293315862588E-2</v>
      </c>
      <c r="H12" s="34"/>
      <c r="I12" s="34"/>
      <c r="J12" s="237" t="s">
        <v>54</v>
      </c>
      <c r="K12" s="238">
        <v>0.28079919906892892</v>
      </c>
      <c r="L12" s="34"/>
      <c r="M12" s="237" t="s">
        <v>54</v>
      </c>
      <c r="N12" s="238">
        <v>0.25168947892446131</v>
      </c>
      <c r="O12" s="34"/>
      <c r="P12" s="34"/>
    </row>
    <row r="13" spans="1:16">
      <c r="A13" s="21"/>
      <c r="B13" s="263">
        <f>'Markowitz Model'!B30</f>
        <v>0.15</v>
      </c>
      <c r="C13" s="273">
        <f>'Markowitz Model'!C30</f>
        <v>0.26112606677188688</v>
      </c>
      <c r="D13" s="264">
        <f>'Markowitz Model'!D30</f>
        <v>9.1180497289252982E-2</v>
      </c>
      <c r="H13" s="34"/>
      <c r="I13" s="34"/>
      <c r="J13" s="34"/>
      <c r="K13" s="34"/>
      <c r="L13" s="34"/>
      <c r="M13" s="34"/>
      <c r="N13" s="34"/>
      <c r="O13" s="34"/>
      <c r="P13" s="34"/>
    </row>
    <row r="14" spans="1:16" ht="15.75" thickBot="1">
      <c r="A14" s="21"/>
      <c r="B14" s="259">
        <f>'Markowitz Model'!B31</f>
        <v>0.2</v>
      </c>
      <c r="C14" s="271">
        <f>'Markowitz Model'!C31</f>
        <v>0.25152116013346154</v>
      </c>
      <c r="D14" s="260">
        <f>'Markowitz Model'!D31</f>
        <v>9.2117701262643389E-2</v>
      </c>
      <c r="H14" s="34"/>
      <c r="I14" s="34"/>
      <c r="J14" s="34"/>
      <c r="K14" s="508" t="s">
        <v>73</v>
      </c>
      <c r="L14" s="508"/>
      <c r="M14" s="508"/>
      <c r="N14" s="34"/>
      <c r="O14" s="34"/>
      <c r="P14" s="34"/>
    </row>
    <row r="15" spans="1:16">
      <c r="A15" s="21"/>
      <c r="B15" s="263">
        <f>'Markowitz Model'!B32</f>
        <v>0.25</v>
      </c>
      <c r="C15" s="273">
        <f>'Markowitz Model'!C32</f>
        <v>0.24339407956876513</v>
      </c>
      <c r="D15" s="264">
        <f>'Markowitz Model'!D32</f>
        <v>9.3054905236033783E-2</v>
      </c>
      <c r="F15" s="285" t="s">
        <v>83</v>
      </c>
      <c r="G15" s="352"/>
      <c r="H15" s="34"/>
      <c r="I15" s="34"/>
      <c r="J15" s="34"/>
      <c r="K15" s="501" t="s">
        <v>74</v>
      </c>
      <c r="L15" s="501"/>
      <c r="M15" s="241">
        <v>0.6</v>
      </c>
      <c r="N15" s="34"/>
      <c r="O15" s="34"/>
      <c r="P15" s="34"/>
    </row>
    <row r="16" spans="1:16">
      <c r="A16" s="21"/>
      <c r="B16" s="259">
        <f>'Markowitz Model'!B33</f>
        <v>0.3</v>
      </c>
      <c r="C16" s="271">
        <f>'Markowitz Model'!C33</f>
        <v>0.23689697058106898</v>
      </c>
      <c r="D16" s="260">
        <f>'Markowitz Model'!D33</f>
        <v>9.3992109209424177E-2</v>
      </c>
      <c r="F16" s="279" t="s">
        <v>67</v>
      </c>
      <c r="G16" s="289">
        <v>0.4</v>
      </c>
      <c r="H16" s="34"/>
      <c r="I16" s="34"/>
      <c r="J16" s="34"/>
      <c r="K16" s="501" t="s">
        <v>71</v>
      </c>
      <c r="L16" s="501"/>
      <c r="M16" s="242">
        <v>9.961533304976658E-2</v>
      </c>
      <c r="N16" s="34"/>
      <c r="O16" s="34"/>
      <c r="P16" s="34"/>
    </row>
    <row r="17" spans="1:16">
      <c r="A17" s="21"/>
      <c r="B17" s="263">
        <f>'Markowitz Model'!B34</f>
        <v>0.35</v>
      </c>
      <c r="C17" s="273">
        <f>'Markowitz Model'!C34</f>
        <v>0.23216671617388854</v>
      </c>
      <c r="D17" s="264">
        <f>'Markowitz Model'!D34</f>
        <v>9.4929313182814584E-2</v>
      </c>
      <c r="F17" s="279" t="s">
        <v>68</v>
      </c>
      <c r="G17" s="289">
        <v>0.6</v>
      </c>
      <c r="H17" s="34"/>
      <c r="I17" s="34"/>
      <c r="J17" s="34"/>
      <c r="K17" s="501" t="s">
        <v>75</v>
      </c>
      <c r="L17" s="501"/>
      <c r="M17" s="242">
        <v>7.5696523912326605E-3</v>
      </c>
      <c r="N17" s="34"/>
      <c r="O17" s="34"/>
      <c r="P17" s="34"/>
    </row>
    <row r="18" spans="1:16" ht="15.75" thickBot="1">
      <c r="A18" s="21"/>
      <c r="B18" s="259">
        <f>'Markowitz Model'!B35</f>
        <v>0.4</v>
      </c>
      <c r="C18" s="271">
        <f>'Markowitz Model'!C35</f>
        <v>0.22931268228025131</v>
      </c>
      <c r="D18" s="260">
        <f>'Markowitz Model'!D35</f>
        <v>9.5866517156204978E-2</v>
      </c>
      <c r="F18" s="282" t="s">
        <v>84</v>
      </c>
      <c r="G18" s="353">
        <v>6.0400000000000002E-2</v>
      </c>
      <c r="H18" s="34"/>
      <c r="I18" s="34"/>
      <c r="J18" s="34"/>
      <c r="K18" s="501" t="s">
        <v>53</v>
      </c>
      <c r="L18" s="501"/>
      <c r="M18" s="242">
        <v>5.6333122148125088E-2</v>
      </c>
      <c r="N18" s="34"/>
      <c r="O18" s="34"/>
      <c r="P18" s="34"/>
    </row>
    <row r="19" spans="1:16" ht="18">
      <c r="A19" s="21"/>
      <c r="B19" s="261">
        <f>'Markowitz Model'!B36</f>
        <v>0.45</v>
      </c>
      <c r="C19" s="272">
        <f>'Markowitz Model'!C36</f>
        <v>0.22840521258779886</v>
      </c>
      <c r="D19" s="262">
        <f>'Markowitz Model'!D36</f>
        <v>9.6803721129595385E-2</v>
      </c>
      <c r="H19" s="34"/>
      <c r="I19" s="34"/>
      <c r="J19" s="34"/>
      <c r="K19" s="501" t="s">
        <v>54</v>
      </c>
      <c r="L19" s="501"/>
      <c r="M19" s="242">
        <v>0.23734599669706899</v>
      </c>
      <c r="N19" s="34"/>
      <c r="O19" s="34"/>
      <c r="P19" s="34"/>
    </row>
    <row r="20" spans="1:16">
      <c r="A20" s="21"/>
      <c r="B20" s="259">
        <f>'Markowitz Model'!B37</f>
        <v>0.5</v>
      </c>
      <c r="C20" s="271">
        <f>'Markowitz Model'!C37</f>
        <v>0.2294674023627522</v>
      </c>
      <c r="D20" s="260">
        <f>'Markowitz Model'!D37</f>
        <v>9.7740925102985779E-2</v>
      </c>
      <c r="H20" s="34"/>
      <c r="I20" s="34"/>
      <c r="J20" s="34"/>
      <c r="K20" s="501" t="s">
        <v>76</v>
      </c>
      <c r="L20" s="501"/>
      <c r="M20" s="241">
        <v>0.10710629837364019</v>
      </c>
      <c r="N20" s="34"/>
      <c r="O20" s="34"/>
      <c r="P20" s="34"/>
    </row>
    <row r="21" spans="1:16" ht="15" customHeight="1">
      <c r="A21" s="21"/>
      <c r="B21" s="263">
        <f>'Markowitz Model'!B38</f>
        <v>0.55000000000000004</v>
      </c>
      <c r="C21" s="273">
        <f>'Markowitz Model'!C38</f>
        <v>0.23247225443923064</v>
      </c>
      <c r="D21" s="264">
        <f>'Markowitz Model'!D38</f>
        <v>9.8678129076376186E-2</v>
      </c>
    </row>
    <row r="22" spans="1:16">
      <c r="A22" s="21"/>
      <c r="B22" s="259">
        <f>'Markowitz Model'!B39</f>
        <v>0.6</v>
      </c>
      <c r="C22" s="271">
        <f>'Markowitz Model'!C39</f>
        <v>0.23734599669706899</v>
      </c>
      <c r="D22" s="260">
        <f>'Markowitz Model'!D39</f>
        <v>9.961533304976658E-2</v>
      </c>
    </row>
    <row r="23" spans="1:16">
      <c r="A23" s="21"/>
      <c r="B23" s="263">
        <f>'Markowitz Model'!B40</f>
        <v>0.65</v>
      </c>
      <c r="C23" s="273">
        <f>'Markowitz Model'!C40</f>
        <v>0.24397665449650979</v>
      </c>
      <c r="D23" s="264">
        <f>'Markowitz Model'!D40</f>
        <v>0.10055253702315697</v>
      </c>
    </row>
    <row r="24" spans="1:16" ht="15.75" thickBot="1">
      <c r="A24" s="21"/>
      <c r="B24" s="259">
        <f>'Markowitz Model'!B41</f>
        <v>0.7</v>
      </c>
      <c r="C24" s="271">
        <f>'Markowitz Model'!C41</f>
        <v>0.25222570538628902</v>
      </c>
      <c r="D24" s="260">
        <f>'Markowitz Model'!D41</f>
        <v>0.10148974099654738</v>
      </c>
    </row>
    <row r="25" spans="1:16" ht="15.75" thickBot="1">
      <c r="A25" s="21"/>
      <c r="B25" s="263">
        <f>'Markowitz Model'!B42</f>
        <v>0.75</v>
      </c>
      <c r="C25" s="273">
        <f>'Markowitz Model'!C42</f>
        <v>0.26194029415695164</v>
      </c>
      <c r="D25" s="264">
        <f>'Markowitz Model'!D42</f>
        <v>0.10242694496993777</v>
      </c>
      <c r="F25" s="497" t="s">
        <v>121</v>
      </c>
      <c r="G25" s="498"/>
      <c r="H25" s="36"/>
    </row>
    <row r="26" spans="1:16" ht="15.75" thickBot="1">
      <c r="A26" s="21"/>
      <c r="B26" s="259">
        <f>'Markowitz Model'!B43</f>
        <v>0.8</v>
      </c>
      <c r="C26" s="271">
        <f>'Markowitz Model'!C43</f>
        <v>0.27296399336829608</v>
      </c>
      <c r="D26" s="260">
        <f>'Markowitz Model'!D43</f>
        <v>0.10336414894332818</v>
      </c>
      <c r="F26" s="355" t="s">
        <v>122</v>
      </c>
      <c r="G26" s="356">
        <f>B19</f>
        <v>0.45</v>
      </c>
      <c r="H26" s="499"/>
      <c r="I26" s="499"/>
      <c r="J26" s="499"/>
      <c r="K26" s="499"/>
      <c r="L26" s="499"/>
      <c r="M26" s="499"/>
      <c r="N26" s="499"/>
      <c r="O26" s="500"/>
    </row>
    <row r="27" spans="1:16" ht="15.75" thickBot="1">
      <c r="B27" s="263">
        <f>'Markowitz Model'!B44</f>
        <v>0.85</v>
      </c>
      <c r="C27" s="273">
        <f>'Markowitz Model'!C44</f>
        <v>0.28514501288856781</v>
      </c>
      <c r="D27" s="264">
        <f>'Markowitz Model'!D44</f>
        <v>0.10430135291671858</v>
      </c>
      <c r="F27" s="357" t="s">
        <v>123</v>
      </c>
      <c r="G27" s="358">
        <f>1-B19</f>
        <v>0.55000000000000004</v>
      </c>
      <c r="H27" s="354"/>
      <c r="I27" s="277" t="s">
        <v>1</v>
      </c>
      <c r="J27" s="277" t="s">
        <v>2</v>
      </c>
      <c r="K27" s="277" t="s">
        <v>3</v>
      </c>
      <c r="L27" s="277" t="s">
        <v>4</v>
      </c>
      <c r="M27" s="277" t="s">
        <v>5</v>
      </c>
      <c r="N27" s="277" t="s">
        <v>6</v>
      </c>
      <c r="O27" s="278" t="s">
        <v>7</v>
      </c>
    </row>
    <row r="28" spans="1:16">
      <c r="B28" s="259">
        <f>'Markowitz Model'!B45</f>
        <v>0.9</v>
      </c>
      <c r="C28" s="271">
        <f>'Markowitz Model'!C45</f>
        <v>0.29834162934795644</v>
      </c>
      <c r="D28" s="260">
        <f>'Markowitz Model'!D45</f>
        <v>0.10523855689010897</v>
      </c>
      <c r="G28" s="36"/>
      <c r="H28" s="279" t="s">
        <v>67</v>
      </c>
      <c r="I28" s="280">
        <f>'Markowitz Model'!C4*$G$26</f>
        <v>9.9000000000000005E-2</v>
      </c>
      <c r="J28" s="280">
        <f>'Markowitz Model'!D4*$G$26</f>
        <v>4.9500000000000002E-2</v>
      </c>
      <c r="K28" s="280">
        <f>'Markowitz Model'!E4*$G$26</f>
        <v>6.3000000000000014E-2</v>
      </c>
      <c r="L28" s="280">
        <f>'Markowitz Model'!F4*$G$26</f>
        <v>5.3999999999999999E-2</v>
      </c>
      <c r="M28" s="280">
        <f>'Markowitz Model'!G4*$G$26</f>
        <v>3.6000000000000004E-2</v>
      </c>
      <c r="N28" s="280">
        <f>'Markowitz Model'!H4*$G$26</f>
        <v>8.1000000000000003E-2</v>
      </c>
      <c r="O28" s="281">
        <f>'Markowitz Model'!I4*$G$26</f>
        <v>6.7500000000000004E-2</v>
      </c>
    </row>
    <row r="29" spans="1:16" ht="15.75" thickBot="1">
      <c r="B29" s="263">
        <f>'Markowitz Model'!B46</f>
        <v>0.95</v>
      </c>
      <c r="C29" s="273">
        <f>'Markowitz Model'!C46</f>
        <v>0.31242517497135663</v>
      </c>
      <c r="D29" s="264">
        <f>'Markowitz Model'!D46</f>
        <v>0.10617576086349938</v>
      </c>
      <c r="G29" s="36"/>
      <c r="H29" s="279" t="s">
        <v>68</v>
      </c>
      <c r="I29" s="280">
        <f>'Markowitz Model'!C5*$G$27</f>
        <v>9.9000000000000005E-2</v>
      </c>
      <c r="J29" s="280">
        <f>'Markowitz Model'!D5*$G$27</f>
        <v>7.7000000000000013E-2</v>
      </c>
      <c r="K29" s="280">
        <f>'Markowitz Model'!E5*$G$27</f>
        <v>5.5000000000000007E-2</v>
      </c>
      <c r="L29" s="280">
        <f>'Markowitz Model'!F5*$G$27</f>
        <v>8.8000000000000009E-2</v>
      </c>
      <c r="M29" s="280">
        <f>'Markowitz Model'!G5*$G$27</f>
        <v>7.7000000000000013E-2</v>
      </c>
      <c r="N29" s="280">
        <f>'Markowitz Model'!H5*$G$27</f>
        <v>8.2500000000000004E-2</v>
      </c>
      <c r="O29" s="281">
        <f>'Markowitz Model'!I5*$G$27</f>
        <v>7.1500000000000008E-2</v>
      </c>
    </row>
    <row r="30" spans="1:16" ht="16.5" thickBot="1">
      <c r="B30" s="266">
        <f>'Markowitz Model'!B47</f>
        <v>1</v>
      </c>
      <c r="C30" s="275">
        <f>'Markowitz Model'!C47</f>
        <v>0.32728117091713321</v>
      </c>
      <c r="D30" s="267">
        <f>'Markowitz Model'!D47</f>
        <v>0.10711296483688977</v>
      </c>
      <c r="G30" s="36"/>
      <c r="H30" s="282" t="s">
        <v>85</v>
      </c>
      <c r="I30" s="345">
        <f t="shared" ref="I30:O30" si="0">SUM(I28:I29)</f>
        <v>0.19800000000000001</v>
      </c>
      <c r="J30" s="346">
        <f t="shared" si="0"/>
        <v>0.1265</v>
      </c>
      <c r="K30" s="346">
        <f t="shared" si="0"/>
        <v>0.11800000000000002</v>
      </c>
      <c r="L30" s="346">
        <f t="shared" si="0"/>
        <v>0.14200000000000002</v>
      </c>
      <c r="M30" s="346">
        <f t="shared" si="0"/>
        <v>0.11300000000000002</v>
      </c>
      <c r="N30" s="346">
        <f t="shared" si="0"/>
        <v>0.16350000000000001</v>
      </c>
      <c r="O30" s="347">
        <f t="shared" si="0"/>
        <v>0.13900000000000001</v>
      </c>
    </row>
    <row r="31" spans="1:16" ht="12.75">
      <c r="B31" s="20"/>
    </row>
    <row r="32" spans="1:16" ht="12.75">
      <c r="B32" s="20"/>
      <c r="C32" s="20"/>
      <c r="D32" s="20"/>
    </row>
    <row r="33" spans="2:2" ht="12.75">
      <c r="B33" s="20"/>
    </row>
    <row r="34" spans="2:2" ht="12.75"/>
    <row r="35" spans="2:2" ht="12.75"/>
    <row r="36" spans="2:2" ht="12.75"/>
    <row r="37" spans="2:2" ht="12.75"/>
    <row r="38" spans="2:2" ht="12.75"/>
  </sheetData>
  <mergeCells count="14">
    <mergeCell ref="H4:O4"/>
    <mergeCell ref="A3:C3"/>
    <mergeCell ref="J9:K9"/>
    <mergeCell ref="M9:N9"/>
    <mergeCell ref="K14:M14"/>
    <mergeCell ref="F25:G25"/>
    <mergeCell ref="B7:D7"/>
    <mergeCell ref="H26:O26"/>
    <mergeCell ref="K17:L17"/>
    <mergeCell ref="K18:L18"/>
    <mergeCell ref="K19:L19"/>
    <mergeCell ref="K20:L20"/>
    <mergeCell ref="K16:L16"/>
    <mergeCell ref="K15:L15"/>
  </mergeCells>
  <pageMargins left="0.7" right="0.7" top="0.75" bottom="0.75" header="0" footer="0"/>
  <pageSetup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44"/>
  <sheetViews>
    <sheetView showGridLines="0" zoomScale="70" zoomScaleNormal="70" workbookViewId="0">
      <selection activeCell="D2" sqref="D2"/>
    </sheetView>
  </sheetViews>
  <sheetFormatPr defaultColWidth="12.5703125" defaultRowHeight="15" customHeight="1"/>
  <cols>
    <col min="1" max="1" width="22.85546875" bestFit="1" customWidth="1"/>
    <col min="2" max="2" width="16.140625" bestFit="1" customWidth="1"/>
    <col min="3" max="3" width="15" bestFit="1" customWidth="1"/>
    <col min="4" max="4" width="18" bestFit="1" customWidth="1"/>
    <col min="6" max="6" width="31.42578125" bestFit="1" customWidth="1"/>
    <col min="7" max="7" width="14.85546875" bestFit="1" customWidth="1"/>
  </cols>
  <sheetData>
    <row r="1" spans="1:10" ht="12.75">
      <c r="A1" s="285" t="s">
        <v>86</v>
      </c>
      <c r="B1" s="286">
        <f>'Capm-Adjusted (CML)'!G18</f>
        <v>6.0400000000000002E-2</v>
      </c>
    </row>
    <row r="2" spans="1:10" ht="13.5" thickBot="1">
      <c r="A2" s="282" t="s">
        <v>87</v>
      </c>
      <c r="B2" s="287">
        <v>0.1232</v>
      </c>
    </row>
    <row r="4" spans="1:10" ht="15" customHeight="1" thickBot="1"/>
    <row r="5" spans="1:10" ht="13.5" thickBot="1">
      <c r="C5" s="309" t="s">
        <v>66</v>
      </c>
      <c r="D5" s="310" t="s">
        <v>1</v>
      </c>
      <c r="E5" s="310" t="s">
        <v>2</v>
      </c>
      <c r="F5" s="310" t="s">
        <v>3</v>
      </c>
      <c r="G5" s="310" t="s">
        <v>4</v>
      </c>
      <c r="H5" s="310" t="s">
        <v>5</v>
      </c>
      <c r="I5" s="310" t="s">
        <v>6</v>
      </c>
      <c r="J5" s="311" t="s">
        <v>7</v>
      </c>
    </row>
    <row r="6" spans="1:10" ht="13.5" thickBot="1">
      <c r="C6" s="299" t="s">
        <v>67</v>
      </c>
      <c r="D6" s="280">
        <v>0.22</v>
      </c>
      <c r="E6" s="280">
        <v>0.11</v>
      </c>
      <c r="F6" s="280">
        <v>0.14000000000000001</v>
      </c>
      <c r="G6" s="280">
        <v>0.12</v>
      </c>
      <c r="H6" s="280">
        <v>0.08</v>
      </c>
      <c r="I6" s="280">
        <v>0.18</v>
      </c>
      <c r="J6" s="281">
        <v>0.15</v>
      </c>
    </row>
    <row r="7" spans="1:10" ht="13.5" thickBot="1">
      <c r="A7" s="2"/>
      <c r="B7" s="22"/>
      <c r="C7" s="299" t="s">
        <v>68</v>
      </c>
      <c r="D7" s="312">
        <v>0.18</v>
      </c>
      <c r="E7" s="313">
        <v>0.14000000000000001</v>
      </c>
      <c r="F7" s="313">
        <v>0.1</v>
      </c>
      <c r="G7" s="313">
        <v>0.16</v>
      </c>
      <c r="H7" s="313">
        <v>0.14000000000000001</v>
      </c>
      <c r="I7" s="313">
        <v>0.15</v>
      </c>
      <c r="J7" s="314">
        <v>0.13</v>
      </c>
    </row>
    <row r="8" spans="1:10" ht="12.75">
      <c r="A8" s="20"/>
      <c r="C8" s="19"/>
      <c r="D8" s="24"/>
      <c r="E8" s="25"/>
      <c r="F8" s="24"/>
      <c r="G8" s="24"/>
      <c r="H8" s="24"/>
      <c r="I8" s="24"/>
    </row>
    <row r="9" spans="1:10" ht="15" customHeight="1" thickBot="1"/>
    <row r="10" spans="1:10" ht="13.5" thickBot="1">
      <c r="A10" s="22"/>
      <c r="B10" s="509" t="s">
        <v>82</v>
      </c>
      <c r="C10" s="510"/>
      <c r="D10" s="511"/>
    </row>
    <row r="11" spans="1:10" ht="16.5" thickBot="1">
      <c r="A11" s="22"/>
      <c r="B11" s="315" t="str">
        <f>'Markowitz Model'!B25</f>
        <v>proportion of A</v>
      </c>
      <c r="C11" s="318" t="s">
        <v>88</v>
      </c>
      <c r="D11" s="317" t="s">
        <v>79</v>
      </c>
      <c r="F11" s="518" t="s">
        <v>89</v>
      </c>
      <c r="G11" s="519"/>
    </row>
    <row r="12" spans="1:10">
      <c r="B12" s="257"/>
      <c r="C12" s="270">
        <f>G15</f>
        <v>0.71435000000000004</v>
      </c>
      <c r="D12" s="258">
        <f>G13</f>
        <v>0.10528818400000001</v>
      </c>
      <c r="F12" s="288" t="s">
        <v>90</v>
      </c>
      <c r="G12" s="319">
        <v>0.6</v>
      </c>
    </row>
    <row r="13" spans="1:10" ht="15" customHeight="1">
      <c r="A13" s="22"/>
      <c r="B13" s="259">
        <v>0</v>
      </c>
      <c r="C13" s="271">
        <f t="dataTable" ref="C13:D33" dt2D="0" dtr="0" r1="G12"/>
        <v>0.71435000000000004</v>
      </c>
      <c r="D13" s="260">
        <v>0.10512616</v>
      </c>
      <c r="F13" s="288" t="s">
        <v>71</v>
      </c>
      <c r="G13" s="320">
        <f>G12*G20+(1-G12)*H20</f>
        <v>0.10528818400000001</v>
      </c>
    </row>
    <row r="14" spans="1:10">
      <c r="A14" s="22"/>
      <c r="B14" s="263">
        <v>0.05</v>
      </c>
      <c r="C14" s="273">
        <v>0.71435000000000004</v>
      </c>
      <c r="D14" s="264">
        <v>0.10513966199999999</v>
      </c>
      <c r="F14" s="288" t="s">
        <v>53</v>
      </c>
      <c r="G14" s="321">
        <f>(G12^2*G21)+((1-G12)^2*H21+2*G12*(1-G12)*G22)</f>
        <v>7.9776467503067626E-3</v>
      </c>
    </row>
    <row r="15" spans="1:10" ht="15.75" thickBot="1">
      <c r="A15" s="22"/>
      <c r="B15" s="259">
        <v>0.1</v>
      </c>
      <c r="C15" s="271">
        <v>0.71435000000000004</v>
      </c>
      <c r="D15" s="260">
        <v>0.10515316399999999</v>
      </c>
      <c r="F15" s="292" t="s">
        <v>147</v>
      </c>
      <c r="G15" s="322">
        <f>AVERAGE(G24:H24)</f>
        <v>0.71435000000000004</v>
      </c>
    </row>
    <row r="16" spans="1:10">
      <c r="A16" s="22"/>
      <c r="B16" s="263">
        <f>'Markowitz Model'!B30</f>
        <v>0.15</v>
      </c>
      <c r="C16" s="273">
        <v>0.71435000000000004</v>
      </c>
      <c r="D16" s="264">
        <v>0.10516666599999999</v>
      </c>
      <c r="F16" s="2"/>
      <c r="J16" s="26"/>
    </row>
    <row r="17" spans="1:11" ht="15.75" thickBot="1">
      <c r="A17" s="22"/>
      <c r="B17" s="259">
        <f>'Markowitz Model'!B31</f>
        <v>0.2</v>
      </c>
      <c r="C17" s="271">
        <v>0.71435000000000004</v>
      </c>
      <c r="D17" s="260">
        <v>0.105180168</v>
      </c>
    </row>
    <row r="18" spans="1:11" ht="15.75">
      <c r="A18" s="22"/>
      <c r="B18" s="263">
        <f>'Markowitz Model'!B32</f>
        <v>0.25</v>
      </c>
      <c r="C18" s="273">
        <v>0.71435000000000004</v>
      </c>
      <c r="D18" s="264">
        <v>0.10519367</v>
      </c>
      <c r="F18" s="512" t="s">
        <v>91</v>
      </c>
      <c r="G18" s="513"/>
      <c r="H18" s="514"/>
    </row>
    <row r="19" spans="1:11">
      <c r="A19" s="22"/>
      <c r="B19" s="259">
        <f>'Markowitz Model'!B33</f>
        <v>0.3</v>
      </c>
      <c r="C19" s="271">
        <v>0.71435000000000004</v>
      </c>
      <c r="D19" s="260">
        <v>0.10520717199999999</v>
      </c>
      <c r="F19" s="294"/>
      <c r="G19" s="244" t="s">
        <v>67</v>
      </c>
      <c r="H19" s="295" t="s">
        <v>68</v>
      </c>
    </row>
    <row r="20" spans="1:11">
      <c r="A20" s="22"/>
      <c r="B20" s="263">
        <f>'Markowitz Model'!B34</f>
        <v>0.35</v>
      </c>
      <c r="C20" s="273">
        <v>0.71435000000000004</v>
      </c>
      <c r="D20" s="264">
        <v>0.105220674</v>
      </c>
      <c r="F20" s="323" t="s">
        <v>71</v>
      </c>
      <c r="G20" s="243">
        <f t="array" ref="G20">MMULT(D6:J6,H27:H33)</f>
        <v>0.10539620000000001</v>
      </c>
      <c r="H20" s="324">
        <f t="array" ref="H20">MMULT(D7:J7,H27:H33)</f>
        <v>0.10512616</v>
      </c>
    </row>
    <row r="21" spans="1:11" ht="15" customHeight="1">
      <c r="A21" s="23"/>
      <c r="B21" s="259">
        <f>'Markowitz Model'!B35</f>
        <v>0.4</v>
      </c>
      <c r="C21" s="271">
        <v>0.71435000000000004</v>
      </c>
      <c r="D21" s="260">
        <v>0.10523417600000001</v>
      </c>
      <c r="F21" s="325" t="s">
        <v>53</v>
      </c>
      <c r="G21" s="245">
        <f t="array" ref="G21">MMULT(MMULT(D6:J6,'Variance-Covariance Matrix '!C3:I9),TRANSPOSE(D6:J6))</f>
        <v>9.2349444115380815E-3</v>
      </c>
      <c r="H21" s="326">
        <f t="array" ref="H21">MMULT(MMULT(D7:J7,'Variance-Covariance Matrix '!C3:I9),TRANSPOSE(D7:J7))</f>
        <v>6.3727100897586009E-3</v>
      </c>
    </row>
    <row r="22" spans="1:11" ht="15" customHeight="1">
      <c r="A22" s="22"/>
      <c r="B22" s="261">
        <f>'Markowitz Model'!B36</f>
        <v>0.45</v>
      </c>
      <c r="C22" s="272">
        <v>0.71435000000000004</v>
      </c>
      <c r="D22" s="262">
        <v>0.10524767800000001</v>
      </c>
      <c r="F22" s="327" t="s">
        <v>92</v>
      </c>
      <c r="G22" s="515">
        <f t="array" ref="G22">MMULT(MMULT(D6:J6,'Variance-Covariance Matrix '!C3:I9),TRANSPOSE(D7:J7))</f>
        <v>7.5696523912326605E-3</v>
      </c>
      <c r="H22" s="516"/>
    </row>
    <row r="23" spans="1:11" ht="15" customHeight="1">
      <c r="A23" s="22"/>
      <c r="B23" s="259">
        <f>'Markowitz Model'!B37</f>
        <v>0.5</v>
      </c>
      <c r="C23" s="271">
        <v>0.71435000000000004</v>
      </c>
      <c r="D23" s="260">
        <v>0.10526118000000001</v>
      </c>
      <c r="F23" s="328" t="s">
        <v>76</v>
      </c>
      <c r="G23" s="517">
        <f>G22/SQRT(G21*H21)</f>
        <v>0.98672632022722895</v>
      </c>
      <c r="H23" s="516"/>
      <c r="K23" s="26"/>
    </row>
    <row r="24" spans="1:11" ht="15" customHeight="1" thickBot="1">
      <c r="A24" s="22"/>
      <c r="B24" s="263">
        <f>'Markowitz Model'!B38</f>
        <v>0.55000000000000004</v>
      </c>
      <c r="C24" s="273">
        <v>0.71435000000000004</v>
      </c>
      <c r="D24" s="264">
        <v>0.10527468200000001</v>
      </c>
      <c r="F24" s="329" t="s">
        <v>93</v>
      </c>
      <c r="G24" s="330">
        <f>(D6*G27)+(E6*G28)+(F6*G29)+(G6*G30)+(H6*G31)+(I6*G32)+(J6*G33)</f>
        <v>0.71650000000000003</v>
      </c>
      <c r="H24" s="331">
        <f>(D7*G27)+(E7*G28)+(F7*G29)+(G7*G30)+(H7*G31)+(I7*G32)+(J7*G33)</f>
        <v>0.71219999999999994</v>
      </c>
    </row>
    <row r="25" spans="1:11" ht="15.75" thickBot="1">
      <c r="A25" s="22"/>
      <c r="B25" s="259">
        <f>'Markowitz Model'!B39</f>
        <v>0.6</v>
      </c>
      <c r="C25" s="271">
        <v>0.71435000000000004</v>
      </c>
      <c r="D25" s="260">
        <v>0.10528818400000001</v>
      </c>
    </row>
    <row r="26" spans="1:11">
      <c r="A26" s="22"/>
      <c r="B26" s="263">
        <f>'Markowitz Model'!B40</f>
        <v>0.65</v>
      </c>
      <c r="C26" s="273">
        <v>0.71435000000000004</v>
      </c>
      <c r="D26" s="264">
        <v>0.10530168600000001</v>
      </c>
      <c r="F26" s="332" t="s">
        <v>94</v>
      </c>
      <c r="G26" s="333" t="s">
        <v>95</v>
      </c>
      <c r="H26" s="334" t="s">
        <v>96</v>
      </c>
      <c r="I26" s="36"/>
    </row>
    <row r="27" spans="1:11">
      <c r="A27" s="22"/>
      <c r="B27" s="259">
        <f>'Markowitz Model'!B41</f>
        <v>0.7</v>
      </c>
      <c r="C27" s="271">
        <v>0.71435000000000004</v>
      </c>
      <c r="D27" s="260">
        <v>0.105315188</v>
      </c>
      <c r="F27" s="335" t="s">
        <v>1</v>
      </c>
      <c r="G27" s="247">
        <v>0.47</v>
      </c>
      <c r="H27" s="336">
        <f t="shared" ref="H27:H33" si="0">$B$1+G27*($B$2-$B$1)</f>
        <v>8.9915999999999996E-2</v>
      </c>
      <c r="I27" s="36"/>
    </row>
    <row r="28" spans="1:11">
      <c r="A28" s="22"/>
      <c r="B28" s="263">
        <f>'Markowitz Model'!B42</f>
        <v>0.75</v>
      </c>
      <c r="C28" s="273">
        <v>0.71435000000000004</v>
      </c>
      <c r="D28" s="264">
        <v>0.10532869</v>
      </c>
      <c r="F28" s="337" t="s">
        <v>97</v>
      </c>
      <c r="G28" s="249">
        <v>0.79</v>
      </c>
      <c r="H28" s="338">
        <f t="shared" si="0"/>
        <v>0.110012</v>
      </c>
      <c r="I28" s="36"/>
    </row>
    <row r="29" spans="1:11">
      <c r="A29" s="22"/>
      <c r="B29" s="259">
        <f>'Markowitz Model'!B43</f>
        <v>0.8</v>
      </c>
      <c r="C29" s="271">
        <v>0.71435000000000004</v>
      </c>
      <c r="D29" s="260">
        <v>0.105342192</v>
      </c>
      <c r="F29" s="339" t="s">
        <v>98</v>
      </c>
      <c r="G29" s="248">
        <v>1.47</v>
      </c>
      <c r="H29" s="340">
        <f t="shared" si="0"/>
        <v>0.15271599999999999</v>
      </c>
      <c r="I29" s="36"/>
    </row>
    <row r="30" spans="1:11">
      <c r="A30" s="22"/>
      <c r="B30" s="263">
        <f>'Markowitz Model'!B44</f>
        <v>0.85</v>
      </c>
      <c r="C30" s="273">
        <v>0.71435000000000004</v>
      </c>
      <c r="D30" s="264">
        <v>0.10535569400000001</v>
      </c>
      <c r="F30" s="341" t="s">
        <v>99</v>
      </c>
      <c r="G30" s="246">
        <v>0.49</v>
      </c>
      <c r="H30" s="338">
        <f t="shared" si="0"/>
        <v>9.1172000000000003E-2</v>
      </c>
      <c r="I30" s="36"/>
    </row>
    <row r="31" spans="1:11">
      <c r="B31" s="259">
        <f>'Markowitz Model'!B45</f>
        <v>0.9</v>
      </c>
      <c r="C31" s="271">
        <v>0.71435000000000004</v>
      </c>
      <c r="D31" s="260">
        <v>0.10536919600000001</v>
      </c>
      <c r="F31" s="341" t="s">
        <v>5</v>
      </c>
      <c r="G31" s="250">
        <v>0.93</v>
      </c>
      <c r="H31" s="340">
        <f t="shared" si="0"/>
        <v>0.11880399999999999</v>
      </c>
      <c r="I31" s="36"/>
    </row>
    <row r="32" spans="1:11">
      <c r="B32" s="263">
        <f>'Markowitz Model'!B46</f>
        <v>0.95</v>
      </c>
      <c r="C32" s="273">
        <v>0.71435000000000004</v>
      </c>
      <c r="D32" s="264">
        <v>0.10538269800000001</v>
      </c>
      <c r="F32" s="279" t="s">
        <v>100</v>
      </c>
      <c r="G32" s="250">
        <v>0.14000000000000001</v>
      </c>
      <c r="H32" s="336">
        <f t="shared" si="0"/>
        <v>6.9192000000000004E-2</v>
      </c>
      <c r="I32" s="36"/>
    </row>
    <row r="33" spans="2:12" ht="15.75" thickBot="1">
      <c r="B33" s="266">
        <f>'Markowitz Model'!B47</f>
        <v>1</v>
      </c>
      <c r="C33" s="275">
        <v>0.71435000000000004</v>
      </c>
      <c r="D33" s="267">
        <v>0.10539620000000001</v>
      </c>
      <c r="F33" s="342" t="s">
        <v>101</v>
      </c>
      <c r="G33" s="343">
        <v>1.08</v>
      </c>
      <c r="H33" s="344">
        <f t="shared" si="0"/>
        <v>0.128224</v>
      </c>
      <c r="I33" s="36"/>
    </row>
    <row r="34" spans="2:12" ht="12.75">
      <c r="C34" s="20"/>
      <c r="D34" s="20"/>
    </row>
    <row r="38" spans="2:12" ht="15" customHeight="1" thickBot="1">
      <c r="C38" s="69" t="s">
        <v>154</v>
      </c>
    </row>
    <row r="39" spans="2:12" ht="15" customHeight="1">
      <c r="C39" s="251" t="s">
        <v>67</v>
      </c>
      <c r="D39" s="253">
        <f>B22</f>
        <v>0.45</v>
      </c>
    </row>
    <row r="40" spans="2:12" ht="15" customHeight="1" thickBot="1">
      <c r="C40" s="252" t="s">
        <v>68</v>
      </c>
      <c r="D40" s="254">
        <f>1-D39</f>
        <v>0.55000000000000004</v>
      </c>
    </row>
    <row r="41" spans="2:12" ht="15" customHeight="1">
      <c r="E41" s="69"/>
      <c r="F41" s="70" t="s">
        <v>1</v>
      </c>
      <c r="G41" s="70" t="s">
        <v>2</v>
      </c>
      <c r="H41" s="70" t="s">
        <v>3</v>
      </c>
      <c r="I41" s="70" t="s">
        <v>4</v>
      </c>
      <c r="J41" s="70" t="s">
        <v>5</v>
      </c>
      <c r="K41" s="70" t="s">
        <v>6</v>
      </c>
      <c r="L41" s="70" t="s">
        <v>7</v>
      </c>
    </row>
    <row r="42" spans="2:12" ht="15" customHeight="1">
      <c r="E42" s="70" t="s">
        <v>67</v>
      </c>
      <c r="F42" s="236">
        <f>$D$39*D6</f>
        <v>9.9000000000000005E-2</v>
      </c>
      <c r="G42" s="236">
        <f t="shared" ref="G42:L42" si="1">$D$39*E6</f>
        <v>4.9500000000000002E-2</v>
      </c>
      <c r="H42" s="236">
        <f t="shared" si="1"/>
        <v>6.3000000000000014E-2</v>
      </c>
      <c r="I42" s="236">
        <f t="shared" si="1"/>
        <v>5.3999999999999999E-2</v>
      </c>
      <c r="J42" s="236">
        <f t="shared" si="1"/>
        <v>3.6000000000000004E-2</v>
      </c>
      <c r="K42" s="236">
        <f t="shared" si="1"/>
        <v>8.1000000000000003E-2</v>
      </c>
      <c r="L42" s="236">
        <f t="shared" si="1"/>
        <v>6.7500000000000004E-2</v>
      </c>
    </row>
    <row r="43" spans="2:12" ht="15" customHeight="1">
      <c r="E43" s="70" t="s">
        <v>68</v>
      </c>
      <c r="F43" s="236">
        <f>$D$40*D7</f>
        <v>9.9000000000000005E-2</v>
      </c>
      <c r="G43" s="236">
        <f t="shared" ref="G43:L43" si="2">$D$40*E7</f>
        <v>7.7000000000000013E-2</v>
      </c>
      <c r="H43" s="236">
        <f t="shared" si="2"/>
        <v>5.5000000000000007E-2</v>
      </c>
      <c r="I43" s="236">
        <f t="shared" si="2"/>
        <v>8.8000000000000009E-2</v>
      </c>
      <c r="J43" s="236">
        <f t="shared" si="2"/>
        <v>7.7000000000000013E-2</v>
      </c>
      <c r="K43" s="236">
        <f t="shared" si="2"/>
        <v>8.2500000000000004E-2</v>
      </c>
      <c r="L43" s="236">
        <f t="shared" si="2"/>
        <v>7.1500000000000008E-2</v>
      </c>
    </row>
    <row r="44" spans="2:12" ht="15" customHeight="1">
      <c r="E44" s="70" t="s">
        <v>85</v>
      </c>
      <c r="F44" s="235">
        <f>SUM(F42:F43)</f>
        <v>0.19800000000000001</v>
      </c>
      <c r="G44" s="235">
        <f t="shared" ref="G44:L44" si="3">SUM(G42:G43)</f>
        <v>0.1265</v>
      </c>
      <c r="H44" s="235">
        <f t="shared" si="3"/>
        <v>0.11800000000000002</v>
      </c>
      <c r="I44" s="235">
        <f t="shared" si="3"/>
        <v>0.14200000000000002</v>
      </c>
      <c r="J44" s="235">
        <f t="shared" si="3"/>
        <v>0.11300000000000002</v>
      </c>
      <c r="K44" s="235">
        <f t="shared" si="3"/>
        <v>0.16350000000000001</v>
      </c>
      <c r="L44" s="235">
        <f t="shared" si="3"/>
        <v>0.13900000000000001</v>
      </c>
    </row>
  </sheetData>
  <mergeCells count="5">
    <mergeCell ref="B10:D10"/>
    <mergeCell ref="F18:H18"/>
    <mergeCell ref="G22:H22"/>
    <mergeCell ref="G23:H23"/>
    <mergeCell ref="F11:G11"/>
  </mergeCells>
  <pageMargins left="0.7" right="0.7" top="0.75" bottom="0.75" header="0" footer="0"/>
  <pageSetup orientation="landscape"/>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45"/>
  <sheetViews>
    <sheetView showGridLines="0" zoomScale="80" zoomScaleNormal="80" workbookViewId="0">
      <selection activeCell="E4" sqref="E4"/>
    </sheetView>
  </sheetViews>
  <sheetFormatPr defaultColWidth="12.5703125" defaultRowHeight="15" customHeight="1"/>
  <cols>
    <col min="1" max="1" width="20.28515625" customWidth="1"/>
    <col min="2" max="2" width="16.140625" bestFit="1" customWidth="1"/>
    <col min="3" max="3" width="27.85546875" bestFit="1" customWidth="1"/>
    <col min="4" max="4" width="18" bestFit="1" customWidth="1"/>
    <col min="6" max="6" width="20.7109375" customWidth="1"/>
    <col min="8" max="8" width="14.140625" customWidth="1"/>
  </cols>
  <sheetData>
    <row r="1" spans="1:11" ht="12.75">
      <c r="A1" s="285" t="s">
        <v>86</v>
      </c>
      <c r="B1" s="286">
        <f>'Capm-Adjusted (CML)'!G18</f>
        <v>6.0400000000000002E-2</v>
      </c>
    </row>
    <row r="2" spans="1:11" ht="13.5" thickBot="1">
      <c r="A2" s="282" t="s">
        <v>87</v>
      </c>
      <c r="B2" s="287">
        <f>'Weighted Stats &amp; Excess Returns'!J4</f>
        <v>0.12324327296288312</v>
      </c>
    </row>
    <row r="4" spans="1:11" ht="15" customHeight="1" thickBot="1"/>
    <row r="5" spans="1:11" ht="12.75">
      <c r="C5" s="276" t="s">
        <v>66</v>
      </c>
      <c r="D5" s="277" t="s">
        <v>1</v>
      </c>
      <c r="E5" s="277" t="s">
        <v>2</v>
      </c>
      <c r="F5" s="277" t="s">
        <v>3</v>
      </c>
      <c r="G5" s="277" t="s">
        <v>4</v>
      </c>
      <c r="H5" s="277" t="s">
        <v>5</v>
      </c>
      <c r="I5" s="277" t="s">
        <v>6</v>
      </c>
      <c r="J5" s="278" t="s">
        <v>7</v>
      </c>
    </row>
    <row r="6" spans="1:11" ht="12.75">
      <c r="C6" s="279" t="s">
        <v>67</v>
      </c>
      <c r="D6" s="280">
        <v>0.25</v>
      </c>
      <c r="E6" s="280">
        <v>0.08</v>
      </c>
      <c r="F6" s="280">
        <v>0.15</v>
      </c>
      <c r="G6" s="280">
        <v>0.12</v>
      </c>
      <c r="H6" s="280">
        <v>0.1</v>
      </c>
      <c r="I6" s="280">
        <v>0.15</v>
      </c>
      <c r="J6" s="281">
        <v>0.15</v>
      </c>
      <c r="K6" s="29">
        <f>SUM(D6:J6)</f>
        <v>1</v>
      </c>
    </row>
    <row r="7" spans="1:11" ht="13.5" thickBot="1">
      <c r="A7" s="2"/>
      <c r="B7" s="22"/>
      <c r="C7" s="282" t="s">
        <v>68</v>
      </c>
      <c r="D7" s="283">
        <v>0.19</v>
      </c>
      <c r="E7" s="283">
        <v>0.15</v>
      </c>
      <c r="F7" s="283">
        <v>0.1</v>
      </c>
      <c r="G7" s="283">
        <v>0.16</v>
      </c>
      <c r="H7" s="283">
        <v>0.14000000000000001</v>
      </c>
      <c r="I7" s="283">
        <v>0.15</v>
      </c>
      <c r="J7" s="284">
        <v>0.11</v>
      </c>
      <c r="K7" s="29">
        <f>SUM(D7:J7)</f>
        <v>1</v>
      </c>
    </row>
    <row r="8" spans="1:11" ht="12.75">
      <c r="A8" s="20"/>
      <c r="C8" s="19"/>
      <c r="D8" s="24"/>
      <c r="E8" s="25"/>
      <c r="F8" s="24"/>
      <c r="G8" s="24"/>
      <c r="H8" s="24"/>
      <c r="I8" s="24"/>
    </row>
    <row r="9" spans="1:11" ht="15" customHeight="1" thickBot="1"/>
    <row r="10" spans="1:11" ht="13.5" thickBot="1">
      <c r="A10" s="22"/>
      <c r="B10" s="509" t="s">
        <v>148</v>
      </c>
      <c r="C10" s="510"/>
      <c r="D10" s="511"/>
    </row>
    <row r="11" spans="1:11" ht="16.5" thickBot="1">
      <c r="A11" s="22"/>
      <c r="B11" s="269" t="str">
        <f>'Markowitz Model'!B25</f>
        <v>proportion of A</v>
      </c>
      <c r="C11" s="268" t="s">
        <v>78</v>
      </c>
      <c r="D11" s="268" t="s">
        <v>79</v>
      </c>
      <c r="F11" s="520" t="s">
        <v>89</v>
      </c>
      <c r="G11" s="529"/>
      <c r="H11" s="36"/>
    </row>
    <row r="12" spans="1:11">
      <c r="B12" s="257"/>
      <c r="C12" s="270">
        <f>G15</f>
        <v>8.893857784588656E-2</v>
      </c>
      <c r="D12" s="270">
        <f>G13</f>
        <v>0.10582814515940896</v>
      </c>
      <c r="F12" s="288" t="s">
        <v>90</v>
      </c>
      <c r="G12" s="289">
        <v>0.6</v>
      </c>
    </row>
    <row r="13" spans="1:11" ht="15" customHeight="1">
      <c r="A13" s="22"/>
      <c r="B13" s="259">
        <f>'Markowitz Model'!B27</f>
        <v>0</v>
      </c>
      <c r="C13" s="271">
        <f t="dataTable" ref="C13:D33" dt2D="0" dtr="0" r1="G12"/>
        <v>8.1266174636081046E-2</v>
      </c>
      <c r="D13" s="271">
        <v>0.10459138954749941</v>
      </c>
      <c r="F13" s="288" t="s">
        <v>71</v>
      </c>
      <c r="G13" s="290">
        <f>G12*G20+(1-G12)*H20</f>
        <v>0.10582814515940896</v>
      </c>
    </row>
    <row r="14" spans="1:11" ht="18">
      <c r="A14" s="22"/>
      <c r="B14" s="261">
        <f>'Markowitz Model'!B28</f>
        <v>0.05</v>
      </c>
      <c r="C14" s="272">
        <v>8.1829831473701833E-2</v>
      </c>
      <c r="D14" s="272">
        <v>0.10469445251515853</v>
      </c>
      <c r="F14" s="288" t="s">
        <v>53</v>
      </c>
      <c r="G14" s="291">
        <f>(G12^2*G21)+((1-G12)^2*H21+2*G12*(1-G12)*G22)</f>
        <v>7.9100706292488231E-3</v>
      </c>
    </row>
    <row r="15" spans="1:11" ht="15.75" thickBot="1">
      <c r="A15" s="22"/>
      <c r="B15" s="259">
        <f>'Markowitz Model'!B29</f>
        <v>0.1</v>
      </c>
      <c r="C15" s="271">
        <v>8.2408270051668051E-2</v>
      </c>
      <c r="D15" s="271">
        <v>0.10479751548281767</v>
      </c>
      <c r="F15" s="292" t="s">
        <v>54</v>
      </c>
      <c r="G15" s="293">
        <f>SQRT(G14)</f>
        <v>8.893857784588656E-2</v>
      </c>
    </row>
    <row r="16" spans="1:11">
      <c r="A16" s="22"/>
      <c r="B16" s="263">
        <f>'Markowitz Model'!B30</f>
        <v>0.15</v>
      </c>
      <c r="C16" s="273">
        <v>8.3001181326922316E-2</v>
      </c>
      <c r="D16" s="273">
        <v>0.10490057845047679</v>
      </c>
    </row>
    <row r="17" spans="1:8" ht="15.75" thickBot="1">
      <c r="A17" s="22"/>
      <c r="B17" s="259">
        <f>'Markowitz Model'!B31</f>
        <v>0.2</v>
      </c>
      <c r="C17" s="271">
        <v>8.360825739891016E-2</v>
      </c>
      <c r="D17" s="271">
        <v>0.10500364141813594</v>
      </c>
    </row>
    <row r="18" spans="1:8" ht="16.5" thickBot="1">
      <c r="A18" s="22"/>
      <c r="B18" s="263">
        <f>'Markowitz Model'!B32</f>
        <v>0.25</v>
      </c>
      <c r="C18" s="273">
        <v>8.4229191992811911E-2</v>
      </c>
      <c r="D18" s="273">
        <v>0.10510670438579506</v>
      </c>
      <c r="F18" s="520" t="s">
        <v>91</v>
      </c>
      <c r="G18" s="521"/>
      <c r="H18" s="522"/>
    </row>
    <row r="19" spans="1:8" ht="15.75" thickBot="1">
      <c r="A19" s="22"/>
      <c r="B19" s="259">
        <f>'Markowitz Model'!B33</f>
        <v>0.3</v>
      </c>
      <c r="C19" s="271">
        <v>8.4863680907107206E-2</v>
      </c>
      <c r="D19" s="271">
        <v>0.10520976735345418</v>
      </c>
      <c r="F19" s="294"/>
      <c r="G19" s="299" t="s">
        <v>67</v>
      </c>
      <c r="H19" s="299" t="s">
        <v>68</v>
      </c>
    </row>
    <row r="20" spans="1:8" ht="15.75" thickBot="1">
      <c r="A20" s="22"/>
      <c r="B20" s="263">
        <f>'Markowitz Model'!B34</f>
        <v>0.35</v>
      </c>
      <c r="C20" s="273">
        <v>8.5511422425933473E-2</v>
      </c>
      <c r="D20" s="273">
        <v>0.10531283032111331</v>
      </c>
      <c r="F20" s="303" t="s">
        <v>71</v>
      </c>
      <c r="G20" s="300">
        <f t="array" ref="G20">MMULT(D6:J6,H27:H33)</f>
        <v>0.10665264890068198</v>
      </c>
      <c r="H20" s="300">
        <f t="array" ref="H20">MMULT(D7:J7,H27:H33)</f>
        <v>0.10459138954749941</v>
      </c>
    </row>
    <row r="21" spans="1:8" ht="15" customHeight="1" thickBot="1">
      <c r="A21" s="23"/>
      <c r="B21" s="259">
        <f>'Markowitz Model'!B35</f>
        <v>0.4</v>
      </c>
      <c r="C21" s="271">
        <v>8.6172117696917183E-2</v>
      </c>
      <c r="D21" s="271">
        <v>0.10541589328877243</v>
      </c>
      <c r="F21" s="304" t="s">
        <v>53</v>
      </c>
      <c r="G21" s="302">
        <f t="array" ref="G21">MMULT(MMULT(D6:J6,'Variance-Covariance Matrix '!C3:I9),TRANSPOSE(D6:J6))</f>
        <v>9.0263749443693971E-3</v>
      </c>
      <c r="H21" s="301">
        <f t="array" ref="H21">MMULT(MMULT(D7:J7,'Variance-Covariance Matrix '!C3:I9),TRANSPOSE(D7:J7))</f>
        <v>6.6041911399820213E-3</v>
      </c>
    </row>
    <row r="22" spans="1:8" ht="15" customHeight="1" thickBot="1">
      <c r="A22" s="22"/>
      <c r="B22" s="265">
        <f>'Markowitz Model'!B36</f>
        <v>0.45</v>
      </c>
      <c r="C22" s="274">
        <v>8.6845471075341865E-2</v>
      </c>
      <c r="D22" s="274">
        <v>0.10551895625643157</v>
      </c>
      <c r="F22" s="305" t="s">
        <v>92</v>
      </c>
      <c r="G22" s="523">
        <f t="array" ref="G22">MMULT(MMULT(D6:J6,'Variance-Covariance Matrix '!C3:I9),TRANSPOSE(D7:J7))</f>
        <v>7.5081355559973246E-3</v>
      </c>
      <c r="H22" s="524"/>
    </row>
    <row r="23" spans="1:8" ht="15" customHeight="1" thickBot="1">
      <c r="A23" s="22"/>
      <c r="B23" s="259">
        <f>'Markowitz Model'!B37</f>
        <v>0.5</v>
      </c>
      <c r="C23" s="271">
        <v>8.7531190435675657E-2</v>
      </c>
      <c r="D23" s="271">
        <v>0.1056220192240907</v>
      </c>
      <c r="F23" s="304" t="s">
        <v>76</v>
      </c>
      <c r="G23" s="525">
        <f>G22/SQRT(G21*H21)</f>
        <v>0.97244624369287536</v>
      </c>
      <c r="H23" s="524"/>
    </row>
    <row r="24" spans="1:8">
      <c r="A24" s="22"/>
      <c r="B24" s="263">
        <f>'Markowitz Model'!B38</f>
        <v>0.55000000000000004</v>
      </c>
      <c r="C24" s="273">
        <v>8.8228987451612409E-2</v>
      </c>
      <c r="D24" s="273">
        <v>0.10572508219174982</v>
      </c>
    </row>
    <row r="25" spans="1:8" ht="15.75" thickBot="1">
      <c r="A25" s="22"/>
      <c r="B25" s="259">
        <f>'Markowitz Model'!B39</f>
        <v>0.6</v>
      </c>
      <c r="C25" s="271">
        <v>8.893857784588656E-2</v>
      </c>
      <c r="D25" s="271">
        <v>0.10582814515940896</v>
      </c>
    </row>
    <row r="26" spans="1:8" ht="15.75" thickBot="1">
      <c r="A26" s="22"/>
      <c r="B26" s="263">
        <f>'Markowitz Model'!B40</f>
        <v>0.65</v>
      </c>
      <c r="C26" s="273">
        <v>8.9659681611204994E-2</v>
      </c>
      <c r="D26" s="273">
        <v>0.10593120812706808</v>
      </c>
      <c r="F26" s="308" t="s">
        <v>94</v>
      </c>
      <c r="G26" s="308" t="s">
        <v>95</v>
      </c>
      <c r="H26" s="308" t="s">
        <v>96</v>
      </c>
    </row>
    <row r="27" spans="1:8">
      <c r="A27" s="22"/>
      <c r="B27" s="259">
        <f>'Markowitz Model'!B41</f>
        <v>0.7</v>
      </c>
      <c r="C27" s="271">
        <v>9.0392023203700128E-2</v>
      </c>
      <c r="D27" s="271">
        <v>0.10603427109472721</v>
      </c>
      <c r="F27" s="306" t="s">
        <v>1</v>
      </c>
      <c r="G27" s="297">
        <v>0.47</v>
      </c>
      <c r="H27" s="296">
        <f t="shared" ref="H27:H33" si="0">$B$1+G27*($B$2-$B$1)</f>
        <v>8.9936338292555068E-2</v>
      </c>
    </row>
    <row r="28" spans="1:8">
      <c r="A28" s="22"/>
      <c r="B28" s="263">
        <f>'Markowitz Model'!B42</f>
        <v>0.75</v>
      </c>
      <c r="C28" s="273">
        <v>9.1135331710350723E-2</v>
      </c>
      <c r="D28" s="273">
        <v>0.10613733406238633</v>
      </c>
      <c r="F28" s="306" t="s">
        <v>97</v>
      </c>
      <c r="G28" s="297">
        <v>0.79</v>
      </c>
      <c r="H28" s="296">
        <f t="shared" si="0"/>
        <v>0.11004618564067767</v>
      </c>
    </row>
    <row r="29" spans="1:8">
      <c r="A29" s="22"/>
      <c r="B29" s="259">
        <f>'Markowitz Model'!B43</f>
        <v>0.8</v>
      </c>
      <c r="C29" s="271">
        <v>9.1889340991841054E-2</v>
      </c>
      <c r="D29" s="271">
        <v>0.10624039703004547</v>
      </c>
      <c r="F29" s="306" t="s">
        <v>98</v>
      </c>
      <c r="G29" s="297">
        <v>1.47</v>
      </c>
      <c r="H29" s="296">
        <f t="shared" si="0"/>
        <v>0.15277961125543818</v>
      </c>
    </row>
    <row r="30" spans="1:8">
      <c r="A30" s="22"/>
      <c r="B30" s="263">
        <f>'Markowitz Model'!B44</f>
        <v>0.85</v>
      </c>
      <c r="C30" s="273">
        <v>9.2653789802337821E-2</v>
      </c>
      <c r="D30" s="273">
        <v>0.10634345999770459</v>
      </c>
      <c r="F30" s="306" t="s">
        <v>99</v>
      </c>
      <c r="G30" s="297">
        <v>0.49</v>
      </c>
      <c r="H30" s="296">
        <f t="shared" si="0"/>
        <v>9.1193203751812724E-2</v>
      </c>
    </row>
    <row r="31" spans="1:8">
      <c r="B31" s="259">
        <v>0.9</v>
      </c>
      <c r="C31" s="271">
        <v>9.3428421887659804E-2</v>
      </c>
      <c r="D31" s="271">
        <v>0.10644652296536372</v>
      </c>
      <c r="F31" s="306" t="s">
        <v>5</v>
      </c>
      <c r="G31" s="297">
        <v>0.93</v>
      </c>
      <c r="H31" s="296">
        <f t="shared" si="0"/>
        <v>0.1188442438554813</v>
      </c>
    </row>
    <row r="32" spans="1:8">
      <c r="B32" s="263">
        <v>0.95</v>
      </c>
      <c r="C32" s="273">
        <v>9.4212986063297463E-2</v>
      </c>
      <c r="D32" s="273">
        <v>0.10654958593302286</v>
      </c>
      <c r="F32" s="306" t="s">
        <v>100</v>
      </c>
      <c r="G32" s="297">
        <v>0.14000000000000001</v>
      </c>
      <c r="H32" s="296">
        <f t="shared" si="0"/>
        <v>6.919805821480364E-2</v>
      </c>
    </row>
    <row r="33" spans="2:12" ht="15.75" thickBot="1">
      <c r="B33" s="266">
        <v>1</v>
      </c>
      <c r="C33" s="275">
        <v>9.5007236273714421E-2</v>
      </c>
      <c r="D33" s="275">
        <v>0.10665264890068198</v>
      </c>
      <c r="F33" s="307" t="s">
        <v>101</v>
      </c>
      <c r="G33" s="298">
        <v>1.08</v>
      </c>
      <c r="H33" s="287">
        <f t="shared" si="0"/>
        <v>0.12827073479991377</v>
      </c>
    </row>
    <row r="34" spans="2:12" ht="15" customHeight="1">
      <c r="C34" s="20"/>
      <c r="D34" s="20"/>
    </row>
    <row r="39" spans="2:12" ht="15" customHeight="1" thickBot="1">
      <c r="C39" s="69" t="s">
        <v>83</v>
      </c>
    </row>
    <row r="40" spans="2:12" ht="15" customHeight="1" thickBot="1">
      <c r="C40" s="251" t="s">
        <v>122</v>
      </c>
      <c r="D40" s="253">
        <v>0.05</v>
      </c>
      <c r="E40" s="526"/>
      <c r="F40" s="527"/>
      <c r="G40" s="527"/>
      <c r="H40" s="527"/>
      <c r="I40" s="527"/>
      <c r="J40" s="527"/>
      <c r="K40" s="527"/>
      <c r="L40" s="528"/>
    </row>
    <row r="41" spans="2:12" ht="15" customHeight="1" thickBot="1">
      <c r="C41" s="252" t="s">
        <v>123</v>
      </c>
      <c r="D41" s="254">
        <f>1-D40</f>
        <v>0.95</v>
      </c>
      <c r="E41" s="69"/>
      <c r="F41" s="70" t="s">
        <v>1</v>
      </c>
      <c r="G41" s="70" t="s">
        <v>2</v>
      </c>
      <c r="H41" s="70" t="s">
        <v>3</v>
      </c>
      <c r="I41" s="70" t="s">
        <v>4</v>
      </c>
      <c r="J41" s="70" t="s">
        <v>5</v>
      </c>
      <c r="K41" s="70" t="s">
        <v>6</v>
      </c>
      <c r="L41" s="70" t="s">
        <v>7</v>
      </c>
    </row>
    <row r="42" spans="2:12" ht="15" customHeight="1">
      <c r="C42" s="37"/>
      <c r="D42" s="37"/>
      <c r="E42" s="70" t="s">
        <v>67</v>
      </c>
      <c r="F42" s="236">
        <f>D6*$D$40</f>
        <v>1.2500000000000001E-2</v>
      </c>
      <c r="G42" s="236">
        <f t="shared" ref="G42:L42" si="1">E6*$D$40</f>
        <v>4.0000000000000001E-3</v>
      </c>
      <c r="H42" s="236">
        <f t="shared" si="1"/>
        <v>7.4999999999999997E-3</v>
      </c>
      <c r="I42" s="236">
        <f t="shared" si="1"/>
        <v>6.0000000000000001E-3</v>
      </c>
      <c r="J42" s="236">
        <f t="shared" si="1"/>
        <v>5.000000000000001E-3</v>
      </c>
      <c r="K42" s="236">
        <f t="shared" si="1"/>
        <v>7.4999999999999997E-3</v>
      </c>
      <c r="L42" s="236">
        <f t="shared" si="1"/>
        <v>7.4999999999999997E-3</v>
      </c>
    </row>
    <row r="43" spans="2:12" ht="15" customHeight="1">
      <c r="C43" s="37"/>
      <c r="D43" s="37"/>
      <c r="E43" s="70" t="s">
        <v>68</v>
      </c>
      <c r="F43" s="236">
        <f>D7*$D$41</f>
        <v>0.18049999999999999</v>
      </c>
      <c r="G43" s="236">
        <f t="shared" ref="G43:L43" si="2">E7*$D$41</f>
        <v>0.14249999999999999</v>
      </c>
      <c r="H43" s="236">
        <f t="shared" si="2"/>
        <v>9.5000000000000001E-2</v>
      </c>
      <c r="I43" s="236">
        <f t="shared" si="2"/>
        <v>0.152</v>
      </c>
      <c r="J43" s="236">
        <f t="shared" si="2"/>
        <v>0.13300000000000001</v>
      </c>
      <c r="K43" s="236">
        <f t="shared" si="2"/>
        <v>0.14249999999999999</v>
      </c>
      <c r="L43" s="236">
        <f t="shared" si="2"/>
        <v>0.1045</v>
      </c>
    </row>
    <row r="44" spans="2:12" ht="15" customHeight="1">
      <c r="C44" s="37"/>
      <c r="D44" s="37"/>
      <c r="E44" s="70" t="s">
        <v>85</v>
      </c>
      <c r="F44" s="235">
        <f>SUM(F42:F43)</f>
        <v>0.193</v>
      </c>
      <c r="G44" s="235">
        <f t="shared" ref="G44:L44" si="3">SUM(G42:G43)</f>
        <v>0.14649999999999999</v>
      </c>
      <c r="H44" s="235">
        <f t="shared" si="3"/>
        <v>0.10250000000000001</v>
      </c>
      <c r="I44" s="235">
        <f t="shared" si="3"/>
        <v>0.158</v>
      </c>
      <c r="J44" s="235">
        <f t="shared" si="3"/>
        <v>0.13800000000000001</v>
      </c>
      <c r="K44" s="235">
        <f t="shared" si="3"/>
        <v>0.15</v>
      </c>
      <c r="L44" s="235">
        <f t="shared" si="3"/>
        <v>0.11199999999999999</v>
      </c>
    </row>
    <row r="45" spans="2:12" ht="15" customHeight="1">
      <c r="C45" s="37"/>
      <c r="D45" s="37"/>
      <c r="E45" s="37"/>
      <c r="F45" s="37"/>
      <c r="G45" s="37"/>
      <c r="H45" s="37"/>
      <c r="I45" s="37"/>
      <c r="J45" s="37"/>
      <c r="K45" s="37"/>
      <c r="L45" s="37"/>
    </row>
  </sheetData>
  <mergeCells count="6">
    <mergeCell ref="B10:D10"/>
    <mergeCell ref="F18:H18"/>
    <mergeCell ref="G22:H22"/>
    <mergeCell ref="G23:H23"/>
    <mergeCell ref="E40:L40"/>
    <mergeCell ref="F11:G11"/>
  </mergeCells>
  <pageMargins left="0.7" right="0.7" top="0.75" bottom="0.75" header="0" footer="0"/>
  <pageSetup orientation="landscape"/>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1:K31"/>
  <sheetViews>
    <sheetView showGridLines="0" zoomScale="80" zoomScaleNormal="80" workbookViewId="0">
      <selection activeCell="J47" sqref="J47"/>
    </sheetView>
  </sheetViews>
  <sheetFormatPr defaultColWidth="12.5703125" defaultRowHeight="15" customHeight="1"/>
  <cols>
    <col min="2" max="2" width="30.7109375" bestFit="1" customWidth="1"/>
    <col min="3" max="3" width="18.5703125" customWidth="1"/>
    <col min="4" max="4" width="22.85546875" bestFit="1" customWidth="1"/>
    <col min="5" max="5" width="15.85546875" bestFit="1" customWidth="1"/>
    <col min="6" max="6" width="14.85546875" bestFit="1" customWidth="1"/>
    <col min="7" max="7" width="16" bestFit="1" customWidth="1"/>
    <col min="8" max="8" width="14.28515625" bestFit="1" customWidth="1"/>
    <col min="9" max="9" width="26.28515625" bestFit="1" customWidth="1"/>
    <col min="10" max="10" width="20.5703125" bestFit="1" customWidth="1"/>
  </cols>
  <sheetData>
    <row r="1" spans="2:11" ht="15" customHeight="1" thickBot="1"/>
    <row r="2" spans="2:11" ht="13.5" thickBot="1">
      <c r="B2" s="276"/>
      <c r="C2" s="387" t="s">
        <v>1</v>
      </c>
      <c r="D2" s="310" t="s">
        <v>2</v>
      </c>
      <c r="E2" s="310" t="s">
        <v>3</v>
      </c>
      <c r="F2" s="310" t="s">
        <v>4</v>
      </c>
      <c r="G2" s="310" t="s">
        <v>5</v>
      </c>
      <c r="H2" s="310" t="s">
        <v>6</v>
      </c>
      <c r="I2" s="311" t="s">
        <v>7</v>
      </c>
    </row>
    <row r="3" spans="2:11" ht="12.75">
      <c r="B3" s="376" t="s">
        <v>10</v>
      </c>
      <c r="C3" s="382">
        <v>387266046000</v>
      </c>
      <c r="D3" s="383">
        <v>15053000000</v>
      </c>
      <c r="E3" s="383">
        <v>108926440000</v>
      </c>
      <c r="F3" s="383">
        <v>21838010000</v>
      </c>
      <c r="G3" s="383">
        <v>11406940000</v>
      </c>
      <c r="H3" s="383">
        <v>77779800000</v>
      </c>
      <c r="I3" s="384">
        <v>28871180000</v>
      </c>
    </row>
    <row r="4" spans="2:11" ht="13.5" thickBot="1">
      <c r="B4" s="306" t="s">
        <v>102</v>
      </c>
      <c r="C4" s="385">
        <f t="shared" ref="C4:I4" si="0">C3/SUM($C$3:$I$3)</f>
        <v>0.59474952212224208</v>
      </c>
      <c r="D4" s="385">
        <f t="shared" si="0"/>
        <v>2.3117865996716142E-2</v>
      </c>
      <c r="E4" s="385">
        <f t="shared" si="0"/>
        <v>0.16728538121433209</v>
      </c>
      <c r="F4" s="385">
        <f t="shared" si="0"/>
        <v>3.3538044829266395E-2</v>
      </c>
      <c r="G4" s="385">
        <f t="shared" si="0"/>
        <v>1.7518375762477993E-2</v>
      </c>
      <c r="H4" s="385">
        <f t="shared" si="0"/>
        <v>0.11945147104573056</v>
      </c>
      <c r="I4" s="386">
        <f t="shared" si="0"/>
        <v>4.433933902923478E-2</v>
      </c>
    </row>
    <row r="5" spans="2:11" ht="13.5" thickBot="1">
      <c r="B5" s="307" t="s">
        <v>103</v>
      </c>
      <c r="C5" s="388">
        <v>0.25</v>
      </c>
      <c r="D5" s="389">
        <v>0.1</v>
      </c>
      <c r="E5" s="389">
        <v>0.15</v>
      </c>
      <c r="F5" s="390">
        <v>0.12</v>
      </c>
      <c r="G5" s="389">
        <v>0.08</v>
      </c>
      <c r="H5" s="390">
        <v>0.16</v>
      </c>
      <c r="I5" s="391">
        <v>0.14000000000000001</v>
      </c>
      <c r="J5" s="27"/>
    </row>
    <row r="6" spans="2:11" ht="15" customHeight="1" thickBot="1"/>
    <row r="7" spans="2:11" ht="12.75">
      <c r="B7" s="276" t="s">
        <v>104</v>
      </c>
      <c r="C7" s="393">
        <f>11%/12</f>
        <v>9.1666666666666667E-3</v>
      </c>
    </row>
    <row r="8" spans="2:11" ht="12.75">
      <c r="B8" s="279" t="s">
        <v>105</v>
      </c>
      <c r="C8" s="394">
        <f>7%/12</f>
        <v>5.8333333333333336E-3</v>
      </c>
    </row>
    <row r="9" spans="2:11" ht="13.5" thickBot="1">
      <c r="B9" s="392" t="s">
        <v>106</v>
      </c>
      <c r="C9" s="395">
        <f t="array" ref="C9">(C7-C8)/MMULT(MMULT(C5:I5,C13:I19),TRANSPOSE(C5:I5))</f>
        <v>0.34520954522927028</v>
      </c>
    </row>
    <row r="11" spans="2:11" ht="15" customHeight="1">
      <c r="B11" s="477" t="s">
        <v>58</v>
      </c>
      <c r="C11" s="478"/>
      <c r="D11" s="478"/>
      <c r="E11" s="478"/>
      <c r="F11" s="478"/>
      <c r="G11" s="478"/>
      <c r="H11" s="478"/>
      <c r="I11" s="479"/>
      <c r="J11" s="530" t="s">
        <v>107</v>
      </c>
      <c r="K11" s="531"/>
    </row>
    <row r="12" spans="2:11" ht="12.75">
      <c r="B12" s="223"/>
      <c r="C12" s="200" t="s">
        <v>1</v>
      </c>
      <c r="D12" s="201" t="s">
        <v>2</v>
      </c>
      <c r="E12" s="201" t="s">
        <v>3</v>
      </c>
      <c r="F12" s="201" t="s">
        <v>4</v>
      </c>
      <c r="G12" s="201" t="s">
        <v>5</v>
      </c>
      <c r="H12" s="201" t="s">
        <v>6</v>
      </c>
      <c r="I12" s="202" t="s">
        <v>7</v>
      </c>
      <c r="J12" s="530" t="s">
        <v>106</v>
      </c>
      <c r="K12" s="531"/>
    </row>
    <row r="13" spans="2:11">
      <c r="B13" s="211" t="s">
        <v>1</v>
      </c>
      <c r="C13" s="212">
        <f t="array" ref="C13:I19">'Variance-Covariance Matrix '!K2*('Variance-Covariance Matrix '!C13:I19)+(1-'Variance-Covariance Matrix '!K2)*'Variance-Covariance Matrix '!C23:I29</f>
        <v>4.6475349661295644E-3</v>
      </c>
      <c r="D13" s="218">
        <v>1.9303532191895941E-4</v>
      </c>
      <c r="E13" s="213">
        <v>3.9369595804167566E-3</v>
      </c>
      <c r="F13" s="218">
        <v>7.8279149351523261E-4</v>
      </c>
      <c r="G13" s="213">
        <v>1.9190159266236083E-4</v>
      </c>
      <c r="H13" s="218">
        <v>6.6292576873650715E-4</v>
      </c>
      <c r="I13" s="214">
        <v>8.8297618667897799E-4</v>
      </c>
      <c r="J13" s="396">
        <f t="array" ref="J13:J19">(MMULT(C13:I19,TRANSPOSE(C5:I5))*C9)+C8</f>
        <v>6.5619681928610254E-3</v>
      </c>
    </row>
    <row r="14" spans="2:11">
      <c r="B14" s="210" t="s">
        <v>2</v>
      </c>
      <c r="C14" s="205">
        <v>1.9303532191895941E-4</v>
      </c>
      <c r="D14" s="219">
        <v>3.9340084500892318E-2</v>
      </c>
      <c r="E14" s="206">
        <v>3.2759759849299686E-2</v>
      </c>
      <c r="F14" s="220">
        <v>4.4188354777357141E-3</v>
      </c>
      <c r="G14" s="206">
        <v>-4.3985836928815405E-3</v>
      </c>
      <c r="H14" s="220">
        <v>1.002922024571707E-2</v>
      </c>
      <c r="I14" s="207">
        <v>-2.3299567465575734E-3</v>
      </c>
      <c r="J14" s="396">
        <v>9.4073174826940185E-3</v>
      </c>
    </row>
    <row r="15" spans="2:11">
      <c r="B15" s="211" t="s">
        <v>3</v>
      </c>
      <c r="C15" s="215">
        <v>3.9369595804167566E-3</v>
      </c>
      <c r="D15" s="218">
        <v>3.2759759849299686E-2</v>
      </c>
      <c r="E15" s="216">
        <v>0.2335379864406073</v>
      </c>
      <c r="F15" s="218">
        <v>1.1930216847927777E-2</v>
      </c>
      <c r="G15" s="213">
        <v>-1.2853602258888517E-2</v>
      </c>
      <c r="H15" s="218">
        <v>2.5357485285575104E-2</v>
      </c>
      <c r="I15" s="214">
        <v>-3.993559594058606E-3</v>
      </c>
      <c r="J15" s="396">
        <v>2.0743745175867006E-2</v>
      </c>
    </row>
    <row r="16" spans="2:11">
      <c r="B16" s="210" t="s">
        <v>60</v>
      </c>
      <c r="C16" s="205">
        <v>7.8279149351523261E-4</v>
      </c>
      <c r="D16" s="220">
        <v>4.4188354777357141E-3</v>
      </c>
      <c r="E16" s="206">
        <v>1.1930216847927777E-2</v>
      </c>
      <c r="F16" s="219">
        <v>7.06875916846235E-3</v>
      </c>
      <c r="G16" s="206">
        <v>-1.4460159118863259E-3</v>
      </c>
      <c r="H16" s="220">
        <v>3.4283916553840815E-3</v>
      </c>
      <c r="I16" s="207">
        <v>-1.264307351161996E-4</v>
      </c>
      <c r="J16" s="396">
        <v>7.1073381829341552E-3</v>
      </c>
    </row>
    <row r="17" spans="2:10">
      <c r="B17" s="211" t="s">
        <v>5</v>
      </c>
      <c r="C17" s="215">
        <v>1.9190159266236083E-4</v>
      </c>
      <c r="D17" s="218">
        <v>-4.3985836928815405E-3</v>
      </c>
      <c r="E17" s="213">
        <v>-1.2853602258888517E-2</v>
      </c>
      <c r="F17" s="218">
        <v>-1.4460159118863259E-3</v>
      </c>
      <c r="G17" s="216">
        <v>9.3524040491135309E-3</v>
      </c>
      <c r="H17" s="218">
        <v>-4.1471634975261016E-3</v>
      </c>
      <c r="I17" s="214">
        <v>1.5497283969175409E-3</v>
      </c>
      <c r="J17" s="396">
        <v>5.0766902519063396E-3</v>
      </c>
    </row>
    <row r="18" spans="2:10">
      <c r="B18" s="210" t="s">
        <v>61</v>
      </c>
      <c r="C18" s="205">
        <v>6.6292576873650715E-4</v>
      </c>
      <c r="D18" s="220">
        <v>1.002922024571707E-2</v>
      </c>
      <c r="E18" s="206">
        <v>2.5357485285575104E-2</v>
      </c>
      <c r="F18" s="220">
        <v>3.4283916553840815E-3</v>
      </c>
      <c r="G18" s="206">
        <v>-4.1471634975261016E-3</v>
      </c>
      <c r="H18" s="219">
        <v>2.1318142040362854E-2</v>
      </c>
      <c r="I18" s="207">
        <v>-1.5318903053385083E-3</v>
      </c>
      <c r="J18" s="396">
        <v>8.68074188580166E-3</v>
      </c>
    </row>
    <row r="19" spans="2:10">
      <c r="B19" s="211" t="s">
        <v>7</v>
      </c>
      <c r="C19" s="215">
        <v>8.8297618667897799E-4</v>
      </c>
      <c r="D19" s="218">
        <v>-2.3299567465575734E-3</v>
      </c>
      <c r="E19" s="213">
        <v>-3.993559594058606E-3</v>
      </c>
      <c r="F19" s="218">
        <v>-1.264307351161996E-4</v>
      </c>
      <c r="G19" s="213">
        <v>1.5497283969175409E-3</v>
      </c>
      <c r="H19" s="218">
        <v>-1.5318903053385083E-3</v>
      </c>
      <c r="I19" s="217">
        <v>6.7113980320553865E-3</v>
      </c>
      <c r="J19" s="396">
        <v>5.8996184997791856E-3</v>
      </c>
    </row>
    <row r="20" spans="2:10" ht="15" customHeight="1" thickBot="1"/>
    <row r="21" spans="2:10" ht="15" customHeight="1" thickBot="1">
      <c r="B21" s="419" t="s">
        <v>108</v>
      </c>
      <c r="C21" s="416">
        <f>MMULT(C5:I5,J13:J19)</f>
        <v>9.1666666666666684E-3</v>
      </c>
    </row>
    <row r="23" spans="2:10" ht="15" customHeight="1" thickBot="1">
      <c r="B23" s="18"/>
    </row>
    <row r="24" spans="2:10" ht="15" customHeight="1" thickBot="1">
      <c r="B24" s="404"/>
      <c r="C24" s="402" t="s">
        <v>109</v>
      </c>
      <c r="D24" s="403" t="s">
        <v>150</v>
      </c>
      <c r="F24" s="276"/>
      <c r="G24" s="309" t="s">
        <v>110</v>
      </c>
      <c r="H24" s="413" t="s">
        <v>111</v>
      </c>
      <c r="I24" s="414" t="s">
        <v>112</v>
      </c>
    </row>
    <row r="25" spans="2:10" ht="15" customHeight="1" thickBot="1">
      <c r="B25" s="399" t="s">
        <v>1</v>
      </c>
      <c r="C25" s="405">
        <f t="array" ref="C25:C31">MMULT(MINVERSE(C13:I19),J13:J19-C8)/SUM(MMULT(MINVERSE(C13:I19),J13:J19-C8))</f>
        <v>0.24999999999999997</v>
      </c>
      <c r="D25" s="406">
        <f t="array" ref="D25:D31">MMULT(MINVERSE(C13:I19),I25:I31-C8)/SUM(MMULT(MINVERSE(C13:I19),I25:I31-C8))</f>
        <v>0.24543348647054478</v>
      </c>
      <c r="F25" s="402" t="s">
        <v>1</v>
      </c>
      <c r="G25" s="415">
        <f>J13</f>
        <v>6.5619681928610254E-3</v>
      </c>
      <c r="H25" s="432">
        <v>0</v>
      </c>
      <c r="I25" s="418">
        <f t="shared" ref="I25:I31" si="1">G25+E13/$E$15*$H$27</f>
        <v>6.587255040027223E-3</v>
      </c>
    </row>
    <row r="26" spans="2:10" ht="15" customHeight="1" thickBot="1">
      <c r="B26" s="399" t="s">
        <v>2</v>
      </c>
      <c r="C26" s="400">
        <v>0.10000000000000012</v>
      </c>
      <c r="D26" s="401">
        <v>9.8173394588217958E-2</v>
      </c>
      <c r="F26" s="397" t="s">
        <v>2</v>
      </c>
      <c r="G26" s="411">
        <f t="shared" ref="G26:G31" si="2">J14</f>
        <v>9.4073174826940185E-3</v>
      </c>
      <c r="H26" s="433">
        <v>0</v>
      </c>
      <c r="I26" s="418">
        <f t="shared" si="1"/>
        <v>9.6177313880414748E-3</v>
      </c>
    </row>
    <row r="27" spans="2:10" ht="15" customHeight="1" thickBot="1">
      <c r="B27" s="397" t="s">
        <v>3</v>
      </c>
      <c r="C27" s="407">
        <v>0.15000000000000019</v>
      </c>
      <c r="D27" s="408">
        <v>0.1655261460001482</v>
      </c>
      <c r="F27" s="397" t="s">
        <v>3</v>
      </c>
      <c r="G27" s="415">
        <f t="shared" si="2"/>
        <v>2.0743745175867006E-2</v>
      </c>
      <c r="H27" s="417">
        <v>1.5E-3</v>
      </c>
      <c r="I27" s="418">
        <f>G27+E15/$E$15*$H$27</f>
        <v>2.2243745175867007E-2</v>
      </c>
    </row>
    <row r="28" spans="2:10" ht="15" customHeight="1" thickBot="1">
      <c r="B28" s="399" t="s">
        <v>60</v>
      </c>
      <c r="C28" s="400">
        <v>0.11999999999999982</v>
      </c>
      <c r="D28" s="401">
        <v>0.11780807350586137</v>
      </c>
      <c r="F28" s="397" t="s">
        <v>60</v>
      </c>
      <c r="G28" s="411">
        <f t="shared" si="2"/>
        <v>7.1073381829341552E-3</v>
      </c>
      <c r="H28" s="433">
        <v>0</v>
      </c>
      <c r="I28" s="418">
        <f t="shared" si="1"/>
        <v>7.1839652256891155E-3</v>
      </c>
    </row>
    <row r="29" spans="2:10" ht="15" customHeight="1" thickBot="1">
      <c r="B29" s="397" t="s">
        <v>5</v>
      </c>
      <c r="C29" s="407">
        <v>7.9999999999999946E-2</v>
      </c>
      <c r="D29" s="408">
        <v>7.8538715670574188E-2</v>
      </c>
      <c r="F29" s="397" t="s">
        <v>5</v>
      </c>
      <c r="G29" s="415">
        <f t="shared" si="2"/>
        <v>5.0766902519063396E-3</v>
      </c>
      <c r="H29" s="417">
        <v>0</v>
      </c>
      <c r="I29" s="418">
        <f t="shared" si="1"/>
        <v>4.9941323619365372E-3</v>
      </c>
    </row>
    <row r="30" spans="2:10" ht="15" customHeight="1" thickBot="1">
      <c r="B30" s="399" t="s">
        <v>61</v>
      </c>
      <c r="C30" s="400">
        <v>0.15999999999999995</v>
      </c>
      <c r="D30" s="401">
        <v>0.15707743134114863</v>
      </c>
      <c r="F30" s="397" t="s">
        <v>61</v>
      </c>
      <c r="G30" s="411">
        <f t="shared" si="2"/>
        <v>8.68074188580166E-3</v>
      </c>
      <c r="H30" s="433">
        <v>0</v>
      </c>
      <c r="I30" s="418">
        <f t="shared" si="1"/>
        <v>8.8436114408067344E-3</v>
      </c>
    </row>
    <row r="31" spans="2:10" ht="15" customHeight="1" thickBot="1">
      <c r="B31" s="398" t="s">
        <v>7</v>
      </c>
      <c r="C31" s="409">
        <v>0.14000000000000004</v>
      </c>
      <c r="D31" s="410">
        <v>0.13744275242350487</v>
      </c>
      <c r="F31" s="398" t="s">
        <v>7</v>
      </c>
      <c r="G31" s="412">
        <f t="shared" si="2"/>
        <v>5.8996184997791856E-3</v>
      </c>
      <c r="H31" s="434">
        <v>0</v>
      </c>
      <c r="I31" s="418">
        <f t="shared" si="1"/>
        <v>5.8739681142363975E-3</v>
      </c>
    </row>
  </sheetData>
  <mergeCells count="3">
    <mergeCell ref="J11:K11"/>
    <mergeCell ref="J12:K12"/>
    <mergeCell ref="B11:I11"/>
  </mergeCells>
  <pageMargins left="0.7" right="0.7" top="0.75" bottom="0.75" header="0" footer="0"/>
  <pageSetup orientation="landscape"/>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I16"/>
  <sheetViews>
    <sheetView showGridLines="0" workbookViewId="0">
      <selection activeCell="K9" sqref="K9"/>
    </sheetView>
  </sheetViews>
  <sheetFormatPr defaultRowHeight="12.75"/>
  <sheetData>
    <row r="3" spans="2:9" ht="13.5" thickBot="1"/>
    <row r="4" spans="2:9" ht="15.75" thickBot="1">
      <c r="B4" s="532" t="s">
        <v>102</v>
      </c>
      <c r="C4" s="533"/>
      <c r="D4" s="533"/>
      <c r="E4" s="533"/>
      <c r="F4" s="533"/>
      <c r="G4" s="533"/>
      <c r="H4" s="533"/>
      <c r="I4" s="534"/>
    </row>
    <row r="5" spans="2:9" ht="13.5" thickBot="1">
      <c r="B5" s="306" t="s">
        <v>113</v>
      </c>
      <c r="C5" s="385" t="s">
        <v>1</v>
      </c>
      <c r="D5" s="385" t="s">
        <v>2</v>
      </c>
      <c r="E5" s="385" t="s">
        <v>3</v>
      </c>
      <c r="F5" s="385" t="s">
        <v>4</v>
      </c>
      <c r="G5" s="385" t="s">
        <v>5</v>
      </c>
      <c r="H5" s="385" t="s">
        <v>6</v>
      </c>
      <c r="I5" s="386" t="s">
        <v>7</v>
      </c>
    </row>
    <row r="6" spans="2:9" ht="13.5" thickBot="1">
      <c r="B6" s="307" t="s">
        <v>114</v>
      </c>
      <c r="C6" s="388">
        <f>BLM!C4</f>
        <v>0.59474952212224208</v>
      </c>
      <c r="D6" s="389">
        <f>BLM!D4</f>
        <v>2.3117865996716142E-2</v>
      </c>
      <c r="E6" s="389">
        <f>BLM!E4</f>
        <v>0.16728538121433209</v>
      </c>
      <c r="F6" s="390">
        <f>BLM!F4</f>
        <v>3.3538044829266395E-2</v>
      </c>
      <c r="G6" s="389">
        <f>BLM!G4</f>
        <v>1.7518375762477993E-2</v>
      </c>
      <c r="H6" s="390">
        <f>BLM!H4</f>
        <v>0.11945147104573056</v>
      </c>
      <c r="I6" s="391">
        <f>BLM!I4</f>
        <v>4.433933902923478E-2</v>
      </c>
    </row>
    <row r="8" spans="2:9" ht="13.5" thickBot="1"/>
    <row r="9" spans="2:9" ht="15.75" thickBot="1">
      <c r="B9" s="532" t="s">
        <v>109</v>
      </c>
      <c r="C9" s="533"/>
      <c r="D9" s="533"/>
      <c r="E9" s="533"/>
      <c r="F9" s="533"/>
      <c r="G9" s="533"/>
      <c r="H9" s="533"/>
      <c r="I9" s="534"/>
    </row>
    <row r="10" spans="2:9" ht="13.5" thickBot="1">
      <c r="B10" s="306" t="s">
        <v>113</v>
      </c>
      <c r="C10" s="385" t="s">
        <v>1</v>
      </c>
      <c r="D10" s="385" t="s">
        <v>2</v>
      </c>
      <c r="E10" s="385" t="s">
        <v>3</v>
      </c>
      <c r="F10" s="385" t="s">
        <v>4</v>
      </c>
      <c r="G10" s="385" t="s">
        <v>5</v>
      </c>
      <c r="H10" s="385" t="s">
        <v>6</v>
      </c>
      <c r="I10" s="386" t="s">
        <v>7</v>
      </c>
    </row>
    <row r="11" spans="2:9" ht="13.5" thickBot="1">
      <c r="B11" s="307" t="s">
        <v>114</v>
      </c>
      <c r="C11" s="388">
        <f>BLM!C5</f>
        <v>0.25</v>
      </c>
      <c r="D11" s="389">
        <f>BLM!D5</f>
        <v>0.1</v>
      </c>
      <c r="E11" s="389">
        <f>BLM!E5</f>
        <v>0.15</v>
      </c>
      <c r="F11" s="390">
        <f>BLM!F5</f>
        <v>0.12</v>
      </c>
      <c r="G11" s="389">
        <f>BLM!G5</f>
        <v>0.08</v>
      </c>
      <c r="H11" s="390">
        <f>BLM!H5</f>
        <v>0.16</v>
      </c>
      <c r="I11" s="391">
        <f>BLM!I5</f>
        <v>0.14000000000000001</v>
      </c>
    </row>
    <row r="13" spans="2:9" ht="13.5" thickBot="1"/>
    <row r="14" spans="2:9" ht="15.75" thickBot="1">
      <c r="B14" s="532" t="s">
        <v>115</v>
      </c>
      <c r="C14" s="533"/>
      <c r="D14" s="533"/>
      <c r="E14" s="533"/>
      <c r="F14" s="533"/>
      <c r="G14" s="533"/>
      <c r="H14" s="533"/>
      <c r="I14" s="534"/>
    </row>
    <row r="15" spans="2:9" ht="13.5" thickBot="1">
      <c r="B15" s="306" t="s">
        <v>113</v>
      </c>
      <c r="C15" s="385" t="s">
        <v>1</v>
      </c>
      <c r="D15" s="385" t="s">
        <v>2</v>
      </c>
      <c r="E15" s="385" t="s">
        <v>3</v>
      </c>
      <c r="F15" s="385" t="s">
        <v>4</v>
      </c>
      <c r="G15" s="385" t="s">
        <v>5</v>
      </c>
      <c r="H15" s="385" t="s">
        <v>6</v>
      </c>
      <c r="I15" s="386" t="s">
        <v>7</v>
      </c>
    </row>
    <row r="16" spans="2:9" ht="13.5" thickBot="1">
      <c r="B16" s="307" t="s">
        <v>114</v>
      </c>
      <c r="C16" s="388">
        <f>BLM!D25</f>
        <v>0.24543348647054478</v>
      </c>
      <c r="D16" s="389">
        <f>BLM!D26</f>
        <v>9.8173394588217958E-2</v>
      </c>
      <c r="E16" s="389">
        <f>BLM!D27</f>
        <v>0.1655261460001482</v>
      </c>
      <c r="F16" s="390">
        <f>BLM!D28</f>
        <v>0.11780807350586137</v>
      </c>
      <c r="G16" s="389">
        <f>BLM!D29</f>
        <v>7.8538715670574188E-2</v>
      </c>
      <c r="H16" s="390">
        <f>BLM!D30</f>
        <v>0.15707743134114863</v>
      </c>
      <c r="I16" s="391">
        <f>BLM!D31</f>
        <v>0.13744275242350487</v>
      </c>
    </row>
  </sheetData>
  <mergeCells count="3">
    <mergeCell ref="B4:I4"/>
    <mergeCell ref="B9:I9"/>
    <mergeCell ref="B14:I14"/>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6:L13"/>
  <sheetViews>
    <sheetView showGridLines="0" zoomScale="70" zoomScaleNormal="70" workbookViewId="0">
      <selection activeCell="O12" sqref="O12"/>
    </sheetView>
  </sheetViews>
  <sheetFormatPr defaultRowHeight="12.75"/>
  <cols>
    <col min="4" max="4" width="51.42578125" bestFit="1" customWidth="1"/>
    <col min="5" max="5" width="22.5703125" bestFit="1" customWidth="1"/>
    <col min="6" max="10" width="9.140625" customWidth="1"/>
  </cols>
  <sheetData>
    <row r="6" spans="4:12" ht="13.5" thickBot="1"/>
    <row r="7" spans="4:12" ht="15">
      <c r="D7" s="420" t="s">
        <v>116</v>
      </c>
      <c r="E7" s="421" t="s">
        <v>117</v>
      </c>
      <c r="F7" s="316" t="s">
        <v>1</v>
      </c>
      <c r="G7" s="316" t="s">
        <v>2</v>
      </c>
      <c r="H7" s="316" t="s">
        <v>3</v>
      </c>
      <c r="I7" s="316" t="s">
        <v>4</v>
      </c>
      <c r="J7" s="316" t="s">
        <v>5</v>
      </c>
      <c r="K7" s="316" t="s">
        <v>6</v>
      </c>
      <c r="L7" s="317" t="s">
        <v>7</v>
      </c>
    </row>
    <row r="8" spans="4:12" ht="15">
      <c r="D8" s="355" t="s">
        <v>118</v>
      </c>
      <c r="E8" s="422">
        <v>0</v>
      </c>
      <c r="F8" s="423">
        <f>'Markowitz Model'!C58</f>
        <v>0.20200000000000001</v>
      </c>
      <c r="G8" s="423">
        <f>'Markowitz Model'!D58</f>
        <v>0.1235</v>
      </c>
      <c r="H8" s="423">
        <f>'Markowitz Model'!E58</f>
        <v>0.12200000000000001</v>
      </c>
      <c r="I8" s="423">
        <f>'Markowitz Model'!F58</f>
        <v>0.13800000000000001</v>
      </c>
      <c r="J8" s="423">
        <f>'Markowitz Model'!G58</f>
        <v>0.10700000000000001</v>
      </c>
      <c r="K8" s="423">
        <f>'Markowitz Model'!H58</f>
        <v>0.16649999999999998</v>
      </c>
      <c r="L8" s="424">
        <f>'Markowitz Model'!I58</f>
        <v>0.14100000000000001</v>
      </c>
    </row>
    <row r="9" spans="4:12" ht="15">
      <c r="D9" s="355" t="s">
        <v>151</v>
      </c>
      <c r="E9" s="425">
        <v>0</v>
      </c>
      <c r="F9" s="426">
        <f>'Capm-Adjusted (CML)'!I30</f>
        <v>0.19800000000000001</v>
      </c>
      <c r="G9" s="426">
        <f>'Capm-Adjusted (CML)'!J30</f>
        <v>0.1265</v>
      </c>
      <c r="H9" s="426">
        <f>'Capm-Adjusted (CML)'!K30</f>
        <v>0.11800000000000002</v>
      </c>
      <c r="I9" s="426">
        <f>'Capm-Adjusted (CML)'!L30</f>
        <v>0.14200000000000002</v>
      </c>
      <c r="J9" s="426">
        <f>'Capm-Adjusted (CML)'!M30</f>
        <v>0.11300000000000002</v>
      </c>
      <c r="K9" s="426">
        <f>'Capm-Adjusted (CML)'!N30</f>
        <v>0.16350000000000001</v>
      </c>
      <c r="L9" s="427">
        <f>'Capm-Adjusted (CML)'!O30</f>
        <v>0.13900000000000001</v>
      </c>
    </row>
    <row r="10" spans="4:12" ht="15">
      <c r="D10" s="355" t="s">
        <v>152</v>
      </c>
      <c r="E10" s="422">
        <v>0</v>
      </c>
      <c r="F10" s="423">
        <f>'CAPM 2ndAdjustment (SML)'!F44</f>
        <v>0.19800000000000001</v>
      </c>
      <c r="G10" s="423">
        <f>'CAPM 2ndAdjustment (SML)'!G44</f>
        <v>0.1265</v>
      </c>
      <c r="H10" s="423">
        <f>'CAPM 2ndAdjustment (SML)'!H44</f>
        <v>0.11800000000000002</v>
      </c>
      <c r="I10" s="423">
        <f>'CAPM 2ndAdjustment (SML)'!I44</f>
        <v>0.14200000000000002</v>
      </c>
      <c r="J10" s="423">
        <f>'CAPM 2ndAdjustment (SML)'!J44</f>
        <v>0.11300000000000002</v>
      </c>
      <c r="K10" s="423">
        <f>'CAPM 2ndAdjustment (SML)'!K44</f>
        <v>0.16350000000000001</v>
      </c>
      <c r="L10" s="423">
        <f>'CAPM 2ndAdjustment (SML)'!L44</f>
        <v>0.13900000000000001</v>
      </c>
    </row>
    <row r="11" spans="4:12" ht="15">
      <c r="D11" s="355" t="s">
        <v>153</v>
      </c>
      <c r="E11" s="425">
        <v>0</v>
      </c>
      <c r="F11" s="426">
        <f>'Capm-3rdAdjusted (using capm)'!F44</f>
        <v>0.193</v>
      </c>
      <c r="G11" s="426">
        <f>'Capm-3rdAdjusted (using capm)'!G44</f>
        <v>0.14649999999999999</v>
      </c>
      <c r="H11" s="426">
        <f>'Capm-3rdAdjusted (using capm)'!H44</f>
        <v>0.10250000000000001</v>
      </c>
      <c r="I11" s="426">
        <f>'Capm-3rdAdjusted (using capm)'!I44</f>
        <v>0.158</v>
      </c>
      <c r="J11" s="426">
        <f>'Capm-3rdAdjusted (using capm)'!J44</f>
        <v>0.13800000000000001</v>
      </c>
      <c r="K11" s="426">
        <f>'Capm-3rdAdjusted (using capm)'!K44</f>
        <v>0.15</v>
      </c>
      <c r="L11" s="427">
        <f>'Capm-3rdAdjusted (using capm)'!L44</f>
        <v>0.11199999999999999</v>
      </c>
    </row>
    <row r="12" spans="4:12" ht="15.75" thickBot="1">
      <c r="D12" s="355" t="s">
        <v>119</v>
      </c>
      <c r="E12" s="422">
        <v>100</v>
      </c>
      <c r="F12" s="423">
        <f>'BLM PIE'!C16</f>
        <v>0.24543348647054478</v>
      </c>
      <c r="G12" s="423">
        <f>'BLM PIE'!D16</f>
        <v>9.8173394588217958E-2</v>
      </c>
      <c r="H12" s="423">
        <f>'BLM PIE'!E16</f>
        <v>0.1655261460001482</v>
      </c>
      <c r="I12" s="423">
        <f>'BLM PIE'!F16</f>
        <v>0.11780807350586137</v>
      </c>
      <c r="J12" s="423">
        <f>'BLM PIE'!G16</f>
        <v>7.8538715670574188E-2</v>
      </c>
      <c r="K12" s="423">
        <f>'BLM PIE'!H16</f>
        <v>0.15707743134114863</v>
      </c>
      <c r="L12" s="424">
        <f>'BLM PIE'!I16</f>
        <v>0.13744275242350487</v>
      </c>
    </row>
    <row r="13" spans="4:12" ht="15.75" thickBot="1">
      <c r="D13" s="428" t="s">
        <v>120</v>
      </c>
      <c r="E13" s="429"/>
      <c r="F13" s="430">
        <f>'BLM PIE'!C16</f>
        <v>0.24543348647054478</v>
      </c>
      <c r="G13" s="430">
        <f>'BLM PIE'!D16</f>
        <v>9.8173394588217958E-2</v>
      </c>
      <c r="H13" s="430">
        <f>'BLM PIE'!E16</f>
        <v>0.1655261460001482</v>
      </c>
      <c r="I13" s="430">
        <f>'BLM PIE'!F16</f>
        <v>0.11780807350586137</v>
      </c>
      <c r="J13" s="430">
        <f>'BLM PIE'!G16</f>
        <v>7.8538715670574188E-2</v>
      </c>
      <c r="K13" s="430">
        <f>'BLM PIE'!H16</f>
        <v>0.15707743134114863</v>
      </c>
      <c r="L13" s="431">
        <f>'BLM PIE'!I16</f>
        <v>0.13744275242350487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Charts</vt:lpstr>
      </vt:variant>
      <vt:variant>
        <vt:i4>1</vt:i4>
      </vt:variant>
    </vt:vector>
  </HeadingPairs>
  <TitlesOfParts>
    <vt:vector size="16" baseType="lpstr">
      <vt:lpstr>Cover Page</vt:lpstr>
      <vt:lpstr>Table of Contents</vt:lpstr>
      <vt:lpstr>Company Overviews</vt:lpstr>
      <vt:lpstr>Price Data</vt:lpstr>
      <vt:lpstr>Continuous Return</vt:lpstr>
      <vt:lpstr>Inferential Statistics</vt:lpstr>
      <vt:lpstr>Weighted Stats &amp; Excess Returns</vt:lpstr>
      <vt:lpstr>Variance-Covariance Matrix </vt:lpstr>
      <vt:lpstr>Markowitz Model</vt:lpstr>
      <vt:lpstr>Capm-Adjusted (CML)</vt:lpstr>
      <vt:lpstr>CAPM 2ndAdjustment (SML)</vt:lpstr>
      <vt:lpstr>Capm-3rdAdjusted (using capm)</vt:lpstr>
      <vt:lpstr>BLM</vt:lpstr>
      <vt:lpstr>BLM PIE</vt:lpstr>
      <vt:lpstr>Final Portfolio</vt:lpstr>
      <vt:lpstr>Capm-Adjusted (CML) Chart1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Cursed</dc:creator>
  <cp:lastModifiedBy>User</cp:lastModifiedBy>
  <dcterms:created xsi:type="dcterms:W3CDTF">2022-09-09T11:08:19Z</dcterms:created>
  <dcterms:modified xsi:type="dcterms:W3CDTF">2022-09-09T17:50:44Z</dcterms:modified>
</cp:coreProperties>
</file>