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Anna Goodman\Dropbox\PCT\2_WorkInProgress\Rachel\user manual\Manual_Version1.4_july2019\English\"/>
    </mc:Choice>
  </mc:AlternateContent>
  <xr:revisionPtr revIDLastSave="0" documentId="13_ncr:1_{A9347E2C-5034-44FD-9014-C4468F3DD8D3}" xr6:coauthVersionLast="43" xr6:coauthVersionMax="43" xr10:uidLastSave="{00000000-0000-0000-0000-000000000000}"/>
  <bookViews>
    <workbookView xWindow="-120" yWindow="-120" windowWidth="29040" windowHeight="15840" activeTab="1" xr2:uid="{00000000-000D-0000-FFFF-FFFF00000000}"/>
  </bookViews>
  <sheets>
    <sheet name="Hilliness_detailedCalc" sheetId="4" r:id="rId1"/>
    <sheet name="Hilliness_pct-scripts_input" sheetId="11" r:id="rId2"/>
    <sheet name="Speed assumptions" sheetId="8" r:id="rId3"/>
    <sheet name="Power calculations" sheetId="10" r:id="rId4"/>
    <sheet name="CycleAverage" sheetId="5" r:id="rId5"/>
    <sheet name="WalkAverage" sheetId="6" r:id="rId6"/>
    <sheet name="EbikeAverage"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7" i="4" l="1"/>
  <c r="K5" i="4"/>
  <c r="K6" i="4"/>
  <c r="K7" i="4"/>
  <c r="K8" i="4"/>
  <c r="K9" i="4"/>
  <c r="K10" i="4"/>
  <c r="K11" i="4"/>
  <c r="K12" i="4"/>
  <c r="K13" i="4"/>
  <c r="K14" i="4"/>
  <c r="K15" i="4"/>
  <c r="AC15" i="4" s="1"/>
  <c r="K16" i="4"/>
  <c r="AC16" i="4" s="1"/>
  <c r="K17" i="4"/>
  <c r="K18" i="4"/>
  <c r="K19" i="4"/>
  <c r="K20" i="4"/>
  <c r="AC20" i="4" s="1"/>
  <c r="K21" i="4"/>
  <c r="K22" i="4"/>
  <c r="K23" i="4"/>
  <c r="AC23" i="4" s="1"/>
  <c r="K24" i="4"/>
  <c r="AC24" i="4" s="1"/>
  <c r="K25" i="4"/>
  <c r="K26" i="4"/>
  <c r="K27" i="4"/>
  <c r="AC27" i="4" s="1"/>
  <c r="K28" i="4"/>
  <c r="AC28" i="4" s="1"/>
  <c r="K29" i="4"/>
  <c r="K30" i="4"/>
  <c r="K31" i="4"/>
  <c r="K32" i="4"/>
  <c r="AC32" i="4" s="1"/>
  <c r="K4" i="4"/>
  <c r="AB41" i="4"/>
  <c r="AC5" i="4"/>
  <c r="AC12" i="4"/>
  <c r="AC13" i="4"/>
  <c r="AC17" i="4"/>
  <c r="AC21" i="4"/>
  <c r="AC29" i="4"/>
  <c r="AC8" i="4"/>
  <c r="AC6" i="4"/>
  <c r="AC9" i="4"/>
  <c r="AC10" i="4"/>
  <c r="AC11" i="4"/>
  <c r="AC14" i="4"/>
  <c r="AC18" i="4"/>
  <c r="AC19" i="4"/>
  <c r="AC22" i="4"/>
  <c r="AC25" i="4"/>
  <c r="AC26" i="4"/>
  <c r="AC30" i="4"/>
  <c r="AC31" i="4"/>
  <c r="AC4" i="4"/>
  <c r="A3" i="11" l="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2" i="11"/>
  <c r="AB39" i="4" l="1"/>
  <c r="B76" i="8" l="1"/>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4" i="4"/>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B71" i="8"/>
  <c r="B70" i="8"/>
  <c r="C34" i="8" l="1"/>
  <c r="F5" i="4" l="1"/>
  <c r="I10" i="4"/>
  <c r="J10" i="4" s="1"/>
  <c r="I13" i="4"/>
  <c r="J13" i="4" s="1"/>
  <c r="F17" i="4"/>
  <c r="I18" i="4"/>
  <c r="J18" i="4" s="1"/>
  <c r="F19" i="4"/>
  <c r="F20" i="4"/>
  <c r="L20" i="4" s="1"/>
  <c r="F21" i="4"/>
  <c r="F26" i="4"/>
  <c r="G26" i="4" s="1"/>
  <c r="M26" i="4" s="1"/>
  <c r="F27" i="4"/>
  <c r="N27" i="4" s="1"/>
  <c r="F28" i="4"/>
  <c r="F29" i="4"/>
  <c r="H6" i="4"/>
  <c r="F11" i="4"/>
  <c r="F12" i="4"/>
  <c r="I14" i="4"/>
  <c r="J14" i="4" s="1"/>
  <c r="H22" i="4"/>
  <c r="F24" i="4"/>
  <c r="L24" i="4" s="1"/>
  <c r="F25" i="4"/>
  <c r="I30" i="4"/>
  <c r="J30" i="4" s="1"/>
  <c r="I32" i="4"/>
  <c r="J32" i="4" s="1"/>
  <c r="F8" i="4"/>
  <c r="I16" i="4"/>
  <c r="J16" i="4" s="1"/>
  <c r="F22" i="4"/>
  <c r="G22" i="4" s="1"/>
  <c r="M22" i="4" s="1"/>
  <c r="A14" i="4"/>
  <c r="H9" i="4"/>
  <c r="F10" i="4"/>
  <c r="L10" i="4" s="1"/>
  <c r="F15" i="4"/>
  <c r="H15" i="4"/>
  <c r="I15" i="4"/>
  <c r="J15" i="4" s="1"/>
  <c r="F16" i="4"/>
  <c r="H16" i="4"/>
  <c r="F18" i="4"/>
  <c r="G18" i="4" s="1"/>
  <c r="M18" i="4" s="1"/>
  <c r="I19" i="4"/>
  <c r="J19" i="4" s="1"/>
  <c r="F23" i="4"/>
  <c r="H23" i="4"/>
  <c r="I23" i="4"/>
  <c r="J23" i="4" s="1"/>
  <c r="H24" i="4"/>
  <c r="I24" i="4"/>
  <c r="J24" i="4" s="1"/>
  <c r="I26" i="4"/>
  <c r="J26" i="4" s="1"/>
  <c r="H26" i="4"/>
  <c r="H29" i="4"/>
  <c r="F31" i="4"/>
  <c r="N31" i="4" s="1"/>
  <c r="H31" i="4"/>
  <c r="I31" i="4"/>
  <c r="J31" i="4" s="1"/>
  <c r="H32" i="4"/>
  <c r="C9" i="4"/>
  <c r="C10" i="4"/>
  <c r="C11" i="4"/>
  <c r="C12" i="4"/>
  <c r="C13" i="4"/>
  <c r="C14" i="4"/>
  <c r="C15" i="4"/>
  <c r="C16" i="4"/>
  <c r="C17" i="4"/>
  <c r="C18" i="4"/>
  <c r="C19" i="4"/>
  <c r="C20" i="4"/>
  <c r="C21" i="4"/>
  <c r="C22" i="4"/>
  <c r="C23" i="4"/>
  <c r="C24" i="4"/>
  <c r="C25" i="4"/>
  <c r="C26" i="4"/>
  <c r="C27" i="4"/>
  <c r="C28" i="4"/>
  <c r="C29" i="4"/>
  <c r="C30" i="4"/>
  <c r="C31" i="4"/>
  <c r="C32" i="4"/>
  <c r="A9" i="4"/>
  <c r="A10" i="4"/>
  <c r="A5" i="4"/>
  <c r="C5" i="4"/>
  <c r="A6" i="4"/>
  <c r="C6" i="4"/>
  <c r="A7" i="4"/>
  <c r="C7" i="4"/>
  <c r="F7" i="4"/>
  <c r="H7" i="4"/>
  <c r="I7" i="4"/>
  <c r="J7" i="4" s="1"/>
  <c r="A8" i="4"/>
  <c r="C8" i="4"/>
  <c r="A11" i="4"/>
  <c r="A12" i="4"/>
  <c r="A13" i="4"/>
  <c r="A15" i="4"/>
  <c r="A16" i="4"/>
  <c r="A17" i="4"/>
  <c r="A18" i="4"/>
  <c r="A19" i="4"/>
  <c r="A20" i="4"/>
  <c r="A21" i="4"/>
  <c r="A22" i="4"/>
  <c r="A23" i="4"/>
  <c r="A24" i="4"/>
  <c r="A25" i="4"/>
  <c r="A26" i="4"/>
  <c r="A27" i="4"/>
  <c r="A28" i="4"/>
  <c r="A29" i="4"/>
  <c r="A30" i="4"/>
  <c r="A31" i="4"/>
  <c r="A32" i="4"/>
  <c r="H18" i="4" l="1"/>
  <c r="H10" i="4"/>
  <c r="I6" i="4"/>
  <c r="J6" i="4" s="1"/>
  <c r="F32" i="4"/>
  <c r="N32" i="4" s="1"/>
  <c r="F13" i="4"/>
  <c r="L13" i="4" s="1"/>
  <c r="I5" i="4"/>
  <c r="J5" i="4" s="1"/>
  <c r="H5" i="4"/>
  <c r="I28" i="4"/>
  <c r="J28" i="4" s="1"/>
  <c r="H20" i="4"/>
  <c r="H28" i="4"/>
  <c r="I12" i="4"/>
  <c r="J12" i="4" s="1"/>
  <c r="N28" i="4"/>
  <c r="G28" i="4"/>
  <c r="M28" i="4" s="1"/>
  <c r="I22" i="4"/>
  <c r="J22" i="4" s="1"/>
  <c r="H30" i="4"/>
  <c r="H12" i="4"/>
  <c r="F30" i="4"/>
  <c r="N30" i="4" s="1"/>
  <c r="H14" i="4"/>
  <c r="I20" i="4"/>
  <c r="J20" i="4" s="1"/>
  <c r="F6" i="4"/>
  <c r="N6" i="4" s="1"/>
  <c r="I29" i="4"/>
  <c r="J29" i="4" s="1"/>
  <c r="I11" i="4"/>
  <c r="J11" i="4" s="1"/>
  <c r="H19" i="4"/>
  <c r="H11" i="4"/>
  <c r="I27" i="4"/>
  <c r="J27" i="4" s="1"/>
  <c r="H27" i="4"/>
  <c r="G10" i="4"/>
  <c r="M10" i="4" s="1"/>
  <c r="F9" i="4"/>
  <c r="L9" i="4" s="1"/>
  <c r="F14" i="4"/>
  <c r="L14" i="4" s="1"/>
  <c r="G25" i="4"/>
  <c r="M25" i="4" s="1"/>
  <c r="L25" i="4"/>
  <c r="N25" i="4"/>
  <c r="G21" i="4"/>
  <c r="M21" i="4" s="1"/>
  <c r="L21" i="4"/>
  <c r="N21" i="4"/>
  <c r="G17" i="4"/>
  <c r="M17" i="4" s="1"/>
  <c r="L17" i="4"/>
  <c r="N17" i="4"/>
  <c r="N16" i="4"/>
  <c r="G16" i="4"/>
  <c r="M16" i="4" s="1"/>
  <c r="L28" i="4"/>
  <c r="L26" i="4"/>
  <c r="N26" i="4"/>
  <c r="N24" i="4"/>
  <c r="G24" i="4"/>
  <c r="M24" i="4" s="1"/>
  <c r="L22" i="4"/>
  <c r="N22" i="4"/>
  <c r="N20" i="4"/>
  <c r="G20" i="4"/>
  <c r="M20" i="4" s="1"/>
  <c r="L18" i="4"/>
  <c r="N18" i="4"/>
  <c r="L31" i="4"/>
  <c r="G31" i="4"/>
  <c r="M31" i="4" s="1"/>
  <c r="N29" i="4"/>
  <c r="L15" i="4"/>
  <c r="N15" i="4"/>
  <c r="G15" i="4"/>
  <c r="M15" i="4" s="1"/>
  <c r="L27" i="4"/>
  <c r="G27" i="4"/>
  <c r="M27" i="4" s="1"/>
  <c r="L16" i="4"/>
  <c r="N13" i="4"/>
  <c r="L23" i="4"/>
  <c r="N23" i="4"/>
  <c r="G23" i="4"/>
  <c r="M23" i="4" s="1"/>
  <c r="I21" i="4"/>
  <c r="J21" i="4" s="1"/>
  <c r="H21" i="4"/>
  <c r="L19" i="4"/>
  <c r="N19" i="4"/>
  <c r="G19" i="4"/>
  <c r="M19" i="4" s="1"/>
  <c r="I17" i="4"/>
  <c r="J17" i="4" s="1"/>
  <c r="H17" i="4"/>
  <c r="I25" i="4"/>
  <c r="J25" i="4" s="1"/>
  <c r="H25" i="4"/>
  <c r="G29" i="4"/>
  <c r="M29" i="4" s="1"/>
  <c r="L29" i="4"/>
  <c r="L12" i="4"/>
  <c r="N12" i="4"/>
  <c r="G12" i="4"/>
  <c r="M12" i="4" s="1"/>
  <c r="L11" i="4"/>
  <c r="N11" i="4"/>
  <c r="G11" i="4"/>
  <c r="M11" i="4" s="1"/>
  <c r="N10" i="4"/>
  <c r="I9" i="4"/>
  <c r="J9" i="4" s="1"/>
  <c r="H13" i="4"/>
  <c r="H8" i="4"/>
  <c r="I8" i="4"/>
  <c r="J8" i="4" s="1"/>
  <c r="L8" i="4"/>
  <c r="N8" i="4"/>
  <c r="G8" i="4"/>
  <c r="M8" i="4" s="1"/>
  <c r="L7" i="4"/>
  <c r="N7" i="4"/>
  <c r="G7" i="4"/>
  <c r="M7" i="4" s="1"/>
  <c r="L5" i="4"/>
  <c r="N5" i="4"/>
  <c r="G5" i="4"/>
  <c r="M5" i="4" s="1"/>
  <c r="I4" i="4"/>
  <c r="J4" i="4" s="1"/>
  <c r="L6" i="4" l="1"/>
  <c r="G14" i="4"/>
  <c r="M14" i="4" s="1"/>
  <c r="G13" i="4"/>
  <c r="M13" i="4" s="1"/>
  <c r="G30" i="4"/>
  <c r="M30" i="4" s="1"/>
  <c r="O24" i="4"/>
  <c r="P24" i="4" s="1"/>
  <c r="Q24" i="4" s="1"/>
  <c r="R24" i="4" s="1"/>
  <c r="S24" i="4" s="1"/>
  <c r="T24" i="4" s="1"/>
  <c r="V24" i="4" s="1"/>
  <c r="L32" i="4"/>
  <c r="G32" i="4"/>
  <c r="M32" i="4" s="1"/>
  <c r="N9" i="4"/>
  <c r="G6" i="4"/>
  <c r="M6" i="4" s="1"/>
  <c r="O6" i="4" s="1"/>
  <c r="P6" i="4" s="1"/>
  <c r="Q6" i="4" s="1"/>
  <c r="R6" i="4" s="1"/>
  <c r="S6" i="4" s="1"/>
  <c r="O28" i="4"/>
  <c r="P28" i="4" s="1"/>
  <c r="Q28" i="4" s="1"/>
  <c r="R28" i="4" s="1"/>
  <c r="S28" i="4" s="1"/>
  <c r="T28" i="4" s="1"/>
  <c r="V28" i="4" s="1"/>
  <c r="O20" i="4"/>
  <c r="P20" i="4" s="1"/>
  <c r="Q20" i="4" s="1"/>
  <c r="R20" i="4" s="1"/>
  <c r="S20" i="4" s="1"/>
  <c r="T20" i="4" s="1"/>
  <c r="V20" i="4" s="1"/>
  <c r="G9" i="4"/>
  <c r="M9" i="4" s="1"/>
  <c r="N14" i="4"/>
  <c r="O14" i="4" s="1"/>
  <c r="P14" i="4" s="1"/>
  <c r="Q14" i="4" s="1"/>
  <c r="R14" i="4" s="1"/>
  <c r="S14" i="4" s="1"/>
  <c r="T14" i="4" s="1"/>
  <c r="V14" i="4" s="1"/>
  <c r="L30" i="4"/>
  <c r="O10" i="4"/>
  <c r="P10" i="4" s="1"/>
  <c r="Q10" i="4" s="1"/>
  <c r="R10" i="4" s="1"/>
  <c r="S10" i="4" s="1"/>
  <c r="T10" i="4" s="1"/>
  <c r="V10" i="4" s="1"/>
  <c r="O15" i="4"/>
  <c r="P15" i="4" s="1"/>
  <c r="Q15" i="4" s="1"/>
  <c r="R15" i="4" s="1"/>
  <c r="S15" i="4" s="1"/>
  <c r="O12" i="4"/>
  <c r="P12" i="4" s="1"/>
  <c r="Q12" i="4" s="1"/>
  <c r="R12" i="4" s="1"/>
  <c r="S12" i="4" s="1"/>
  <c r="O27" i="4"/>
  <c r="P27" i="4" s="1"/>
  <c r="Q27" i="4" s="1"/>
  <c r="R27" i="4" s="1"/>
  <c r="S27" i="4" s="1"/>
  <c r="O29" i="4"/>
  <c r="P29" i="4" s="1"/>
  <c r="Q29" i="4" s="1"/>
  <c r="R29" i="4" s="1"/>
  <c r="S29" i="4" s="1"/>
  <c r="O13" i="4"/>
  <c r="P13" i="4" s="1"/>
  <c r="Q13" i="4" s="1"/>
  <c r="R13" i="4" s="1"/>
  <c r="S13" i="4" s="1"/>
  <c r="O22" i="4"/>
  <c r="P22" i="4" s="1"/>
  <c r="Q22" i="4" s="1"/>
  <c r="R22" i="4" s="1"/>
  <c r="S22" i="4" s="1"/>
  <c r="O21" i="4"/>
  <c r="P21" i="4" s="1"/>
  <c r="Q21" i="4" s="1"/>
  <c r="R21" i="4" s="1"/>
  <c r="S21" i="4" s="1"/>
  <c r="O31" i="4"/>
  <c r="P31" i="4" s="1"/>
  <c r="Q31" i="4" s="1"/>
  <c r="R31" i="4" s="1"/>
  <c r="S31" i="4" s="1"/>
  <c r="O11" i="4"/>
  <c r="P11" i="4" s="1"/>
  <c r="Q11" i="4" s="1"/>
  <c r="R11" i="4" s="1"/>
  <c r="S11" i="4" s="1"/>
  <c r="O16" i="4"/>
  <c r="P16" i="4" s="1"/>
  <c r="Q16" i="4" s="1"/>
  <c r="R16" i="4" s="1"/>
  <c r="S16" i="4" s="1"/>
  <c r="O18" i="4"/>
  <c r="P18" i="4" s="1"/>
  <c r="Q18" i="4" s="1"/>
  <c r="R18" i="4" s="1"/>
  <c r="S18" i="4" s="1"/>
  <c r="O26" i="4"/>
  <c r="P26" i="4" s="1"/>
  <c r="Q26" i="4" s="1"/>
  <c r="R26" i="4" s="1"/>
  <c r="S26" i="4" s="1"/>
  <c r="O19" i="4"/>
  <c r="P19" i="4" s="1"/>
  <c r="Q19" i="4" s="1"/>
  <c r="R19" i="4" s="1"/>
  <c r="S19" i="4" s="1"/>
  <c r="O23" i="4"/>
  <c r="P23" i="4" s="1"/>
  <c r="Q23" i="4" s="1"/>
  <c r="R23" i="4" s="1"/>
  <c r="S23" i="4" s="1"/>
  <c r="O17" i="4"/>
  <c r="P17" i="4" s="1"/>
  <c r="Q17" i="4" s="1"/>
  <c r="R17" i="4" s="1"/>
  <c r="S17" i="4" s="1"/>
  <c r="O25" i="4"/>
  <c r="P25" i="4" s="1"/>
  <c r="Q25" i="4" s="1"/>
  <c r="R25" i="4" s="1"/>
  <c r="S25" i="4" s="1"/>
  <c r="O8" i="4"/>
  <c r="P8" i="4" s="1"/>
  <c r="Q8" i="4" s="1"/>
  <c r="R8" i="4" s="1"/>
  <c r="S8" i="4" s="1"/>
  <c r="O5" i="4"/>
  <c r="P5" i="4" s="1"/>
  <c r="Q5" i="4" s="1"/>
  <c r="R5" i="4" s="1"/>
  <c r="S5" i="4" s="1"/>
  <c r="O7" i="4"/>
  <c r="P7" i="4" s="1"/>
  <c r="Q7" i="4" s="1"/>
  <c r="R7" i="4" s="1"/>
  <c r="S7" i="4" s="1"/>
  <c r="C23" i="10"/>
  <c r="A4" i="4"/>
  <c r="O9" i="4" l="1"/>
  <c r="P9" i="4" s="1"/>
  <c r="Q9" i="4" s="1"/>
  <c r="R9" i="4" s="1"/>
  <c r="S9" i="4" s="1"/>
  <c r="T9" i="4" s="1"/>
  <c r="V9" i="4" s="1"/>
  <c r="O32" i="4"/>
  <c r="P32" i="4" s="1"/>
  <c r="Q32" i="4" s="1"/>
  <c r="R32" i="4" s="1"/>
  <c r="S32" i="4" s="1"/>
  <c r="T32" i="4" s="1"/>
  <c r="V32" i="4" s="1"/>
  <c r="U24" i="4"/>
  <c r="O30" i="4"/>
  <c r="P30" i="4" s="1"/>
  <c r="Q30" i="4" s="1"/>
  <c r="R30" i="4" s="1"/>
  <c r="S30" i="4" s="1"/>
  <c r="U28" i="4"/>
  <c r="U20" i="4"/>
  <c r="U10" i="4"/>
  <c r="U14" i="4"/>
  <c r="T27" i="4"/>
  <c r="V27" i="4" s="1"/>
  <c r="U27" i="4"/>
  <c r="T31" i="4"/>
  <c r="V31" i="4" s="1"/>
  <c r="U31" i="4"/>
  <c r="U9" i="4"/>
  <c r="T15" i="4"/>
  <c r="V15" i="4" s="1"/>
  <c r="U15" i="4"/>
  <c r="T21" i="4"/>
  <c r="V21" i="4" s="1"/>
  <c r="U21" i="4"/>
  <c r="T12" i="4"/>
  <c r="V12" i="4" s="1"/>
  <c r="U12" i="4"/>
  <c r="T26" i="4"/>
  <c r="V26" i="4" s="1"/>
  <c r="U26" i="4"/>
  <c r="T17" i="4"/>
  <c r="V17" i="4" s="1"/>
  <c r="U17" i="4"/>
  <c r="T18" i="4"/>
  <c r="V18" i="4" s="1"/>
  <c r="U18" i="4"/>
  <c r="T13" i="4"/>
  <c r="V13" i="4" s="1"/>
  <c r="U13" i="4"/>
  <c r="T11" i="4"/>
  <c r="V11" i="4" s="1"/>
  <c r="U11" i="4"/>
  <c r="T23" i="4"/>
  <c r="V23" i="4" s="1"/>
  <c r="U23" i="4"/>
  <c r="T19" i="4"/>
  <c r="V19" i="4" s="1"/>
  <c r="U19" i="4"/>
  <c r="T25" i="4"/>
  <c r="V25" i="4" s="1"/>
  <c r="U25" i="4"/>
  <c r="T22" i="4"/>
  <c r="V22" i="4" s="1"/>
  <c r="U22" i="4"/>
  <c r="U16" i="4"/>
  <c r="T16" i="4"/>
  <c r="V16" i="4" s="1"/>
  <c r="T29" i="4"/>
  <c r="V29" i="4" s="1"/>
  <c r="U29" i="4"/>
  <c r="T7" i="4"/>
  <c r="V7" i="4" s="1"/>
  <c r="U7" i="4"/>
  <c r="T5" i="4"/>
  <c r="V5" i="4" s="1"/>
  <c r="U5" i="4"/>
  <c r="T6" i="4"/>
  <c r="V6" i="4" s="1"/>
  <c r="U6" i="4"/>
  <c r="T8" i="4"/>
  <c r="V8" i="4" s="1"/>
  <c r="U8" i="4"/>
  <c r="C48" i="8"/>
  <c r="C47" i="8"/>
  <c r="C46" i="8"/>
  <c r="C45" i="8"/>
  <c r="C44" i="8"/>
  <c r="C43" i="8"/>
  <c r="C42" i="8"/>
  <c r="C41" i="8"/>
  <c r="C40" i="8"/>
  <c r="C39" i="8"/>
  <c r="C38" i="8"/>
  <c r="C37" i="8"/>
  <c r="C36" i="8"/>
  <c r="C35" i="8"/>
  <c r="C30" i="8"/>
  <c r="C31" i="8"/>
  <c r="C32" i="8"/>
  <c r="C33" i="8"/>
  <c r="C29" i="8"/>
  <c r="AA8" i="4" l="1"/>
  <c r="AA12" i="4"/>
  <c r="AA14" i="4"/>
  <c r="AA15" i="4"/>
  <c r="AA9" i="4"/>
  <c r="AA13" i="4"/>
  <c r="AA10" i="4"/>
  <c r="AA11" i="4"/>
  <c r="U32" i="4"/>
  <c r="T30" i="4"/>
  <c r="V30" i="4" s="1"/>
  <c r="U30" i="4"/>
  <c r="AA19" i="4"/>
  <c r="AA20" i="4"/>
  <c r="AA23" i="4"/>
  <c r="AA28" i="4"/>
  <c r="AA24" i="4"/>
  <c r="AA16" i="4"/>
  <c r="AA29" i="4"/>
  <c r="AA32" i="4"/>
  <c r="AA18" i="4"/>
  <c r="AA31" i="4"/>
  <c r="AA5" i="4"/>
  <c r="AA7" i="4"/>
  <c r="AA27" i="4"/>
  <c r="AA26" i="4"/>
  <c r="AA22" i="4"/>
  <c r="AA30" i="4"/>
  <c r="AA6" i="4"/>
  <c r="AA25" i="4"/>
  <c r="AA21" i="4"/>
  <c r="AA17" i="4"/>
  <c r="AA4" i="4"/>
  <c r="E16" i="11" l="1"/>
  <c r="G16" i="11"/>
  <c r="AB18" i="4"/>
  <c r="F16" i="11" s="1"/>
  <c r="G5" i="11"/>
  <c r="E5" i="11"/>
  <c r="AB7" i="4"/>
  <c r="F5" i="11" s="1"/>
  <c r="E12" i="11"/>
  <c r="G12" i="11"/>
  <c r="AB14" i="4"/>
  <c r="F12" i="11" s="1"/>
  <c r="E2" i="11"/>
  <c r="AB4" i="4"/>
  <c r="F2" i="11" s="1"/>
  <c r="G2" i="11"/>
  <c r="E25" i="11"/>
  <c r="G25" i="11"/>
  <c r="AB27" i="4"/>
  <c r="F25" i="11" s="1"/>
  <c r="E17" i="11"/>
  <c r="G17" i="11"/>
  <c r="AB19" i="4"/>
  <c r="F17" i="11" s="1"/>
  <c r="E9" i="11"/>
  <c r="G9" i="11"/>
  <c r="AB11" i="4"/>
  <c r="F9" i="11" s="1"/>
  <c r="E15" i="11"/>
  <c r="G15" i="11"/>
  <c r="AB17" i="4"/>
  <c r="F15" i="11" s="1"/>
  <c r="E19" i="11"/>
  <c r="G19" i="11"/>
  <c r="AB21" i="4"/>
  <c r="F19" i="11" s="1"/>
  <c r="E20" i="11"/>
  <c r="G20" i="11"/>
  <c r="AB22" i="4"/>
  <c r="F20" i="11" s="1"/>
  <c r="E3" i="11"/>
  <c r="AB5" i="4"/>
  <c r="F3" i="11" s="1"/>
  <c r="G3" i="11"/>
  <c r="E27" i="11"/>
  <c r="G27" i="11"/>
  <c r="AB29" i="4"/>
  <c r="F27" i="11" s="1"/>
  <c r="E21" i="11"/>
  <c r="G21" i="11"/>
  <c r="AB23" i="4"/>
  <c r="F21" i="11" s="1"/>
  <c r="E11" i="11"/>
  <c r="G11" i="11"/>
  <c r="AB13" i="4"/>
  <c r="F11" i="11" s="1"/>
  <c r="E10" i="11"/>
  <c r="G10" i="11"/>
  <c r="AB12" i="4"/>
  <c r="F10" i="11" s="1"/>
  <c r="E4" i="11"/>
  <c r="AB6" i="4"/>
  <c r="F4" i="11" s="1"/>
  <c r="G4" i="11"/>
  <c r="E22" i="11"/>
  <c r="AB24" i="4"/>
  <c r="F22" i="11" s="1"/>
  <c r="G22" i="11"/>
  <c r="E13" i="11"/>
  <c r="G13" i="11"/>
  <c r="AB15" i="4"/>
  <c r="F13" i="11" s="1"/>
  <c r="E28" i="11"/>
  <c r="AB30" i="4"/>
  <c r="F28" i="11" s="1"/>
  <c r="G28" i="11"/>
  <c r="E30" i="11"/>
  <c r="G30" i="11"/>
  <c r="AB32" i="4"/>
  <c r="F30" i="11" s="1"/>
  <c r="E26" i="11"/>
  <c r="AB28" i="4"/>
  <c r="F26" i="11" s="1"/>
  <c r="G26" i="11"/>
  <c r="E8" i="11"/>
  <c r="G8" i="11"/>
  <c r="AB10" i="4"/>
  <c r="F8" i="11" s="1"/>
  <c r="E23" i="11"/>
  <c r="G23" i="11"/>
  <c r="AB25" i="4"/>
  <c r="F23" i="11" s="1"/>
  <c r="E24" i="11"/>
  <c r="G24" i="11"/>
  <c r="AB26" i="4"/>
  <c r="F24" i="11" s="1"/>
  <c r="E29" i="11"/>
  <c r="G29" i="11"/>
  <c r="AB31" i="4"/>
  <c r="F29" i="11" s="1"/>
  <c r="E14" i="11"/>
  <c r="G14" i="11"/>
  <c r="AB16" i="4"/>
  <c r="F14" i="11" s="1"/>
  <c r="E18" i="11"/>
  <c r="G18" i="11"/>
  <c r="AB20" i="4"/>
  <c r="F18" i="11" s="1"/>
  <c r="E7" i="11"/>
  <c r="G7" i="11"/>
  <c r="AB9" i="4"/>
  <c r="F7" i="11" s="1"/>
  <c r="E6" i="11"/>
  <c r="AB8" i="4"/>
  <c r="F6" i="11" s="1"/>
  <c r="G6" i="11"/>
  <c r="H4" i="4"/>
  <c r="F4" i="4" l="1"/>
  <c r="L4" i="4" s="1"/>
  <c r="N4" i="4" l="1"/>
  <c r="G4" i="4"/>
  <c r="M4" i="4" s="1"/>
  <c r="O4" i="4" l="1"/>
  <c r="P4" i="4" l="1"/>
  <c r="Q4" i="4" s="1"/>
  <c r="R4" i="4" s="1"/>
  <c r="S4" i="4" s="1"/>
  <c r="U4" i="4" l="1"/>
  <c r="T4" i="4"/>
  <c r="V4" i="4" s="1"/>
  <c r="X30" i="4" l="1"/>
  <c r="W30" i="4"/>
  <c r="W24" i="4"/>
  <c r="X28" i="4"/>
  <c r="W20" i="4"/>
  <c r="X10" i="4"/>
  <c r="X24" i="4"/>
  <c r="X20" i="4"/>
  <c r="W28" i="4"/>
  <c r="W14" i="4"/>
  <c r="X14" i="4"/>
  <c r="W10" i="4"/>
  <c r="W26" i="4"/>
  <c r="X17" i="4"/>
  <c r="X13" i="4"/>
  <c r="W32" i="4"/>
  <c r="W16" i="4"/>
  <c r="W5" i="4"/>
  <c r="X26" i="4"/>
  <c r="W17" i="4"/>
  <c r="W13" i="4"/>
  <c r="X32" i="4"/>
  <c r="X16" i="4"/>
  <c r="X5" i="4"/>
  <c r="W27" i="4"/>
  <c r="W31" i="4"/>
  <c r="W21" i="4"/>
  <c r="X7" i="4"/>
  <c r="W18" i="4"/>
  <c r="W6" i="4"/>
  <c r="W29" i="4"/>
  <c r="W11" i="4"/>
  <c r="W22" i="4"/>
  <c r="X27" i="4"/>
  <c r="X31" i="4"/>
  <c r="X15" i="4"/>
  <c r="X21" i="4"/>
  <c r="W7" i="4"/>
  <c r="X22" i="4"/>
  <c r="W15" i="4"/>
  <c r="X19" i="4"/>
  <c r="X6" i="4"/>
  <c r="W12" i="4"/>
  <c r="X23" i="4"/>
  <c r="X9" i="4"/>
  <c r="X25" i="4"/>
  <c r="W8" i="4"/>
  <c r="X12" i="4"/>
  <c r="W23" i="4"/>
  <c r="W9" i="4"/>
  <c r="W25" i="4"/>
  <c r="X8" i="4"/>
  <c r="X29" i="4"/>
  <c r="X11" i="4"/>
  <c r="X18" i="4"/>
  <c r="W19" i="4"/>
  <c r="F29" i="5"/>
  <c r="F26" i="5"/>
  <c r="W4" i="4"/>
  <c r="X4" i="4"/>
  <c r="B2" i="11" l="1"/>
  <c r="Z4" i="4"/>
  <c r="D2" i="11" s="1"/>
  <c r="B10" i="11"/>
  <c r="Z12" i="4"/>
  <c r="D10" i="11" s="1"/>
  <c r="B5" i="11"/>
  <c r="Z7" i="4"/>
  <c r="D5" i="11" s="1"/>
  <c r="B16" i="11"/>
  <c r="Z18" i="4"/>
  <c r="D16" i="11" s="1"/>
  <c r="B20" i="11"/>
  <c r="Z22" i="4"/>
  <c r="D20" i="11" s="1"/>
  <c r="B29" i="11"/>
  <c r="Z31" i="4"/>
  <c r="D29" i="11" s="1"/>
  <c r="B14" i="11"/>
  <c r="Z16" i="4"/>
  <c r="D14" i="11" s="1"/>
  <c r="B24" i="11"/>
  <c r="Z26" i="4"/>
  <c r="D24" i="11" s="1"/>
  <c r="B11" i="11"/>
  <c r="Z13" i="4"/>
  <c r="D11" i="11" s="1"/>
  <c r="B12" i="11"/>
  <c r="Z14" i="4"/>
  <c r="D12" i="11" s="1"/>
  <c r="B22" i="11"/>
  <c r="Z24" i="4"/>
  <c r="D22" i="11" s="1"/>
  <c r="B21" i="11"/>
  <c r="Z23" i="4"/>
  <c r="D21" i="11" s="1"/>
  <c r="B3" i="11"/>
  <c r="Z5" i="4"/>
  <c r="D3" i="11" s="1"/>
  <c r="B26" i="11"/>
  <c r="Z28" i="4"/>
  <c r="D26" i="11" s="1"/>
  <c r="B9" i="11"/>
  <c r="Z11" i="4"/>
  <c r="D9" i="11" s="1"/>
  <c r="B23" i="11"/>
  <c r="Z25" i="4"/>
  <c r="D23" i="11" s="1"/>
  <c r="B4" i="11"/>
  <c r="Z6" i="4"/>
  <c r="D4" i="11" s="1"/>
  <c r="B25" i="11"/>
  <c r="Z27" i="4"/>
  <c r="D25" i="11" s="1"/>
  <c r="B30" i="11"/>
  <c r="Z32" i="4"/>
  <c r="D30" i="11" s="1"/>
  <c r="B15" i="11"/>
  <c r="Z17" i="4"/>
  <c r="D15" i="11" s="1"/>
  <c r="B8" i="11"/>
  <c r="Z10" i="4"/>
  <c r="D8" i="11" s="1"/>
  <c r="B6" i="11"/>
  <c r="Z8" i="4"/>
  <c r="D6" i="11" s="1"/>
  <c r="B13" i="11"/>
  <c r="Z15" i="4"/>
  <c r="D13" i="11" s="1"/>
  <c r="B18" i="11"/>
  <c r="Z20" i="4"/>
  <c r="D18" i="11" s="1"/>
  <c r="B27" i="11"/>
  <c r="Z29" i="4"/>
  <c r="D27" i="11" s="1"/>
  <c r="B7" i="11"/>
  <c r="Z9" i="4"/>
  <c r="D7" i="11" s="1"/>
  <c r="B17" i="11"/>
  <c r="Z19" i="4"/>
  <c r="D17" i="11" s="1"/>
  <c r="B19" i="11"/>
  <c r="Z21" i="4"/>
  <c r="D19" i="11" s="1"/>
  <c r="B28" i="11"/>
  <c r="Z30" i="4"/>
  <c r="D28" i="11" s="1"/>
  <c r="Y4" i="4"/>
  <c r="C2" i="11" s="1"/>
  <c r="Y12" i="4"/>
  <c r="C10" i="11" s="1"/>
  <c r="Y5" i="4"/>
  <c r="C3" i="11" s="1"/>
  <c r="Y20" i="4"/>
  <c r="F19" i="7"/>
  <c r="Y28" i="4"/>
  <c r="C26" i="11" s="1"/>
  <c r="Y18" i="4"/>
  <c r="Y22" i="4"/>
  <c r="C20" i="11" s="1"/>
  <c r="Y31" i="4"/>
  <c r="C29" i="11" s="1"/>
  <c r="Y16" i="4"/>
  <c r="C14" i="11" s="1"/>
  <c r="Y26" i="4"/>
  <c r="C24" i="11" s="1"/>
  <c r="G25" i="7"/>
  <c r="Y13" i="4"/>
  <c r="Y14" i="4"/>
  <c r="C12" i="11" s="1"/>
  <c r="Y24" i="4"/>
  <c r="C22" i="11" s="1"/>
  <c r="Y8" i="4"/>
  <c r="C6" i="11" s="1"/>
  <c r="Y11" i="4"/>
  <c r="C9" i="11" s="1"/>
  <c r="Y25" i="4"/>
  <c r="C23" i="11" s="1"/>
  <c r="Y6" i="4"/>
  <c r="C4" i="11" s="1"/>
  <c r="Y27" i="4"/>
  <c r="C25" i="11" s="1"/>
  <c r="Y32" i="4"/>
  <c r="C30" i="11" s="1"/>
  <c r="Y17" i="4"/>
  <c r="C15" i="11" s="1"/>
  <c r="Y10" i="4"/>
  <c r="C8" i="11" s="1"/>
  <c r="Y23" i="4"/>
  <c r="C21" i="11" s="1"/>
  <c r="Y15" i="4"/>
  <c r="C13" i="11" s="1"/>
  <c r="Y7" i="4"/>
  <c r="H6" i="7"/>
  <c r="Y29" i="4"/>
  <c r="Y9" i="4"/>
  <c r="C7" i="11" s="1"/>
  <c r="Y19" i="4"/>
  <c r="C17" i="11" s="1"/>
  <c r="Y21" i="4"/>
  <c r="Y30" i="4"/>
  <c r="C28" i="11" s="1"/>
  <c r="H25" i="5"/>
  <c r="G30" i="5"/>
  <c r="H13" i="5"/>
  <c r="G5" i="5"/>
  <c r="G18" i="5"/>
  <c r="H22" i="5"/>
  <c r="F31" i="5"/>
  <c r="H9" i="5"/>
  <c r="G20" i="5"/>
  <c r="F14" i="5"/>
  <c r="H6" i="5"/>
  <c r="H27" i="5"/>
  <c r="F21" i="5"/>
  <c r="H23" i="5"/>
  <c r="G16" i="5"/>
  <c r="G24" i="5"/>
  <c r="H11" i="5"/>
  <c r="G7" i="5"/>
  <c r="F4" i="5"/>
  <c r="G3" i="7"/>
  <c r="H29" i="7"/>
  <c r="F23" i="7"/>
  <c r="G28" i="7"/>
  <c r="F4" i="7"/>
  <c r="G14" i="7"/>
  <c r="F31" i="7"/>
  <c r="G18" i="7"/>
  <c r="F5" i="7"/>
  <c r="F12" i="7"/>
  <c r="F15" i="5"/>
  <c r="H21" i="5"/>
  <c r="H7" i="5"/>
  <c r="F22" i="5"/>
  <c r="H20" i="5"/>
  <c r="G19" i="5"/>
  <c r="H19" i="5"/>
  <c r="G4" i="6"/>
  <c r="F6" i="5"/>
  <c r="F31" i="6"/>
  <c r="F22" i="6"/>
  <c r="H28" i="6"/>
  <c r="F7" i="5"/>
  <c r="F28" i="5"/>
  <c r="G13" i="5"/>
  <c r="G28" i="5"/>
  <c r="F5" i="6"/>
  <c r="F5" i="5"/>
  <c r="G28" i="6"/>
  <c r="G6" i="5"/>
  <c r="F7" i="6"/>
  <c r="F20" i="5"/>
  <c r="H5" i="5"/>
  <c r="H12" i="5"/>
  <c r="F19" i="5"/>
  <c r="H13" i="6"/>
  <c r="H3" i="5"/>
  <c r="H19" i="6"/>
  <c r="G15" i="5"/>
  <c r="F13" i="5"/>
  <c r="F19" i="6"/>
  <c r="H26" i="6"/>
  <c r="F23" i="5"/>
  <c r="H18" i="5"/>
  <c r="F3" i="5"/>
  <c r="H18" i="6"/>
  <c r="G23" i="5"/>
  <c r="H3" i="6"/>
  <c r="H29" i="5"/>
  <c r="F18" i="5"/>
  <c r="G14" i="5"/>
  <c r="G29" i="5"/>
  <c r="G3" i="5"/>
  <c r="H14" i="5"/>
  <c r="F25" i="5"/>
  <c r="G17" i="5"/>
  <c r="H25" i="6"/>
  <c r="G9" i="5"/>
  <c r="F17" i="5"/>
  <c r="F10" i="5"/>
  <c r="H10" i="5"/>
  <c r="G27" i="5"/>
  <c r="G11" i="5"/>
  <c r="F8" i="5"/>
  <c r="G10" i="5"/>
  <c r="H15" i="5"/>
  <c r="H17" i="5"/>
  <c r="G31" i="5"/>
  <c r="H8" i="5"/>
  <c r="H9" i="7"/>
  <c r="F30" i="5"/>
  <c r="F15" i="6"/>
  <c r="H11" i="6"/>
  <c r="F16" i="5"/>
  <c r="H24" i="5"/>
  <c r="F10" i="7"/>
  <c r="G8" i="5"/>
  <c r="F27" i="5"/>
  <c r="G21" i="5"/>
  <c r="G25" i="5"/>
  <c r="H16" i="5"/>
  <c r="G26" i="5"/>
  <c r="G9" i="6"/>
  <c r="F24" i="5"/>
  <c r="G4" i="5"/>
  <c r="H4" i="5"/>
  <c r="F27" i="6"/>
  <c r="F9" i="5"/>
  <c r="F11" i="5"/>
  <c r="H26" i="5"/>
  <c r="H31" i="5"/>
  <c r="G30" i="6"/>
  <c r="H30" i="5"/>
  <c r="F24" i="6"/>
  <c r="G22" i="5"/>
  <c r="H28" i="5"/>
  <c r="G12" i="5"/>
  <c r="F12" i="5"/>
  <c r="H12" i="6"/>
  <c r="H17" i="6"/>
  <c r="F12" i="6"/>
  <c r="G17" i="6"/>
  <c r="H29" i="6" l="1"/>
  <c r="G27" i="7"/>
  <c r="F20" i="6"/>
  <c r="C19" i="11"/>
  <c r="F28" i="6"/>
  <c r="C27" i="11"/>
  <c r="F22" i="7"/>
  <c r="F24" i="7"/>
  <c r="G19" i="6"/>
  <c r="C18" i="11"/>
  <c r="G8" i="6"/>
  <c r="F13" i="7"/>
  <c r="H26" i="7"/>
  <c r="F17" i="6"/>
  <c r="C16" i="11"/>
  <c r="F16" i="6"/>
  <c r="F8" i="7"/>
  <c r="F6" i="6"/>
  <c r="C5" i="11"/>
  <c r="G12" i="6"/>
  <c r="C11" i="11"/>
  <c r="F30" i="7"/>
  <c r="G11" i="7"/>
  <c r="H3" i="7"/>
  <c r="F3" i="7"/>
  <c r="H6" i="6"/>
  <c r="G6" i="6"/>
  <c r="G3" i="6"/>
  <c r="H4" i="6"/>
  <c r="G13" i="6"/>
  <c r="H12" i="7"/>
  <c r="H31" i="6"/>
  <c r="G31" i="6"/>
  <c r="G20" i="6"/>
  <c r="H20" i="6"/>
  <c r="F8" i="6"/>
  <c r="G29" i="7"/>
  <c r="G7" i="6"/>
  <c r="F4" i="6"/>
  <c r="F29" i="7"/>
  <c r="G22" i="6"/>
  <c r="H22" i="6"/>
  <c r="F26" i="7"/>
  <c r="G8" i="7"/>
  <c r="H27" i="6"/>
  <c r="H8" i="7"/>
  <c r="G22" i="7"/>
  <c r="H22" i="7"/>
  <c r="G5" i="6"/>
  <c r="F6" i="7"/>
  <c r="H5" i="6"/>
  <c r="H8" i="6"/>
  <c r="G25" i="6"/>
  <c r="G6" i="7"/>
  <c r="G4" i="7"/>
  <c r="H19" i="7"/>
  <c r="H4" i="7"/>
  <c r="H15" i="6"/>
  <c r="F3" i="6"/>
  <c r="G16" i="6"/>
  <c r="G5" i="7"/>
  <c r="G10" i="7"/>
  <c r="H5" i="7"/>
  <c r="H16" i="6"/>
  <c r="F27" i="7"/>
  <c r="G13" i="7"/>
  <c r="F13" i="6"/>
  <c r="H7" i="6"/>
  <c r="H13" i="7"/>
  <c r="H23" i="7"/>
  <c r="F18" i="6"/>
  <c r="G23" i="7"/>
  <c r="G18" i="6"/>
  <c r="F26" i="6"/>
  <c r="F29" i="6"/>
  <c r="G29" i="6"/>
  <c r="H30" i="6"/>
  <c r="G26" i="6"/>
  <c r="F14" i="7"/>
  <c r="H18" i="7"/>
  <c r="H14" i="7"/>
  <c r="G20" i="7"/>
  <c r="H20" i="7"/>
  <c r="F20" i="7"/>
  <c r="H28" i="7"/>
  <c r="G12" i="7"/>
  <c r="G27" i="6"/>
  <c r="G26" i="7"/>
  <c r="F18" i="7"/>
  <c r="F14" i="6"/>
  <c r="G14" i="6"/>
  <c r="H14" i="6"/>
  <c r="G19" i="7"/>
  <c r="F25" i="6"/>
  <c r="F28" i="7"/>
  <c r="F11" i="6"/>
  <c r="G11" i="6"/>
  <c r="H27" i="7"/>
  <c r="G15" i="6"/>
  <c r="H24" i="7"/>
  <c r="G24" i="7"/>
  <c r="Z45" i="4"/>
  <c r="AA45" i="4"/>
  <c r="Y45" i="4"/>
  <c r="G15" i="7"/>
  <c r="F15" i="7"/>
  <c r="H15" i="7"/>
  <c r="F21" i="6"/>
  <c r="G21" i="6"/>
  <c r="H21" i="6"/>
  <c r="G17" i="7"/>
  <c r="F17" i="7"/>
  <c r="H17" i="7"/>
  <c r="F21" i="7"/>
  <c r="G21" i="7"/>
  <c r="H21" i="7"/>
  <c r="H30" i="7"/>
  <c r="G30" i="7"/>
  <c r="H25" i="7"/>
  <c r="H24" i="6"/>
  <c r="G24" i="6"/>
  <c r="H9" i="6"/>
  <c r="F9" i="6"/>
  <c r="F23" i="6"/>
  <c r="H23" i="6"/>
  <c r="G23" i="6"/>
  <c r="F16" i="7"/>
  <c r="G16" i="7"/>
  <c r="H16" i="7"/>
  <c r="H11" i="7"/>
  <c r="H10" i="6"/>
  <c r="G10" i="6"/>
  <c r="F10" i="6"/>
  <c r="F30" i="6"/>
  <c r="F11" i="7"/>
  <c r="F7" i="7"/>
  <c r="H7" i="7"/>
  <c r="G7" i="7"/>
  <c r="H10" i="7"/>
  <c r="F25" i="7"/>
  <c r="G9" i="7"/>
  <c r="F9" i="7"/>
  <c r="G31" i="7"/>
  <c r="H31" i="7"/>
  <c r="AA46" i="4" l="1"/>
  <c r="AA47" i="4"/>
  <c r="Y46" i="4"/>
  <c r="Y47" i="4"/>
  <c r="Z47" i="4"/>
  <c r="Z46" i="4"/>
</calcChain>
</file>

<file path=xl/sharedStrings.xml><?xml version="1.0" encoding="utf-8"?>
<sst xmlns="http://schemas.openxmlformats.org/spreadsheetml/2006/main" count="242" uniqueCount="199">
  <si>
    <t>Gravity</t>
  </si>
  <si>
    <t>Horizontal distance</t>
  </si>
  <si>
    <t>gravity</t>
  </si>
  <si>
    <t>speed m/s</t>
  </si>
  <si>
    <t>road resistance</t>
  </si>
  <si>
    <t>Angle of slope in degrees</t>
  </si>
  <si>
    <t>Vertical distance</t>
  </si>
  <si>
    <t>Degree of slope calculations</t>
  </si>
  <si>
    <t xml:space="preserve">wind resistance </t>
  </si>
  <si>
    <t>Power calculations</t>
  </si>
  <si>
    <t>Speed through the air</t>
  </si>
  <si>
    <t>Gradient of slope (in %)</t>
  </si>
  <si>
    <t>Speed input data</t>
  </si>
  <si>
    <t>OTHER INPUT DATA</t>
  </si>
  <si>
    <t>Frontal Area</t>
  </si>
  <si>
    <t>Air density</t>
  </si>
  <si>
    <t>No head or tailwind</t>
  </si>
  <si>
    <t>Ground Resistance Coefficient</t>
  </si>
  <si>
    <t>No units</t>
  </si>
  <si>
    <t>kg</t>
  </si>
  <si>
    <t>Wind Resistance Coefficient</t>
  </si>
  <si>
    <t>m2</t>
  </si>
  <si>
    <t>kg/m2</t>
  </si>
  <si>
    <t>m/sec2</t>
  </si>
  <si>
    <t>Time of cycling bout</t>
  </si>
  <si>
    <t>minutes</t>
  </si>
  <si>
    <t>Weight of rider</t>
  </si>
  <si>
    <t>Weight of bike and bags</t>
  </si>
  <si>
    <t>Assumption of efficiency</t>
  </si>
  <si>
    <t>%</t>
  </si>
  <si>
    <t>Roughly sea level and 15 degrees temperature</t>
  </si>
  <si>
    <t>Energy expenditure calculations</t>
  </si>
  <si>
    <t>Difference in mMET from easy cycling</t>
  </si>
  <si>
    <t>reference: Compendium of Physical Activities, https://sites.google.com/site/compendiumofphysicalactivities</t>
  </si>
  <si>
    <t>go dutch</t>
  </si>
  <si>
    <t>ebike</t>
  </si>
  <si>
    <t>baseline %</t>
  </si>
  <si>
    <t>go dutch %</t>
  </si>
  <si>
    <t>ebike %</t>
  </si>
  <si>
    <t>7+</t>
  </si>
  <si>
    <t>slope</t>
  </si>
  <si>
    <t xml:space="preserve">baseline </t>
  </si>
  <si>
    <t>contribution to mean for cycling</t>
  </si>
  <si>
    <t>mean for cycling</t>
  </si>
  <si>
    <t>distribution cycle trips, %</t>
  </si>
  <si>
    <t>PCT scenario</t>
  </si>
  <si>
    <t>cycling</t>
  </si>
  <si>
    <t>AVERAGE mMETS</t>
  </si>
  <si>
    <t>walking</t>
  </si>
  <si>
    <t>e-biking</t>
  </si>
  <si>
    <t>baseline % walk</t>
  </si>
  <si>
    <t>contribution to mean for walking</t>
  </si>
  <si>
    <t>contribution to mean for ebiking</t>
  </si>
  <si>
    <t>Ebiking ref value</t>
  </si>
  <si>
    <t>https://cdn.rawgit.com/npct/pct-shiny/master/regions_www/www/static/03a_manual/pct-bike-eng-user-manual-c1.pdf</t>
  </si>
  <si>
    <t xml:space="preserve">Cycling TAG ref value </t>
  </si>
  <si>
    <t>NB averages calculated per commuter not e.g. per minute of cycling. Is that OK? Seems ok to me, and we are only aiming for right ballpark</t>
  </si>
  <si>
    <t>Speed when moving (kmph)</t>
  </si>
  <si>
    <t>Distance covered if no stops</t>
  </si>
  <si>
    <t>https://www.londoncyclist.co.uk/how-much-time-do-you-waste-waiting-at-a-traffic-light/</t>
  </si>
  <si>
    <t>Overall speed including stops</t>
  </si>
  <si>
    <t>http://www.croydoncyclist.co.uk/time-spent-at-traffic-lights/</t>
  </si>
  <si>
    <t>Speed when moving</t>
  </si>
  <si>
    <r>
      <rPr>
        <sz val="11"/>
        <color theme="1"/>
        <rFont val="Calibri"/>
        <family val="2"/>
        <scheme val="minor"/>
      </rPr>
      <t xml:space="preserve">There were three related parameters in this section: </t>
    </r>
    <r>
      <rPr>
        <b/>
        <sz val="11"/>
        <color theme="1"/>
        <rFont val="Calibri"/>
        <family val="2"/>
        <scheme val="minor"/>
      </rPr>
      <t>speed when moving</t>
    </r>
    <r>
      <rPr>
        <sz val="11"/>
        <color theme="1"/>
        <rFont val="Calibri"/>
        <family val="2"/>
        <scheme val="minor"/>
      </rPr>
      <t xml:space="preserve">, </t>
    </r>
    <r>
      <rPr>
        <b/>
        <sz val="11"/>
        <color theme="1"/>
        <rFont val="Calibri"/>
        <family val="2"/>
        <scheme val="minor"/>
      </rPr>
      <t>time spent stationary</t>
    </r>
    <r>
      <rPr>
        <sz val="11"/>
        <color theme="1"/>
        <rFont val="Calibri"/>
        <family val="2"/>
        <scheme val="minor"/>
      </rPr>
      <t xml:space="preserve">, </t>
    </r>
    <r>
      <rPr>
        <b/>
        <sz val="11"/>
        <color theme="1"/>
        <rFont val="Calibri"/>
        <family val="2"/>
        <scheme val="minor"/>
      </rPr>
      <t>total journey speed</t>
    </r>
  </si>
  <si>
    <t>Total journey speed</t>
  </si>
  <si>
    <t>Data from the National Travel Survey 2010-2016 suggest an average of 13.6 km/hr for commute cycling</t>
  </si>
  <si>
    <t>Time spent stationary</t>
  </si>
  <si>
    <t xml:space="preserve">Some cycling blogs in London have timed/speculated on the proportion of journey spent at traffic lights </t>
  </si>
  <si>
    <t>The numbers discussed suggest that 10-30% could be a reasonable average for London cycling</t>
  </si>
  <si>
    <t>It is plausible that London cycling involves more traffic lights than the UK average</t>
  </si>
  <si>
    <t>In 2015, the average speed of rides designated as commutes on Strava was 23.7 km/hr but these are likely to be those going faster, with better bikes, over longer distances. Also, it may adjust out stopping time.</t>
  </si>
  <si>
    <t>https://www.road-bike.co.uk/articles/average-speed.php</t>
  </si>
  <si>
    <t>https://bicycles.stackexchange.com/questions/1103/what-is-a-reasonable-speed-for-long-distances-on-a-bike</t>
  </si>
  <si>
    <t>12-15 mph (20-24 km/hr) is often mentioned as beginner level/occasional cyclist sort of speed on cycling websites and internet discussions</t>
  </si>
  <si>
    <t>Other Strava data from other cities outside the UK also gave average speeds of 20-25 km/hr - same caveats apply</t>
  </si>
  <si>
    <t>Conclusion: total journey speed is likely to be in the range of 13-20 km/hr for the average commuter cyclist</t>
  </si>
  <si>
    <t>Conclusion: a moving speed of 20 km/hr is not unreasonable, but possibly high for a population average</t>
  </si>
  <si>
    <t>Total journey speed = speed when moving * proportion of time spent stationary</t>
  </si>
  <si>
    <t>Proportion of time spent stationary</t>
  </si>
  <si>
    <t>Total journey speed (km/hr)</t>
  </si>
  <si>
    <t>Speed when moving (km/hr)</t>
  </si>
  <si>
    <t>SPEED RELATED ASSUMPTIONS</t>
  </si>
  <si>
    <t>The speeds in the spreadsheet for the 1-3% gradient slopes fall in this range which is what typical commuters ride on</t>
  </si>
  <si>
    <t>Conclusion: 15% could be a reasonable ball park figure for a UK average and so is used in the spreadsheet</t>
  </si>
  <si>
    <t>An average incline for a journey in the UK is 1.9%</t>
  </si>
  <si>
    <t>We therefore used a starting point of 18 km/hr on a flat gradient as an average moving speed</t>
  </si>
  <si>
    <t>Decline in speed with incline</t>
  </si>
  <si>
    <t>We'd expect sedentary women that to be at the lower end, with the average commuter reaching slightly higher speeds</t>
  </si>
  <si>
    <t>ADD IN SENTENCE ON THE NTS DATA FOR ALL CYCLING USED IN THE TAG - AVERAGE WAS LOWER AROUND 10-12 KM/HR</t>
  </si>
  <si>
    <t>An experimental study involving 8 sedentary women found the average speed up a short 5% segment to be 9.9 km/hr and on a short 2.7% segment to be 12.6 km/hr https://link.springer.com/article/10.1007%2Fs00421-012-2382-0</t>
  </si>
  <si>
    <t>Another study using 17 members of an e-bike sharing system (BMI approx 24, age 20-60ish average 30ish) undertook the 1km flat segment at 16.4 km/hr - however it might have been intructed as a timetrial so may be higher than self-selected speed https://www.sciencedirect.com/science/article/pii/S2214140516303930</t>
  </si>
  <si>
    <t>In personal discussions with cyclists, we found anecdotatal evidence of a non-linear decrease in speed with incline - at gradual slopes, speed does not drop as great as at lower slopes</t>
  </si>
  <si>
    <t>Incline (%)</t>
  </si>
  <si>
    <t>A plot of the decay function across the 0-5% range</t>
  </si>
  <si>
    <t>99.1% of commuters cycle on an average slope in the 0-5% range - ANNA TO ADD REFERENCE, WAS SENT IN EMAIL</t>
  </si>
  <si>
    <t>We expect these 1% of commuters to be fitter than the average, capable of maintaining higher speeds/power output</t>
  </si>
  <si>
    <t>0-5% range</t>
  </si>
  <si>
    <t>5-7% range</t>
  </si>
  <si>
    <t>https://www.cyclist.co.uk/in-depth/682/how-steep-is-too-steep-when-cycling-uphill</t>
  </si>
  <si>
    <t>There are varying estimates for how slow you can cycle whilst maintaining balance. The blog below suggests 2 m/s which is 7.2 km/hr</t>
  </si>
  <si>
    <t>It is unlikely that many riders would choose to cycle commute on a route that would require them to ride at such a slow speed</t>
  </si>
  <si>
    <t>Furthermore, many cyclists can and do cycle up gradients of 10-15% and so it is unrealistic to think minimum speed would be reached by 7%</t>
  </si>
  <si>
    <t>http://theclimbingcyclist.com/gradients-and-cycling-an-introduction/</t>
  </si>
  <si>
    <t>Conclusion: in absence of reasonable other information, we assumed a linear decay function in speed from 5-7% incline based on a speed of 10.2km/hr at 5% and 8km/hr at 7%</t>
  </si>
  <si>
    <t>The study of 17 e-bike scheme members cycled the approximately 3% slope (1km distance) at 10.5 km/hr. This seems low compared to other data points but not clear entirely why. https://www.sciencedirect.com/science/article/pii/S2214140516303930</t>
  </si>
  <si>
    <t>The study of 8 sedentary women averaged a speed of 9.9 km/hr on a 5% short gradient which we expect to underestimate the average commuter on this gradient</t>
  </si>
  <si>
    <t>The study of 8 sedentary women averaged a speed of 12.6 km/hr on a 3% short gradient which we expect to underestimate the average commuter on this gradient</t>
  </si>
  <si>
    <t>Conclusion: We considered modelling a decay function for the speed and incline for the 0-5% range and treated the 5-7% range separately</t>
  </si>
  <si>
    <t>In reality, our data points fell in a very linear range</t>
  </si>
  <si>
    <t>Lowest possible speed for a bike is in the range of 7.2 km/hr but given many cycle up slopes of 10-15%, we expect the speed at 7% to be higher than this minimum</t>
  </si>
  <si>
    <t>POWER CALCULATIONS</t>
  </si>
  <si>
    <t>Main equation</t>
  </si>
  <si>
    <t>https://www.physiology.org/doi/pdf/10.1152/jappl.1979.47.1.201</t>
  </si>
  <si>
    <t>Equation 13 on page 204</t>
  </si>
  <si>
    <t>The main equation used to calculate power (Watts) is taken from di Prampero et al. (1979) Equation of motion of a cyclist</t>
  </si>
  <si>
    <t>A variant on this equation is also used in the cycling blog http://theclimbingcyclist.com/gradients-and-cycling-how-much-harder-are-steeper-climbs/</t>
  </si>
  <si>
    <t>The equation can be broken up into three parts, road resistance, wind resistance, and gravity, which are then summed</t>
  </si>
  <si>
    <t>Road resistance = CoefficientofRollingResistance*Weight*GroundSpeed</t>
  </si>
  <si>
    <t>Gravity = Gravity*Weight*SineofAngleofIncline*GroundSpeed</t>
  </si>
  <si>
    <t>Wind resistance = CoefficientofAirResistance*BodySurfaceArea*(BarometricPressure/AirTemp)*AirVelocity2*GroundSpeed</t>
  </si>
  <si>
    <t xml:space="preserve">Power(watts) = Road resistance + Wind Resistance + Gravity </t>
  </si>
  <si>
    <t>To be able to use some assumptions for theclimbingcyclist blog, we used their adapted version of the equation that replaced BarometricPressure/AirTemp with AirDensity</t>
  </si>
  <si>
    <t>We also replaced the SineofAngleofIncline with the gradient of slope expressed as a proprotion (between 0-1) as they are approximately equivalent</t>
  </si>
  <si>
    <t>Assumptions for the main equation</t>
  </si>
  <si>
    <t>https://www.ons.gov.uk/aboutus/transparencyandgovernance/freedomofinformationfoi/theaveragebriton</t>
  </si>
  <si>
    <t>Average male weighs 83.6kg and woman weighs 70.2kg</t>
  </si>
  <si>
    <t>https://inews.co.uk/ibuys/sports-and-fitness/best-bikes-commuting-london-electric-road-hybrid-folding-under-1000/</t>
  </si>
  <si>
    <t xml:space="preserve">http://theclimbingcyclist.com/gradients-and-cycling-how-much-harder-are-steeper-climbs/ </t>
  </si>
  <si>
    <t>http://theclimbingcyclist.com/gradients-and-cycling-how-much-harder-are-steeper-climbs/</t>
  </si>
  <si>
    <t xml:space="preserve">https://www.cyclingpowerlab.com/CyclingAerodynamics.aspx </t>
  </si>
  <si>
    <t>This is fractionally higher than the value given in theclimbingcyclist blog (0.6) but commuter cyclists are more likely to sit very upright even when on "tops" and so this rounding up is probably warranted</t>
  </si>
  <si>
    <t>Converting Power in Watts to VO2</t>
  </si>
  <si>
    <t xml:space="preserve">We used the equation from the Hawley and Noakes (1992) paper showing a very high correlation between Max power output and VO2 max. </t>
  </si>
  <si>
    <t>Although these are submaximal power values, we have used the equation to predict VO2</t>
  </si>
  <si>
    <t xml:space="preserve">https://link.springer.com/article/10.1007/BF01466278 </t>
  </si>
  <si>
    <t>VO2 max = 0.01141 x Wmax + 0.435</t>
  </si>
  <si>
    <t>Converting from VO2 in L/min to kcal/min</t>
  </si>
  <si>
    <t>This is a simple multiplication by 5</t>
  </si>
  <si>
    <t>https://sites.google.com/site/compendiumofphysicalactivities/help/unit-conversions</t>
  </si>
  <si>
    <t>Converting from kcal/min to kcal/kg/hr (METs)</t>
  </si>
  <si>
    <r>
      <t xml:space="preserve">Marginal METs were calculated by subtracting </t>
    </r>
    <r>
      <rPr>
        <sz val="11"/>
        <color theme="1"/>
        <rFont val="Calibri"/>
        <family val="2"/>
        <scheme val="minor"/>
      </rPr>
      <t>1</t>
    </r>
  </si>
  <si>
    <t>power (W) for moving speed</t>
  </si>
  <si>
    <t>Power for moving speed considering inefficiency (W)</t>
  </si>
  <si>
    <t>The total was divded by bodyweight and multiplied the time spent moving in hours</t>
  </si>
  <si>
    <t>Sense checks on power numbers</t>
  </si>
  <si>
    <t>From personal discussions with cyclists and searching cycling internet chat rooms, reasonable amateur training male cyclists will ride around 200W for a number of hours on long training rides</t>
  </si>
  <si>
    <t>This sort of number would be possible for the less well trained average commuter cyclists to maintain for a ~20 minute period, but it would be unlikely for any sustained period</t>
  </si>
  <si>
    <t>GOT TO HERE - THIS IS WHERE THE NUMBERS FEEL LOW - SEE COMMENTS IN SCENARIO 1 TAB</t>
  </si>
  <si>
    <t>(If you change this, you also need to change speed through the air)</t>
  </si>
  <si>
    <t>Our assumption for flat cycling is a speed of movement of 18.8 km/hr based on Costa et al. (2015) study in Cambridge where total journey speed was 16 km/hr</t>
  </si>
  <si>
    <t>Slope calculated to calibrate the first two points because they were the ones we had most certainty in, the other points were used to assess whether a linear function was appropriate</t>
  </si>
  <si>
    <t>Speed of movement (km/hr) - linear function</t>
  </si>
  <si>
    <t>Speed of movement (km/hr) - non-linear function</t>
  </si>
  <si>
    <t>Distance covered if assume X% of time is spent stopped</t>
  </si>
  <si>
    <t>Volume of O2 (L/min) when moving</t>
  </si>
  <si>
    <t>kcal/min when moving</t>
  </si>
  <si>
    <t>kcal/kg/hr (MET) when moving</t>
  </si>
  <si>
    <t>mMET when moving</t>
  </si>
  <si>
    <t>kcal/kg/hr (MET) total journey time</t>
  </si>
  <si>
    <t>mMET total journey time</t>
  </si>
  <si>
    <t>When moving</t>
  </si>
  <si>
    <t>Total journey time</t>
  </si>
  <si>
    <t>Assumption for MET value of time spent waiting while stationary</t>
  </si>
  <si>
    <t>Standing miscellaneous has a MET value of 2.5</t>
  </si>
  <si>
    <t>https://sites.google.com/site/compendiumofphysicalactivities/Activity-Categories/miscellaneous</t>
  </si>
  <si>
    <t>A commuter bike can weigh ~11-12kg, adding on 3-4kg for bag and other bike accessories</t>
  </si>
  <si>
    <t>Efficiency</t>
  </si>
  <si>
    <t>Not all power generated will be transferred to the bike</t>
  </si>
  <si>
    <t>A well maintained bike is thought to be about 95%</t>
  </si>
  <si>
    <t>https://www.cyclingpowerlab.com/DrivetrainEfficiency.aspx</t>
  </si>
  <si>
    <t>Lower end of the range (what we expect commuters to be) is around 93%</t>
  </si>
  <si>
    <t>There is likely to be an increase in power requirement for starting from stationary, so we have used a value of 3 MET to compensate for this</t>
  </si>
  <si>
    <t>0.005 typical for standard road surface with clincher tyres; we assume a worse road surface and poorly maintained tyres on commuter cyclists</t>
  </si>
  <si>
    <t>0.63 typical for "tops" position; we estimate a bit higher for upright commuters with non-aerodynamic bags and clothing</t>
  </si>
  <si>
    <t>Walking PCT ref value</t>
  </si>
  <si>
    <t>UPHILL speed of movement (km/hr) assumption based on data</t>
  </si>
  <si>
    <t>RATIO to give right average</t>
  </si>
  <si>
    <t>MET values</t>
  </si>
  <si>
    <t>Speed values</t>
  </si>
  <si>
    <t>Cycling HEAT</t>
  </si>
  <si>
    <t>Walking HEAT</t>
  </si>
  <si>
    <t>Cycling</t>
  </si>
  <si>
    <t>Walking (assume constant ratio to cycling)</t>
  </si>
  <si>
    <t>Ebiking (assume half hilliness penalty, plus -1.8 on top)</t>
  </si>
  <si>
    <t>2-way mMETs, assuming downhill = flat</t>
  </si>
  <si>
    <t>2-way speeds (km/hr), assuming downhill = flat</t>
  </si>
  <si>
    <t>Ebiking ratio</t>
  </si>
  <si>
    <t>gradient</t>
  </si>
  <si>
    <t>mmet_cycle</t>
  </si>
  <si>
    <t>mmet_walk</t>
  </si>
  <si>
    <t>mmet_ebike</t>
  </si>
  <si>
    <t>speed_cycle</t>
  </si>
  <si>
    <t>speed_walk</t>
  </si>
  <si>
    <t>speed_ebike</t>
  </si>
  <si>
    <t>Eng/Wales national average for commute routes</t>
  </si>
  <si>
    <t>Cambridge average + Netherlands average for commute routes</t>
  </si>
  <si>
    <t>Ebiking (assume 1.17 at 75% then half impact hilliness)</t>
  </si>
  <si>
    <t>Ebiking speed at 0.75%</t>
  </si>
  <si>
    <t>Relative difference of 2-way speed from 0.75%, halved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</si>
</sst>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sz val="11"/>
      <name val="Calibri"/>
      <family val="2"/>
      <scheme val="minor"/>
    </font>
    <font>
      <i/>
      <u/>
      <sz val="11"/>
      <color theme="10"/>
      <name val="Calibri"/>
      <family val="2"/>
      <scheme val="minor"/>
    </font>
    <font>
      <b/>
      <sz val="11"/>
      <color theme="0"/>
      <name val="Calibri"/>
      <family val="2"/>
      <scheme val="minor"/>
    </font>
    <font>
      <b/>
      <sz val="11"/>
      <name val="Calibri"/>
      <family val="2"/>
      <scheme val="minor"/>
    </font>
    <font>
      <sz val="10"/>
      <color theme="1"/>
      <name val="Calibri"/>
      <family val="2"/>
      <scheme val="minor"/>
    </font>
  </fonts>
  <fills count="19">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FFCC"/>
        <bgColor indexed="64"/>
      </patternFill>
    </fill>
    <fill>
      <patternFill patternType="solid">
        <fgColor rgb="FFFFCCFF"/>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BCBA3"/>
        <bgColor indexed="64"/>
      </patternFill>
    </fill>
    <fill>
      <patternFill patternType="solid">
        <fgColor theme="9" tint="0.59999389629810485"/>
        <bgColor indexed="64"/>
      </patternFill>
    </fill>
    <fill>
      <patternFill patternType="solid">
        <fgColor theme="7" tint="0.39997558519241921"/>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32">
    <xf numFmtId="0" fontId="0" fillId="0" borderId="0" xfId="0"/>
    <xf numFmtId="2" fontId="0" fillId="0" borderId="0" xfId="0" applyNumberFormat="1"/>
    <xf numFmtId="0" fontId="0" fillId="0" borderId="2" xfId="0" applyBorder="1"/>
    <xf numFmtId="0" fontId="0" fillId="0" borderId="3" xfId="0" applyBorder="1"/>
    <xf numFmtId="0" fontId="0" fillId="0" borderId="4" xfId="0" applyBorder="1"/>
    <xf numFmtId="0" fontId="1" fillId="0" borderId="0" xfId="0" applyFont="1"/>
    <xf numFmtId="165" fontId="0" fillId="0" borderId="0" xfId="0" applyNumberFormat="1" applyAlignment="1">
      <alignment horizontal="center"/>
    </xf>
    <xf numFmtId="0" fontId="0" fillId="0" borderId="0" xfId="0" applyBorder="1"/>
    <xf numFmtId="0" fontId="0" fillId="0" borderId="0" xfId="0" applyAlignment="1">
      <alignment horizontal="center" vertical="center"/>
    </xf>
    <xf numFmtId="164" fontId="0" fillId="0" borderId="0" xfId="0" applyNumberFormat="1" applyAlignment="1">
      <alignment horizontal="center"/>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 fontId="0" fillId="7" borderId="0" xfId="0" applyNumberFormat="1" applyFill="1" applyAlignment="1">
      <alignment horizontal="center" vertical="center"/>
    </xf>
    <xf numFmtId="2" fontId="0" fillId="7" borderId="0" xfId="0" applyNumberFormat="1" applyFill="1" applyAlignment="1">
      <alignment horizontal="center" vertical="center"/>
    </xf>
    <xf numFmtId="0" fontId="1" fillId="6" borderId="0" xfId="0" applyFont="1" applyFill="1" applyAlignment="1">
      <alignment horizontal="center" vertical="center" wrapText="1"/>
    </xf>
    <xf numFmtId="0" fontId="1" fillId="0" borderId="1" xfId="0" applyFont="1" applyBorder="1"/>
    <xf numFmtId="0" fontId="2" fillId="0" borderId="0" xfId="1"/>
    <xf numFmtId="0" fontId="0" fillId="0" borderId="7" xfId="0" applyBorder="1"/>
    <xf numFmtId="0" fontId="0" fillId="0" borderId="0" xfId="0" applyBorder="1" applyAlignment="1">
      <alignment horizontal="center" vertical="center"/>
    </xf>
    <xf numFmtId="0" fontId="2" fillId="0" borderId="0" xfId="1" applyBorder="1"/>
    <xf numFmtId="0" fontId="0" fillId="0" borderId="8" xfId="0" applyBorder="1" applyAlignment="1">
      <alignment horizontal="center" vertical="center"/>
    </xf>
    <xf numFmtId="0" fontId="1" fillId="8" borderId="0" xfId="0" applyFont="1" applyFill="1" applyAlignment="1">
      <alignment horizontal="center" vertical="center" wrapText="1"/>
    </xf>
    <xf numFmtId="0" fontId="0" fillId="0" borderId="0" xfId="0" applyFill="1" applyBorder="1"/>
    <xf numFmtId="0" fontId="0" fillId="0" borderId="5" xfId="0" applyFill="1" applyBorder="1"/>
    <xf numFmtId="0" fontId="0" fillId="0" borderId="8" xfId="0" applyFill="1" applyBorder="1"/>
    <xf numFmtId="0" fontId="0" fillId="0" borderId="6" xfId="0" applyFill="1" applyBorder="1"/>
    <xf numFmtId="2" fontId="0" fillId="9" borderId="0" xfId="0" applyNumberFormat="1" applyFill="1" applyAlignment="1">
      <alignment horizontal="center" vertical="center"/>
    </xf>
    <xf numFmtId="165" fontId="0" fillId="5" borderId="0" xfId="0" applyNumberFormat="1" applyFill="1" applyAlignment="1">
      <alignment horizontal="center" vertical="center"/>
    </xf>
    <xf numFmtId="2" fontId="0" fillId="5" borderId="0" xfId="0" applyNumberFormat="1" applyFill="1" applyAlignment="1">
      <alignment horizontal="center" vertical="center"/>
    </xf>
    <xf numFmtId="0" fontId="0" fillId="0" borderId="0" xfId="0" applyAlignment="1">
      <alignment vertical="center"/>
    </xf>
    <xf numFmtId="0" fontId="1" fillId="0" borderId="0" xfId="0" applyFont="1" applyAlignment="1">
      <alignment horizontal="right"/>
    </xf>
    <xf numFmtId="2" fontId="1" fillId="0" borderId="0" xfId="0" applyNumberFormat="1" applyFont="1" applyFill="1" applyAlignment="1">
      <alignment horizontal="center" vertical="center"/>
    </xf>
    <xf numFmtId="165" fontId="0" fillId="7" borderId="0" xfId="0" applyNumberFormat="1" applyFill="1" applyAlignment="1">
      <alignment horizontal="center" vertical="center"/>
    </xf>
    <xf numFmtId="0" fontId="0" fillId="0" borderId="0" xfId="0" applyBorder="1" applyAlignment="1">
      <alignment horizontal="left" vertical="center"/>
    </xf>
    <xf numFmtId="0" fontId="0" fillId="0" borderId="0" xfId="0" applyFill="1"/>
    <xf numFmtId="0" fontId="0" fillId="0" borderId="0" xfId="0" applyFill="1" applyAlignment="1">
      <alignment horizontal="center" vertical="center"/>
    </xf>
    <xf numFmtId="2" fontId="0" fillId="0" borderId="0" xfId="0" applyNumberFormat="1" applyFill="1"/>
    <xf numFmtId="0" fontId="0" fillId="0" borderId="0" xfId="0"/>
    <xf numFmtId="0" fontId="0" fillId="10" borderId="0" xfId="0" applyFill="1"/>
    <xf numFmtId="0" fontId="1" fillId="10" borderId="0" xfId="0" applyFont="1" applyFill="1" applyAlignment="1">
      <alignment horizontal="center" vertical="center" wrapText="1"/>
    </xf>
    <xf numFmtId="0" fontId="0" fillId="11" borderId="0" xfId="0" applyFill="1"/>
    <xf numFmtId="164" fontId="0" fillId="11" borderId="0" xfId="0" applyNumberFormat="1" applyFill="1"/>
    <xf numFmtId="3" fontId="0" fillId="0" borderId="0" xfId="0" applyNumberFormat="1"/>
    <xf numFmtId="0" fontId="0" fillId="12" borderId="0" xfId="0" applyFill="1"/>
    <xf numFmtId="0" fontId="0" fillId="12" borderId="0" xfId="0" applyFill="1" applyAlignment="1">
      <alignment horizontal="left"/>
    </xf>
    <xf numFmtId="2" fontId="0" fillId="12" borderId="0" xfId="0" applyNumberFormat="1" applyFill="1" applyAlignment="1">
      <alignment horizontal="left"/>
    </xf>
    <xf numFmtId="0" fontId="1" fillId="4" borderId="0" xfId="0" applyFont="1" applyFill="1" applyAlignment="1">
      <alignment horizontal="center"/>
    </xf>
    <xf numFmtId="0" fontId="2" fillId="0" borderId="0" xfId="1" applyAlignment="1">
      <alignment vertical="center"/>
    </xf>
    <xf numFmtId="0" fontId="0" fillId="0" borderId="0" xfId="0" applyFont="1"/>
    <xf numFmtId="0" fontId="4" fillId="0" borderId="0" xfId="0" applyFont="1"/>
    <xf numFmtId="0" fontId="0" fillId="0" borderId="0" xfId="0" applyAlignment="1">
      <alignment horizontal="center"/>
    </xf>
    <xf numFmtId="165" fontId="0" fillId="0" borderId="0" xfId="0" applyNumberFormat="1" applyAlignment="1">
      <alignment horizontal="center" vertical="center"/>
    </xf>
    <xf numFmtId="0" fontId="0" fillId="0" borderId="9" xfId="0" applyBorder="1" applyAlignment="1">
      <alignment horizontal="center" vertical="center"/>
    </xf>
    <xf numFmtId="165" fontId="0" fillId="0" borderId="9" xfId="0" applyNumberFormat="1" applyBorder="1" applyAlignment="1">
      <alignment horizontal="center" vertical="center"/>
    </xf>
    <xf numFmtId="165" fontId="0" fillId="0" borderId="0" xfId="0" applyNumberFormat="1" applyBorder="1" applyAlignment="1">
      <alignment horizontal="center" vertical="center"/>
    </xf>
    <xf numFmtId="165" fontId="0" fillId="0" borderId="0" xfId="0" applyNumberFormat="1" applyBorder="1" applyAlignment="1">
      <alignment horizontal="center"/>
    </xf>
    <xf numFmtId="0" fontId="1" fillId="0" borderId="0" xfId="0" applyFont="1" applyBorder="1" applyAlignment="1">
      <alignment horizontal="center" vertical="center"/>
    </xf>
    <xf numFmtId="165" fontId="1" fillId="0" borderId="0" xfId="0" applyNumberFormat="1" applyFont="1" applyBorder="1" applyAlignment="1">
      <alignment horizontal="left" vertical="center"/>
    </xf>
    <xf numFmtId="2" fontId="0" fillId="0" borderId="0" xfId="0" applyNumberFormat="1" applyBorder="1" applyAlignment="1">
      <alignment horizontal="center" vertical="center"/>
    </xf>
    <xf numFmtId="165" fontId="0" fillId="0" borderId="0" xfId="0" applyNumberFormat="1" applyBorder="1" applyAlignment="1">
      <alignment horizontal="left" vertical="center"/>
    </xf>
    <xf numFmtId="165" fontId="4" fillId="0" borderId="0" xfId="0" applyNumberFormat="1" applyFont="1" applyBorder="1" applyAlignment="1">
      <alignment horizontal="left" vertical="center"/>
    </xf>
    <xf numFmtId="2" fontId="0" fillId="0" borderId="0" xfId="0" applyNumberFormat="1" applyFill="1" applyBorder="1" applyAlignment="1">
      <alignment horizontal="center" vertical="center"/>
    </xf>
    <xf numFmtId="2" fontId="0" fillId="0" borderId="0" xfId="0" applyNumberFormat="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vertical="center"/>
    </xf>
    <xf numFmtId="0" fontId="1" fillId="0" borderId="0" xfId="0" applyFont="1" applyBorder="1" applyAlignment="1">
      <alignment horizontal="center" vertical="center" wrapText="1"/>
    </xf>
    <xf numFmtId="0" fontId="1" fillId="0" borderId="0" xfId="0" applyFont="1" applyAlignment="1">
      <alignment horizontal="left"/>
    </xf>
    <xf numFmtId="0" fontId="0" fillId="0" borderId="0" xfId="0" applyAlignment="1">
      <alignment horizontal="left"/>
    </xf>
    <xf numFmtId="2" fontId="1" fillId="0" borderId="0" xfId="0" applyNumberFormat="1" applyFont="1" applyBorder="1" applyAlignment="1">
      <alignment horizontal="left" vertical="center"/>
    </xf>
    <xf numFmtId="166" fontId="0" fillId="0" borderId="0" xfId="0" applyNumberFormat="1"/>
    <xf numFmtId="0" fontId="1" fillId="0" borderId="0" xfId="0" applyFont="1" applyBorder="1"/>
    <xf numFmtId="0" fontId="4" fillId="0" borderId="0" xfId="0" applyFont="1" applyBorder="1"/>
    <xf numFmtId="0" fontId="6" fillId="0" borderId="0" xfId="1" applyFont="1"/>
    <xf numFmtId="0" fontId="6" fillId="0" borderId="0" xfId="1" applyFont="1" applyBorder="1"/>
    <xf numFmtId="2" fontId="0" fillId="0" borderId="0" xfId="0" applyNumberFormat="1" applyBorder="1"/>
    <xf numFmtId="165" fontId="0" fillId="0" borderId="0" xfId="0" applyNumberFormat="1" applyBorder="1" applyAlignment="1">
      <alignment horizontal="center" wrapText="1"/>
    </xf>
    <xf numFmtId="164" fontId="0" fillId="0" borderId="0" xfId="0" applyNumberFormat="1" applyBorder="1" applyAlignment="1">
      <alignment horizontal="center" vertical="center"/>
    </xf>
    <xf numFmtId="0" fontId="1" fillId="0" borderId="0" xfId="0" applyFont="1" applyAlignment="1">
      <alignment vertical="center" wrapText="1"/>
    </xf>
    <xf numFmtId="0" fontId="1" fillId="15" borderId="0" xfId="0" applyFont="1" applyFill="1" applyAlignment="1">
      <alignment horizontal="center" vertical="center" wrapText="1"/>
    </xf>
    <xf numFmtId="2" fontId="0" fillId="16" borderId="0" xfId="0" applyNumberFormat="1" applyFill="1" applyAlignment="1">
      <alignment horizontal="center" vertical="center"/>
    </xf>
    <xf numFmtId="0" fontId="0" fillId="0" borderId="3" xfId="0" applyFill="1" applyBorder="1"/>
    <xf numFmtId="0" fontId="0" fillId="0" borderId="4" xfId="0" applyFill="1" applyBorder="1"/>
    <xf numFmtId="2" fontId="0" fillId="2" borderId="0" xfId="0" applyNumberFormat="1" applyFill="1" applyAlignment="1">
      <alignment horizontal="center" vertical="center"/>
    </xf>
    <xf numFmtId="2" fontId="0" fillId="11" borderId="0" xfId="0" applyNumberFormat="1" applyFill="1" applyAlignment="1">
      <alignment horizontal="center" vertical="center"/>
    </xf>
    <xf numFmtId="0" fontId="0" fillId="0" borderId="0" xfId="0" applyBorder="1" applyAlignment="1">
      <alignment vertical="center"/>
    </xf>
    <xf numFmtId="2" fontId="5" fillId="2" borderId="0" xfId="0" applyNumberFormat="1" applyFont="1" applyFill="1" applyAlignment="1">
      <alignment horizontal="center" vertical="center"/>
    </xf>
    <xf numFmtId="0" fontId="5" fillId="0" borderId="0" xfId="0" applyFont="1" applyAlignment="1">
      <alignment vertical="center"/>
    </xf>
    <xf numFmtId="0" fontId="2" fillId="0" borderId="0" xfId="1" applyFill="1" applyBorder="1"/>
    <xf numFmtId="0" fontId="1" fillId="13" borderId="0" xfId="0" applyFont="1" applyFill="1" applyBorder="1" applyAlignment="1">
      <alignment vertical="center"/>
    </xf>
    <xf numFmtId="0" fontId="1" fillId="13" borderId="0" xfId="0" applyFont="1" applyFill="1" applyAlignment="1">
      <alignment vertical="center"/>
    </xf>
    <xf numFmtId="0" fontId="1" fillId="0" borderId="0" xfId="0" applyFont="1" applyFill="1" applyBorder="1" applyAlignment="1">
      <alignment vertical="center"/>
    </xf>
    <xf numFmtId="2" fontId="1" fillId="2" borderId="0" xfId="0" applyNumberFormat="1" applyFont="1" applyFill="1" applyAlignment="1">
      <alignment horizontal="center" vertical="center"/>
    </xf>
    <xf numFmtId="2" fontId="8" fillId="2" borderId="0" xfId="0" applyNumberFormat="1" applyFont="1" applyFill="1" applyAlignment="1">
      <alignment horizontal="center" vertical="center"/>
    </xf>
    <xf numFmtId="165" fontId="1" fillId="5" borderId="0" xfId="0" applyNumberFormat="1" applyFont="1" applyFill="1" applyAlignment="1">
      <alignment horizontal="center" vertical="center"/>
    </xf>
    <xf numFmtId="2" fontId="1" fillId="5" borderId="0" xfId="0" applyNumberFormat="1" applyFont="1" applyFill="1" applyAlignment="1">
      <alignment horizontal="center" vertical="center"/>
    </xf>
    <xf numFmtId="165" fontId="1" fillId="7" borderId="0" xfId="0" applyNumberFormat="1" applyFont="1" applyFill="1" applyAlignment="1">
      <alignment horizontal="center" vertical="center"/>
    </xf>
    <xf numFmtId="1" fontId="1" fillId="7" borderId="0" xfId="0" applyNumberFormat="1" applyFont="1" applyFill="1" applyAlignment="1">
      <alignment horizontal="center" vertical="center"/>
    </xf>
    <xf numFmtId="2" fontId="1" fillId="7" borderId="0" xfId="0" applyNumberFormat="1" applyFont="1" applyFill="1" applyAlignment="1">
      <alignment horizontal="center" vertical="center"/>
    </xf>
    <xf numFmtId="2" fontId="1" fillId="9" borderId="0" xfId="0" applyNumberFormat="1" applyFont="1" applyFill="1" applyAlignment="1">
      <alignment horizontal="center" vertical="center"/>
    </xf>
    <xf numFmtId="2" fontId="1" fillId="16" borderId="0" xfId="0" applyNumberFormat="1" applyFont="1" applyFill="1" applyAlignment="1">
      <alignment horizontal="center" vertical="center"/>
    </xf>
    <xf numFmtId="2" fontId="1" fillId="11" borderId="0" xfId="0" applyNumberFormat="1" applyFont="1" applyFill="1" applyAlignment="1">
      <alignment horizontal="center" vertical="center"/>
    </xf>
    <xf numFmtId="0" fontId="8" fillId="0" borderId="0" xfId="0" applyFont="1" applyAlignment="1">
      <alignment vertical="center"/>
    </xf>
    <xf numFmtId="0" fontId="1" fillId="0" borderId="0" xfId="0" applyFont="1" applyAlignment="1">
      <alignment vertical="center"/>
    </xf>
    <xf numFmtId="0" fontId="0" fillId="0" borderId="0" xfId="0" applyFont="1" applyBorder="1" applyAlignment="1">
      <alignment horizontal="center" vertical="center" wrapText="1"/>
    </xf>
    <xf numFmtId="0" fontId="0" fillId="0" borderId="0" xfId="0" applyFill="1" applyAlignment="1">
      <alignment vertical="center"/>
    </xf>
    <xf numFmtId="0" fontId="1" fillId="0" borderId="0" xfId="0" applyFont="1" applyFill="1" applyAlignment="1">
      <alignment vertical="center"/>
    </xf>
    <xf numFmtId="0" fontId="8" fillId="0" borderId="0" xfId="0" applyFont="1" applyFill="1" applyAlignment="1">
      <alignment vertical="center"/>
    </xf>
    <xf numFmtId="0" fontId="5" fillId="0" borderId="0" xfId="0" applyFont="1" applyFill="1" applyAlignment="1">
      <alignment vertical="center"/>
    </xf>
    <xf numFmtId="0" fontId="0" fillId="0" borderId="0" xfId="0" applyFill="1" applyBorder="1" applyAlignment="1">
      <alignment vertical="center"/>
    </xf>
    <xf numFmtId="0" fontId="3" fillId="0" borderId="0" xfId="0" applyFont="1" applyFill="1"/>
    <xf numFmtId="0" fontId="5" fillId="0" borderId="0" xfId="0" applyFont="1" applyFill="1"/>
    <xf numFmtId="0" fontId="5" fillId="11" borderId="0" xfId="0" applyFont="1" applyFill="1"/>
    <xf numFmtId="164" fontId="5" fillId="11" borderId="0" xfId="0" applyNumberFormat="1" applyFont="1" applyFill="1"/>
    <xf numFmtId="0" fontId="0" fillId="18" borderId="0" xfId="0" applyFill="1"/>
    <xf numFmtId="0" fontId="1" fillId="18" borderId="0" xfId="0" applyFont="1" applyFill="1" applyAlignment="1">
      <alignment horizontal="center" vertical="center" wrapText="1"/>
    </xf>
    <xf numFmtId="0" fontId="1" fillId="10" borderId="0" xfId="0" applyFont="1" applyFill="1" applyAlignment="1">
      <alignment horizontal="center"/>
    </xf>
    <xf numFmtId="0" fontId="1" fillId="18" borderId="0" xfId="0" applyFont="1" applyFill="1" applyAlignment="1">
      <alignment horizontal="center"/>
    </xf>
    <xf numFmtId="165" fontId="0" fillId="17" borderId="0" xfId="0" applyNumberFormat="1" applyFont="1" applyFill="1" applyAlignment="1">
      <alignment horizontal="center" vertical="center"/>
    </xf>
    <xf numFmtId="165" fontId="0" fillId="17" borderId="0" xfId="0" applyNumberFormat="1" applyFill="1" applyAlignment="1">
      <alignment horizontal="center" vertical="center"/>
    </xf>
    <xf numFmtId="0" fontId="1" fillId="4" borderId="0" xfId="0" applyFont="1" applyFill="1" applyAlignment="1">
      <alignment horizontal="center"/>
    </xf>
    <xf numFmtId="0" fontId="1" fillId="4" borderId="0" xfId="0" applyFont="1" applyFill="1" applyAlignment="1">
      <alignment horizontal="center"/>
    </xf>
    <xf numFmtId="0" fontId="7" fillId="1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vertical="center"/>
    </xf>
    <xf numFmtId="0" fontId="8" fillId="8" borderId="0" xfId="0" applyFont="1" applyFill="1" applyAlignment="1">
      <alignment horizontal="center"/>
    </xf>
    <xf numFmtId="0" fontId="8" fillId="15" borderId="0" xfId="0" applyFont="1" applyFill="1" applyAlignment="1">
      <alignment horizontal="center"/>
    </xf>
    <xf numFmtId="2" fontId="5" fillId="11" borderId="0" xfId="0" applyNumberFormat="1" applyFont="1" applyFill="1"/>
    <xf numFmtId="0" fontId="9" fillId="0" borderId="0" xfId="0" applyFont="1"/>
    <xf numFmtId="2" fontId="9" fillId="0" borderId="0" xfId="0" applyNumberFormat="1" applyFont="1"/>
    <xf numFmtId="2" fontId="9" fillId="0" borderId="0" xfId="0" applyNumberFormat="1" applyFont="1" applyAlignment="1">
      <alignment horizontal="center"/>
    </xf>
    <xf numFmtId="165" fontId="9"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CC"/>
      <color rgb="FFFBCBA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moving speed and total journey speed for different proportions of time spent stationary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'Speed assumptions'!$B$29</c:f>
              <c:strCache>
                <c:ptCount val="1"/>
                <c:pt idx="0">
                  <c:v>0.7</c:v>
                </c:pt>
              </c:strCache>
            </c:strRef>
          </c:tx>
          <c:spPr>
            <a:ln w="28575" cap="rnd">
              <a:solidFill>
                <a:schemeClr val="accent1"/>
              </a:solidFill>
              <a:round/>
            </a:ln>
            <a:effectLst/>
          </c:spPr>
          <c:marker>
            <c:symbol val="none"/>
          </c:marker>
          <c:cat>
            <c:numRef>
              <c:f>'Speed assumptions'!$A$29:$A$33</c:f>
              <c:numCache>
                <c:formatCode>General</c:formatCode>
                <c:ptCount val="5"/>
                <c:pt idx="0">
                  <c:v>14</c:v>
                </c:pt>
                <c:pt idx="1">
                  <c:v>15</c:v>
                </c:pt>
                <c:pt idx="2">
                  <c:v>16</c:v>
                </c:pt>
                <c:pt idx="3">
                  <c:v>17</c:v>
                </c:pt>
                <c:pt idx="4">
                  <c:v>18</c:v>
                </c:pt>
              </c:numCache>
            </c:numRef>
          </c:cat>
          <c:val>
            <c:numRef>
              <c:f>'Speed assumptions'!$A$29:$A$33</c:f>
              <c:numCache>
                <c:formatCode>General</c:formatCode>
                <c:ptCount val="5"/>
                <c:pt idx="0">
                  <c:v>14</c:v>
                </c:pt>
                <c:pt idx="1">
                  <c:v>15</c:v>
                </c:pt>
                <c:pt idx="2">
                  <c:v>16</c:v>
                </c:pt>
                <c:pt idx="3">
                  <c:v>17</c:v>
                </c:pt>
                <c:pt idx="4">
                  <c:v>18</c:v>
                </c:pt>
              </c:numCache>
            </c:numRef>
          </c:val>
          <c:smooth val="0"/>
          <c:extLst>
            <c:ext xmlns:c16="http://schemas.microsoft.com/office/drawing/2014/chart" uri="{C3380CC4-5D6E-409C-BE32-E72D297353CC}">
              <c16:uniqueId val="{00000000-7867-4CC8-8833-579A2E75408C}"/>
            </c:ext>
          </c:extLst>
        </c:ser>
        <c:ser>
          <c:idx val="1"/>
          <c:order val="1"/>
          <c:tx>
            <c:strRef>
              <c:f>'Speed assumptions'!$B$34</c:f>
              <c:strCache>
                <c:ptCount val="1"/>
                <c:pt idx="0">
                  <c:v>0.8</c:v>
                </c:pt>
              </c:strCache>
            </c:strRef>
          </c:tx>
          <c:spPr>
            <a:ln w="28575" cap="rnd">
              <a:solidFill>
                <a:schemeClr val="accent2"/>
              </a:solidFill>
              <a:round/>
            </a:ln>
            <a:effectLst/>
          </c:spPr>
          <c:marker>
            <c:symbol val="none"/>
          </c:marker>
          <c:val>
            <c:numRef>
              <c:f>'Speed assumptions'!$C$34:$C$38</c:f>
              <c:numCache>
                <c:formatCode>0.0</c:formatCode>
                <c:ptCount val="5"/>
                <c:pt idx="0">
                  <c:v>17.5</c:v>
                </c:pt>
                <c:pt idx="1">
                  <c:v>18.75</c:v>
                </c:pt>
                <c:pt idx="2">
                  <c:v>20</c:v>
                </c:pt>
                <c:pt idx="3">
                  <c:v>21.25</c:v>
                </c:pt>
                <c:pt idx="4">
                  <c:v>22.5</c:v>
                </c:pt>
              </c:numCache>
            </c:numRef>
          </c:val>
          <c:smooth val="0"/>
          <c:extLst>
            <c:ext xmlns:c16="http://schemas.microsoft.com/office/drawing/2014/chart" uri="{C3380CC4-5D6E-409C-BE32-E72D297353CC}">
              <c16:uniqueId val="{00000002-7867-4CC8-8833-579A2E75408C}"/>
            </c:ext>
          </c:extLst>
        </c:ser>
        <c:ser>
          <c:idx val="2"/>
          <c:order val="2"/>
          <c:tx>
            <c:strRef>
              <c:f>'Speed assumptions'!$B$39</c:f>
              <c:strCache>
                <c:ptCount val="1"/>
                <c:pt idx="0">
                  <c:v>0.85</c:v>
                </c:pt>
              </c:strCache>
            </c:strRef>
          </c:tx>
          <c:spPr>
            <a:ln w="28575" cap="rnd">
              <a:solidFill>
                <a:schemeClr val="accent3"/>
              </a:solidFill>
              <a:round/>
            </a:ln>
            <a:effectLst/>
          </c:spPr>
          <c:marker>
            <c:symbol val="none"/>
          </c:marker>
          <c:val>
            <c:numRef>
              <c:f>'Speed assumptions'!$C$39:$C$43</c:f>
              <c:numCache>
                <c:formatCode>0.0</c:formatCode>
                <c:ptCount val="5"/>
                <c:pt idx="0">
                  <c:v>16.47058823529412</c:v>
                </c:pt>
                <c:pt idx="1">
                  <c:v>17.647058823529413</c:v>
                </c:pt>
                <c:pt idx="2">
                  <c:v>18.823529411764707</c:v>
                </c:pt>
                <c:pt idx="3">
                  <c:v>20</c:v>
                </c:pt>
                <c:pt idx="4">
                  <c:v>21.176470588235293</c:v>
                </c:pt>
              </c:numCache>
            </c:numRef>
          </c:val>
          <c:smooth val="0"/>
          <c:extLst>
            <c:ext xmlns:c16="http://schemas.microsoft.com/office/drawing/2014/chart" uri="{C3380CC4-5D6E-409C-BE32-E72D297353CC}">
              <c16:uniqueId val="{00000003-7867-4CC8-8833-579A2E75408C}"/>
            </c:ext>
          </c:extLst>
        </c:ser>
        <c:ser>
          <c:idx val="3"/>
          <c:order val="3"/>
          <c:tx>
            <c:strRef>
              <c:f>'Speed assumptions'!$B$44</c:f>
              <c:strCache>
                <c:ptCount val="1"/>
                <c:pt idx="0">
                  <c:v>0.9</c:v>
                </c:pt>
              </c:strCache>
            </c:strRef>
          </c:tx>
          <c:spPr>
            <a:ln w="28575" cap="rnd">
              <a:solidFill>
                <a:schemeClr val="accent4"/>
              </a:solidFill>
              <a:round/>
            </a:ln>
            <a:effectLst/>
          </c:spPr>
          <c:marker>
            <c:symbol val="none"/>
          </c:marker>
          <c:val>
            <c:numRef>
              <c:f>'Speed assumptions'!$C$44:$C$48</c:f>
              <c:numCache>
                <c:formatCode>0.0</c:formatCode>
                <c:ptCount val="5"/>
                <c:pt idx="0">
                  <c:v>15.555555555555555</c:v>
                </c:pt>
                <c:pt idx="1">
                  <c:v>16.666666666666668</c:v>
                </c:pt>
                <c:pt idx="2">
                  <c:v>17.777777777777779</c:v>
                </c:pt>
                <c:pt idx="3">
                  <c:v>18.888888888888889</c:v>
                </c:pt>
                <c:pt idx="4">
                  <c:v>20</c:v>
                </c:pt>
              </c:numCache>
            </c:numRef>
          </c:val>
          <c:smooth val="0"/>
          <c:extLst>
            <c:ext xmlns:c16="http://schemas.microsoft.com/office/drawing/2014/chart" uri="{C3380CC4-5D6E-409C-BE32-E72D297353CC}">
              <c16:uniqueId val="{00000004-7867-4CC8-8833-579A2E75408C}"/>
            </c:ext>
          </c:extLst>
        </c:ser>
        <c:dLbls>
          <c:showLegendKey val="0"/>
          <c:showVal val="0"/>
          <c:showCatName val="0"/>
          <c:showSerName val="0"/>
          <c:showPercent val="0"/>
          <c:showBubbleSize val="0"/>
        </c:dLbls>
        <c:smooth val="0"/>
        <c:axId val="382740048"/>
        <c:axId val="382741032"/>
      </c:lineChart>
      <c:catAx>
        <c:axId val="3827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journey speed (km/hr)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1032"/>
        <c:crosses val="autoZero"/>
        <c:auto val="1"/>
        <c:lblAlgn val="ctr"/>
        <c:lblOffset val="100"/>
        <c:noMultiLvlLbl val="0"/>
      </c:catAx>
      <c:valAx>
        <c:axId val="38274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when moving (km/hr)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Decay function for speed with incline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'Speed assumptions'!$A$68:$A$72</c:f>
              <c:numCache>
                <c:formatCode>0.0</c:formatCode>
                <c:ptCount val="5"/>
                <c:pt idx="0" formatCode="General">
                  <c:v>0</c:v>
                </c:pt>
                <c:pt idx="1">
                  <c:v>0.75</c:v>
                </c:pt>
                <c:pt idx="2">
                  <c:v>2.75</c:v>
                </c:pt>
                <c:pt idx="3">
                  <c:v>5</c:v>
                </c:pt>
                <c:pt idx="4">
                  <c:v>7</c:v>
                </c:pt>
              </c:numCache>
            </c:numRef>
          </c:xVal>
          <c:yVal>
            <c:numRef>
              <c:f>'Speed assumptions'!$B$68:$B$72</c:f>
              <c:numCache>
                <c:formatCode>0.0</c:formatCode>
                <c:ptCount val="5"/>
                <c:pt idx="0" formatCode="General">
                  <c:v>20</c:v>
                </c:pt>
                <c:pt idx="1">
                  <c:v>16</c:v>
                </c:pt>
                <c:pt idx="2">
                  <c:v>12.6</c:v>
                </c:pt>
                <c:pt idx="3">
                  <c:v>9.9</c:v>
                </c:pt>
                <c:pt idx="4" formatCode="General">
                  <c:v>8</c:v>
                </c:pt>
              </c:numCache>
            </c:numRef>
          </c:yVal>
          <c:smooth val="1"/>
          <c:extLst>
            <c:ext xmlns:c16="http://schemas.microsoft.com/office/drawing/2014/chart" uri="{C3380CC4-5D6E-409C-BE32-E72D297353CC}">
              <c16:uniqueId val="{00000003-377B-4F71-BC62-CB165BB2FC6D}"/>
            </c:ext>
          </c:extLst>
        </c:ser>
        <c:ser>
          <c:idx val="2"/>
          <c:order val="1"/>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'Speed assumptions'!$A$76:$A$104</c:f>
              <c:numCache>
                <c:formatCode>0.00</c:formatCode>
                <c:ptCount val="29"/>
                <c:pt idx="0" formatCode="0.0">
                  <c:v>1E-8</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formatCode="General">
                  <c:v>5.5</c:v>
                </c:pt>
                <c:pt idx="23" formatCode="General">
                  <c:v>5.75</c:v>
                </c:pt>
                <c:pt idx="24">
                  <c:v>6</c:v>
                </c:pt>
                <c:pt idx="25">
                  <c:v>6.25</c:v>
                </c:pt>
                <c:pt idx="26">
                  <c:v>6.5</c:v>
                </c:pt>
                <c:pt idx="27" formatCode="General">
                  <c:v>6.75</c:v>
                </c:pt>
                <c:pt idx="28">
                  <c:v>7</c:v>
                </c:pt>
              </c:numCache>
            </c:numRef>
          </c:xVal>
          <c:yVal>
            <c:numRef>
              <c:f>'Speed assumptions'!$B$76:$B$104</c:f>
              <c:numCache>
                <c:formatCode>0.0</c:formatCode>
                <c:ptCount val="29"/>
                <c:pt idx="0">
                  <c:v>19.999569999999999</c:v>
                </c:pt>
                <c:pt idx="1">
                  <c:v>17.850000000000001</c:v>
                </c:pt>
                <c:pt idx="2">
                  <c:v>16.959440840897845</c:v>
                </c:pt>
                <c:pt idx="3">
                  <c:v>16.276090763726913</c:v>
                </c:pt>
                <c:pt idx="4">
                  <c:v>15.7</c:v>
                </c:pt>
                <c:pt idx="5">
                  <c:v>15.192453848375452</c:v>
                </c:pt>
                <c:pt idx="6">
                  <c:v>14.733597053016169</c:v>
                </c:pt>
                <c:pt idx="7">
                  <c:v>14.31163468121113</c:v>
                </c:pt>
                <c:pt idx="8">
                  <c:v>13.918881681795691</c:v>
                </c:pt>
                <c:pt idx="9">
                  <c:v>13.55</c:v>
                </c:pt>
                <c:pt idx="10">
                  <c:v>13.201103030637984</c:v>
                </c:pt>
                <c:pt idx="11">
                  <c:v>12.869256700735891</c:v>
                </c:pt>
                <c:pt idx="12">
                  <c:v>12.552181527453829</c:v>
                </c:pt>
                <c:pt idx="13">
                  <c:v>12.248064757752424</c:v>
                </c:pt>
                <c:pt idx="14">
                  <c:v>11.955436618436027</c:v>
                </c:pt>
                <c:pt idx="15">
                  <c:v>11.673085805654054</c:v>
                </c:pt>
                <c:pt idx="16">
                  <c:v>11.4</c:v>
                </c:pt>
                <c:pt idx="17">
                  <c:v>11.135322904922029</c:v>
                </c:pt>
                <c:pt idx="18">
                  <c:v>10.878322522693539</c:v>
                </c:pt>
                <c:pt idx="19">
                  <c:v>10.628367271387551</c:v>
                </c:pt>
                <c:pt idx="20">
                  <c:v>10.384907696750904</c:v>
                </c:pt>
                <c:pt idx="21">
                  <c:v>10.147462255844944</c:v>
                </c:pt>
                <c:pt idx="22">
                  <c:v>9.9156061163796263</c:v>
                </c:pt>
                <c:pt idx="23">
                  <c:v>9.6889622248776544</c:v>
                </c:pt>
                <c:pt idx="24">
                  <c:v>9.4671941060323359</c:v>
                </c:pt>
                <c:pt idx="25">
                  <c:v>9.25</c:v>
                </c:pt>
                <c:pt idx="26">
                  <c:v>9.0371080457755131</c:v>
                </c:pt>
                <c:pt idx="27">
                  <c:v>8.8282722911807419</c:v>
                </c:pt>
                <c:pt idx="28">
                  <c:v>8.6232693624222598</c:v>
                </c:pt>
              </c:numCache>
            </c:numRef>
          </c:yVal>
          <c:smooth val="1"/>
          <c:extLst>
            <c:ext xmlns:c16="http://schemas.microsoft.com/office/drawing/2014/chart" uri="{C3380CC4-5D6E-409C-BE32-E72D297353CC}">
              <c16:uniqueId val="{00000000-29D6-4B45-8CB6-30EA119DA0CD}"/>
            </c:ext>
          </c:extLst>
        </c:ser>
        <c:dLbls>
          <c:showLegendKey val="0"/>
          <c:showVal val="0"/>
          <c:showCatName val="0"/>
          <c:showSerName val="0"/>
          <c:showPercent val="0"/>
          <c:showBubbleSize val="0"/>
        </c:dLbls>
        <c:axId val="549009144"/>
        <c:axId val="549011768"/>
      </c:scatterChart>
      <c:valAx>
        <c:axId val="549009144"/>
        <c:scaling>
          <c:orientation val="minMax"/>
          <c:max val="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Incline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11768"/>
        <c:crosses val="autoZero"/>
        <c:crossBetween val="midCat"/>
      </c:valAx>
      <c:valAx>
        <c:axId val="549011768"/>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of movement (km/hr)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09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250030</xdr:colOff>
      <xdr:row>29</xdr:row>
      <xdr:rowOff>21431</xdr:rowOff>
    </xdr:from>
    <xdr:to>
      <xdr:col>11</xdr:col>
      <xdr:colOff>166687</xdr:colOff>
      <xdr:row>47</xdr:row>
      <xdr:rowOff>55562</xdr:rowOff>
    </xdr:to>
    <xdr:graphicFrame macro="">
      <xdr:nvGraphicFramePr>
        <xdr:cNvPr id="2" name="Chart 1">
          <a:extLst>
            <a:ext uri="{FF2B5EF4-FFF2-40B4-BE49-F238E27FC236}">
              <a16:creationId xmlns:a16="http://schemas.microsoft.com/office/drawing/2014/main" id="{DD71C486-3BF1-41F9-A5B8-DC6A71332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72002</xdr:colOff>
      <xdr:row>74</xdr:row>
      <xdr:rowOff>46375</xdr:rowOff>
    </xdr:from>
    <xdr:to>
      <xdr:col>12</xdr:col>
      <xdr:colOff>27214</xdr:colOff>
      <xdr:row>93</xdr:row>
      <xdr:rowOff>58963</xdr:rowOff>
    </xdr:to>
    <xdr:graphicFrame macro="">
      <xdr:nvGraphicFramePr>
        <xdr:cNvPr id="6" name="Chart 5">
          <a:extLst>
            <a:ext uri="{FF2B5EF4-FFF2-40B4-BE49-F238E27FC236}">
              <a16:creationId xmlns:a16="http://schemas.microsoft.com/office/drawing/2014/main" id="{EA8520E4-C488-44C9-9BCF-623B852E5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dn.rawgit.com/npct/pct-shiny/master/regions_www/www/static/03a_manual/pct-bike-eng-user-manual-c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road-bike.co.uk/articles/average-speed.php" TargetMode="External"/><Relationship Id="rId7" Type="http://schemas.openxmlformats.org/officeDocument/2006/relationships/printerSettings" Target="../printerSettings/printerSettings3.bin"/><Relationship Id="rId2" Type="http://schemas.openxmlformats.org/officeDocument/2006/relationships/hyperlink" Target="https://www.londoncyclist.co.uk/how-much-time-do-you-waste-waiting-at-a-traffic-light/" TargetMode="External"/><Relationship Id="rId1" Type="http://schemas.openxmlformats.org/officeDocument/2006/relationships/hyperlink" Target="http://www.croydoncyclist.co.uk/time-spent-at-traffic-lights/" TargetMode="External"/><Relationship Id="rId6" Type="http://schemas.openxmlformats.org/officeDocument/2006/relationships/hyperlink" Target="http://theclimbingcyclist.com/gradients-and-cycling-an-introduction/" TargetMode="External"/><Relationship Id="rId5" Type="http://schemas.openxmlformats.org/officeDocument/2006/relationships/hyperlink" Target="https://www.cyclist.co.uk/in-depth/682/how-steep-is-too-steep-when-cycling-uphill" TargetMode="External"/><Relationship Id="rId4" Type="http://schemas.openxmlformats.org/officeDocument/2006/relationships/hyperlink" Target="https://bicycles.stackexchange.com/questions/1103/what-is-a-reasonable-speed-for-long-distances-on-a-bik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ites.google.com/site/compendiumofphysicalactivities/help/unit-conversions" TargetMode="External"/><Relationship Id="rId3" Type="http://schemas.openxmlformats.org/officeDocument/2006/relationships/hyperlink" Target="https://inews.co.uk/ibuys/sports-and-fitness/best-bikes-commuting-london-electric-road-hybrid-folding-under-1000/" TargetMode="External"/><Relationship Id="rId7" Type="http://schemas.openxmlformats.org/officeDocument/2006/relationships/hyperlink" Target="https://link.springer.com/article/10.1007/BF01466278" TargetMode="External"/><Relationship Id="rId2" Type="http://schemas.openxmlformats.org/officeDocument/2006/relationships/hyperlink" Target="https://www.ons.gov.uk/aboutus/transparencyandgovernance/freedomofinformationfoi/theaveragebriton" TargetMode="External"/><Relationship Id="rId1" Type="http://schemas.openxmlformats.org/officeDocument/2006/relationships/hyperlink" Target="https://www.physiology.org/doi/pdf/10.1152/jappl.1979.47.1.201" TargetMode="External"/><Relationship Id="rId6" Type="http://schemas.openxmlformats.org/officeDocument/2006/relationships/hyperlink" Target="https://www.cyclingpowerlab.com/CyclingAerodynamics.aspx" TargetMode="External"/><Relationship Id="rId11" Type="http://schemas.openxmlformats.org/officeDocument/2006/relationships/hyperlink" Target="http://theclimbingcyclist.com/gradients-and-cycling-how-much-harder-are-steeper-climbs/" TargetMode="External"/><Relationship Id="rId5" Type="http://schemas.openxmlformats.org/officeDocument/2006/relationships/hyperlink" Target="http://theclimbingcyclist.com/gradients-and-cycling-how-much-harder-are-steeper-climbs/" TargetMode="External"/><Relationship Id="rId10" Type="http://schemas.openxmlformats.org/officeDocument/2006/relationships/hyperlink" Target="https://www.cyclingpowerlab.com/DrivetrainEfficiency.aspx" TargetMode="External"/><Relationship Id="rId4" Type="http://schemas.openxmlformats.org/officeDocument/2006/relationships/hyperlink" Target="http://theclimbingcyclist.com/gradients-and-cycling-how-much-harder-are-steeper-climbs/" TargetMode="External"/><Relationship Id="rId9" Type="http://schemas.openxmlformats.org/officeDocument/2006/relationships/hyperlink" Target="https://sites.google.com/site/compendiumofphysicalactivities/Activity-Categories/miscellane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
  <sheetViews>
    <sheetView topLeftCell="F1" zoomScale="81" zoomScaleNormal="81" workbookViewId="0">
      <selection activeCell="AC32" sqref="AC4:AC32"/>
    </sheetView>
  </sheetViews>
  <sheetFormatPr defaultRowHeight="14.4" x14ac:dyDescent="0.3"/>
  <cols>
    <col min="1" max="1" width="36.6640625" customWidth="1"/>
    <col min="2" max="2" width="19.6640625" customWidth="1"/>
    <col min="3" max="3" width="17.33203125" customWidth="1"/>
    <col min="4" max="4" width="14.33203125" customWidth="1"/>
    <col min="5" max="5" width="17.5546875" customWidth="1"/>
    <col min="6" max="6" width="19.6640625" customWidth="1"/>
    <col min="7" max="8" width="20.33203125" customWidth="1"/>
    <col min="9" max="11" width="20.33203125" style="37" customWidth="1"/>
    <col min="12" max="12" width="19.6640625" style="8" hidden="1" customWidth="1"/>
    <col min="13" max="13" width="21.33203125" style="8" hidden="1" customWidth="1"/>
    <col min="14" max="14" width="19.6640625" style="8" hidden="1" customWidth="1"/>
    <col min="15" max="15" width="18.6640625" style="8" hidden="1" customWidth="1"/>
    <col min="16" max="16" width="23.6640625" style="8" hidden="1" customWidth="1"/>
    <col min="17" max="17" width="19" hidden="1" customWidth="1"/>
    <col min="18" max="18" width="24" hidden="1" customWidth="1"/>
    <col min="19" max="19" width="18.33203125" hidden="1" customWidth="1"/>
    <col min="20" max="20" width="17.5546875" hidden="1" customWidth="1"/>
    <col min="21" max="22" width="17.5546875" style="37" hidden="1" customWidth="1"/>
    <col min="23" max="23" width="18" hidden="1" customWidth="1"/>
    <col min="24" max="24" width="13.109375" customWidth="1"/>
    <col min="25" max="25" width="14" customWidth="1"/>
    <col min="26" max="26" width="18.44140625" customWidth="1"/>
    <col min="27" max="27" width="11.88671875" customWidth="1"/>
    <col min="28" max="28" width="16.88671875" style="34" customWidth="1"/>
    <col min="29" max="29" width="16.44140625" style="34" customWidth="1"/>
    <col min="30" max="39" width="9.109375" style="34"/>
  </cols>
  <sheetData>
    <row r="1" spans="1:39" x14ac:dyDescent="0.3">
      <c r="A1" s="123" t="s">
        <v>7</v>
      </c>
      <c r="B1" s="123"/>
      <c r="C1" s="123"/>
      <c r="D1" s="123"/>
      <c r="E1" s="121" t="s">
        <v>12</v>
      </c>
      <c r="F1" s="121"/>
      <c r="G1" s="121"/>
      <c r="H1" s="121"/>
      <c r="I1" s="46"/>
      <c r="J1" s="46"/>
      <c r="K1" s="120"/>
      <c r="L1" s="124" t="s">
        <v>9</v>
      </c>
      <c r="M1" s="124"/>
      <c r="N1" s="124"/>
      <c r="O1" s="124"/>
      <c r="P1" s="124"/>
      <c r="Q1" s="122" t="s">
        <v>31</v>
      </c>
      <c r="R1" s="122"/>
      <c r="S1" s="122"/>
      <c r="T1" s="122"/>
      <c r="U1" s="122"/>
      <c r="V1" s="122"/>
      <c r="W1" s="122"/>
      <c r="X1" s="38"/>
      <c r="Y1" s="116" t="s">
        <v>184</v>
      </c>
      <c r="Z1" s="38"/>
      <c r="AA1" s="114"/>
      <c r="AB1" s="117" t="s">
        <v>185</v>
      </c>
      <c r="AC1" s="114"/>
    </row>
    <row r="2" spans="1:39" s="37" customFormat="1" x14ac:dyDescent="0.3">
      <c r="A2" s="64"/>
      <c r="B2" s="64"/>
      <c r="C2" s="64"/>
      <c r="D2" s="64"/>
      <c r="E2" s="63"/>
      <c r="F2" s="63"/>
      <c r="G2" s="63"/>
      <c r="H2" s="63"/>
      <c r="I2" s="63"/>
      <c r="J2" s="63"/>
      <c r="K2" s="120"/>
      <c r="L2" s="65"/>
      <c r="M2" s="65"/>
      <c r="N2" s="65"/>
      <c r="O2" s="65"/>
      <c r="P2" s="65"/>
      <c r="Q2" s="125" t="s">
        <v>160</v>
      </c>
      <c r="R2" s="125"/>
      <c r="S2" s="125"/>
      <c r="T2" s="125"/>
      <c r="U2" s="126" t="s">
        <v>161</v>
      </c>
      <c r="V2" s="126"/>
      <c r="W2" s="126"/>
      <c r="X2" s="38"/>
      <c r="Y2" s="38"/>
      <c r="Z2" s="38"/>
      <c r="AA2" s="114"/>
      <c r="AB2" s="114"/>
      <c r="AC2" s="114"/>
      <c r="AD2" s="34"/>
      <c r="AE2" s="34"/>
      <c r="AF2" s="34"/>
      <c r="AG2" s="34"/>
      <c r="AH2" s="34"/>
      <c r="AI2" s="34"/>
      <c r="AJ2" s="34"/>
      <c r="AK2" s="34"/>
      <c r="AL2" s="34"/>
      <c r="AM2" s="34"/>
    </row>
    <row r="3" spans="1:39" ht="97.2" customHeight="1" x14ac:dyDescent="0.3">
      <c r="A3" s="10" t="s">
        <v>5</v>
      </c>
      <c r="B3" s="10" t="s">
        <v>11</v>
      </c>
      <c r="C3" s="10" t="s">
        <v>1</v>
      </c>
      <c r="D3" s="10" t="s">
        <v>6</v>
      </c>
      <c r="E3" s="11" t="s">
        <v>57</v>
      </c>
      <c r="F3" s="11" t="s">
        <v>3</v>
      </c>
      <c r="G3" s="11" t="s">
        <v>10</v>
      </c>
      <c r="H3" s="11" t="s">
        <v>58</v>
      </c>
      <c r="I3" s="11" t="s">
        <v>153</v>
      </c>
      <c r="J3" s="11" t="s">
        <v>60</v>
      </c>
      <c r="K3" s="11" t="s">
        <v>198</v>
      </c>
      <c r="L3" s="14" t="s">
        <v>4</v>
      </c>
      <c r="M3" s="14" t="s">
        <v>8</v>
      </c>
      <c r="N3" s="14" t="s">
        <v>2</v>
      </c>
      <c r="O3" s="14" t="s">
        <v>141</v>
      </c>
      <c r="P3" s="14" t="s">
        <v>142</v>
      </c>
      <c r="Q3" s="21" t="s">
        <v>154</v>
      </c>
      <c r="R3" s="21" t="s">
        <v>155</v>
      </c>
      <c r="S3" s="21" t="s">
        <v>156</v>
      </c>
      <c r="T3" s="21" t="s">
        <v>157</v>
      </c>
      <c r="U3" s="79" t="s">
        <v>158</v>
      </c>
      <c r="V3" s="79" t="s">
        <v>159</v>
      </c>
      <c r="W3" s="79" t="s">
        <v>32</v>
      </c>
      <c r="X3" s="39" t="s">
        <v>181</v>
      </c>
      <c r="Y3" s="39" t="s">
        <v>182</v>
      </c>
      <c r="Z3" s="39" t="s">
        <v>183</v>
      </c>
      <c r="AA3" s="115" t="s">
        <v>181</v>
      </c>
      <c r="AB3" s="115" t="s">
        <v>182</v>
      </c>
      <c r="AC3" s="115" t="s">
        <v>196</v>
      </c>
    </row>
    <row r="4" spans="1:39" s="29" customFormat="1" x14ac:dyDescent="0.3">
      <c r="A4" s="83">
        <f>DEGREES(SINH(B4/100))</f>
        <v>0</v>
      </c>
      <c r="B4" s="83">
        <v>0</v>
      </c>
      <c r="C4" s="83">
        <v>0</v>
      </c>
      <c r="D4" s="83">
        <v>0</v>
      </c>
      <c r="E4" s="27">
        <f>(-4.3*SQRT(B4))+20</f>
        <v>20</v>
      </c>
      <c r="F4" s="28">
        <f>E4/3600*1000</f>
        <v>5.5555555555555554</v>
      </c>
      <c r="G4" s="28">
        <f>F4</f>
        <v>5.5555555555555554</v>
      </c>
      <c r="H4" s="28">
        <f t="shared" ref="H4:H8" si="0">$B$54/60*E4</f>
        <v>6.6666666666666661</v>
      </c>
      <c r="I4" s="28">
        <f>$B$54*((100-$B$52)/100)/60*E4</f>
        <v>5.333333333333333</v>
      </c>
      <c r="J4" s="27">
        <f>I4*60/$B$54</f>
        <v>16</v>
      </c>
      <c r="K4" s="28">
        <f>1+(((AA4/AA$7)-1)/2)</f>
        <v>1.051327322733417</v>
      </c>
      <c r="L4" s="32">
        <f>($B$45*($B$46+$B$47)*F4)</f>
        <v>3.6127777777777781</v>
      </c>
      <c r="M4" s="12">
        <f t="shared" ref="M4:M8" si="1">$B$48*$B$49*F4*(G4^2)*$B$50</f>
        <v>73.516803840877913</v>
      </c>
      <c r="N4" s="12">
        <f t="shared" ref="N4:N8" si="2">$B$51*B4/100*($B$46+$B$47)*F4</f>
        <v>0</v>
      </c>
      <c r="O4" s="13">
        <f>L4+ M4+N4</f>
        <v>77.129581618655692</v>
      </c>
      <c r="P4" s="13">
        <f t="shared" ref="P4:P8" si="3">O4*(100/$B$53)</f>
        <v>82.935033998554502</v>
      </c>
      <c r="Q4" s="26">
        <f t="shared" ref="Q4:Q8" si="4">0.01141*P4 +0.435</f>
        <v>1.3812887379235068</v>
      </c>
      <c r="R4" s="26">
        <f>Q4*5</f>
        <v>6.9064436896175341</v>
      </c>
      <c r="S4" s="26">
        <f>R4*60/$B$46</f>
        <v>5.3886426707028869</v>
      </c>
      <c r="T4" s="26">
        <f>S4-1</f>
        <v>4.3886426707028869</v>
      </c>
      <c r="U4" s="80">
        <f>(S4*((100-$B$52)/100))+($B$55*($B$52/100))</f>
        <v>4.3109141365623094</v>
      </c>
      <c r="V4" s="80">
        <f>T4</f>
        <v>4.3886426707028869</v>
      </c>
      <c r="W4" s="80">
        <f>V4-$V$4</f>
        <v>0</v>
      </c>
      <c r="X4" s="84">
        <f>(V$4+V4)/2</f>
        <v>4.3886426707028869</v>
      </c>
      <c r="Y4" s="84">
        <f>X4*Y$39</f>
        <v>2.7780108105549273</v>
      </c>
      <c r="Z4" s="84">
        <f>X4 - 1.8</f>
        <v>2.5886426707028871</v>
      </c>
      <c r="AA4" s="118">
        <f>(J$4+J4)/2</f>
        <v>16</v>
      </c>
      <c r="AB4" s="119">
        <f>AA4*$AB$39</f>
        <v>5.4857142857142858</v>
      </c>
      <c r="AC4" s="119">
        <f>K4*$AB$41</f>
        <v>17.848605238712093</v>
      </c>
      <c r="AD4" s="105"/>
      <c r="AE4" s="105"/>
      <c r="AF4" s="105"/>
      <c r="AG4" s="105"/>
      <c r="AH4" s="105"/>
      <c r="AI4" s="105"/>
      <c r="AJ4" s="105"/>
      <c r="AK4" s="105"/>
      <c r="AL4" s="105"/>
      <c r="AM4" s="105"/>
    </row>
    <row r="5" spans="1:39" s="29" customFormat="1" x14ac:dyDescent="0.3">
      <c r="A5" s="83">
        <f t="shared" ref="A5:A32" si="5">DEGREES(SINH(B5/100))</f>
        <v>0.14323959799051156</v>
      </c>
      <c r="B5" s="83">
        <v>0.25</v>
      </c>
      <c r="C5" s="83">
        <f t="shared" ref="C5:C32" si="6">D5/B5*100</f>
        <v>400</v>
      </c>
      <c r="D5" s="83">
        <v>1</v>
      </c>
      <c r="E5" s="27">
        <f t="shared" ref="E5:E32" si="7">(-4.3*SQRT(B5))+20</f>
        <v>17.850000000000001</v>
      </c>
      <c r="F5" s="28">
        <f t="shared" ref="F5:F8" si="8">E5/3600*1000</f>
        <v>4.9583333333333339</v>
      </c>
      <c r="G5" s="28">
        <f t="shared" ref="G5:G8" si="9">F5</f>
        <v>4.9583333333333339</v>
      </c>
      <c r="H5" s="27">
        <f t="shared" si="0"/>
        <v>5.95</v>
      </c>
      <c r="I5" s="28">
        <f t="shared" ref="I5:I8" si="10">$B$54*((100-$B$52)/100)/60*E5</f>
        <v>4.7600000000000007</v>
      </c>
      <c r="J5" s="27">
        <f t="shared" ref="J5:J8" si="11">I5*60/$B$54</f>
        <v>14.280000000000001</v>
      </c>
      <c r="K5" s="28">
        <f t="shared" ref="K5:K32" si="12">1+(((AA5/AA$7)-1)/2)</f>
        <v>1.021693479136496</v>
      </c>
      <c r="L5" s="32">
        <f t="shared" ref="L5:L8" si="13">($B$45*($B$46+$B$47)*F5)</f>
        <v>3.2244041666666674</v>
      </c>
      <c r="M5" s="12">
        <f t="shared" si="1"/>
        <v>52.26504059968174</v>
      </c>
      <c r="N5" s="12">
        <f t="shared" si="2"/>
        <v>11.285414583333335</v>
      </c>
      <c r="O5" s="13">
        <f t="shared" ref="O5:O8" si="14">L5+ M5+N5</f>
        <v>66.774859349681748</v>
      </c>
      <c r="P5" s="13">
        <f t="shared" si="3"/>
        <v>71.800924031915855</v>
      </c>
      <c r="Q5" s="26">
        <f t="shared" si="4"/>
        <v>1.2542485432041599</v>
      </c>
      <c r="R5" s="26">
        <f t="shared" ref="R5:R8" si="15">Q5*5</f>
        <v>6.2712427160207991</v>
      </c>
      <c r="S5" s="26">
        <f t="shared" ref="S5:S8" si="16">R5*60/($B$46*((100-$B$52)/100))</f>
        <v>6.1162965370814026</v>
      </c>
      <c r="T5" s="26">
        <f t="shared" ref="T5:T8" si="17">S5-1</f>
        <v>5.1162965370814026</v>
      </c>
      <c r="U5" s="80">
        <f t="shared" ref="U5:U8" si="18">(S5*((100-$B$52)/100))+($B$55*($B$52/100))</f>
        <v>4.8930372296651221</v>
      </c>
      <c r="V5" s="80">
        <f t="shared" ref="V5:V8" si="19">T5</f>
        <v>5.1162965370814026</v>
      </c>
      <c r="W5" s="80">
        <f t="shared" ref="W5:W8" si="20">V5-$V$4</f>
        <v>0.7276538663785157</v>
      </c>
      <c r="X5" s="84">
        <f>(V$4+V5)/2</f>
        <v>4.7524696038921448</v>
      </c>
      <c r="Y5" s="84">
        <f t="shared" ref="Y5:Y8" si="21">X5*Y$39</f>
        <v>3.0083132592637276</v>
      </c>
      <c r="Z5" s="84">
        <f t="shared" ref="Z5:Z32" si="22">X5 - 1.8</f>
        <v>2.952469603892145</v>
      </c>
      <c r="AA5" s="118">
        <f>(J$4+J5)/2</f>
        <v>15.14</v>
      </c>
      <c r="AB5" s="119">
        <f t="shared" ref="AB5:AB32" si="23">AA5*$AB$39</f>
        <v>5.1908571428571433</v>
      </c>
      <c r="AC5" s="119">
        <f t="shared" ref="AC5:AC32" si="24">K5*$AB$41</f>
        <v>17.345505238712096</v>
      </c>
      <c r="AD5" s="105"/>
      <c r="AE5" s="105"/>
      <c r="AF5" s="105"/>
      <c r="AG5" s="105"/>
      <c r="AH5" s="105"/>
      <c r="AI5" s="105"/>
      <c r="AJ5" s="105"/>
      <c r="AK5" s="105"/>
      <c r="AL5" s="105"/>
      <c r="AM5" s="105"/>
    </row>
    <row r="6" spans="1:39" s="29" customFormat="1" x14ac:dyDescent="0.3">
      <c r="A6" s="83">
        <f t="shared" si="5"/>
        <v>0.28648009122897689</v>
      </c>
      <c r="B6" s="83">
        <v>0.5</v>
      </c>
      <c r="C6" s="83">
        <f t="shared" si="6"/>
        <v>200</v>
      </c>
      <c r="D6" s="83">
        <v>1</v>
      </c>
      <c r="E6" s="27">
        <f t="shared" si="7"/>
        <v>16.959440840897845</v>
      </c>
      <c r="F6" s="28">
        <f t="shared" si="8"/>
        <v>4.7109557891382901</v>
      </c>
      <c r="G6" s="28">
        <f t="shared" si="9"/>
        <v>4.7109557891382901</v>
      </c>
      <c r="H6" s="27">
        <f t="shared" si="0"/>
        <v>5.6531469469659479</v>
      </c>
      <c r="I6" s="28">
        <f t="shared" si="10"/>
        <v>4.5225175575727583</v>
      </c>
      <c r="J6" s="27">
        <f t="shared" si="11"/>
        <v>13.567552672718275</v>
      </c>
      <c r="K6" s="28">
        <f t="shared" si="12"/>
        <v>1.009418739213408</v>
      </c>
      <c r="L6" s="32">
        <f t="shared" si="13"/>
        <v>3.0635345496766306</v>
      </c>
      <c r="M6" s="12">
        <f t="shared" si="1"/>
        <v>44.826127148717987</v>
      </c>
      <c r="N6" s="12">
        <f t="shared" si="2"/>
        <v>21.444741847736413</v>
      </c>
      <c r="O6" s="13">
        <f t="shared" si="14"/>
        <v>69.334403546131028</v>
      </c>
      <c r="P6" s="13">
        <f t="shared" si="3"/>
        <v>74.553122092614004</v>
      </c>
      <c r="Q6" s="26">
        <f t="shared" si="4"/>
        <v>1.2856511230767258</v>
      </c>
      <c r="R6" s="26">
        <f t="shared" si="15"/>
        <v>6.4282556153836286</v>
      </c>
      <c r="S6" s="26">
        <f t="shared" si="16"/>
        <v>6.269430054015241</v>
      </c>
      <c r="T6" s="26">
        <f t="shared" si="17"/>
        <v>5.269430054015241</v>
      </c>
      <c r="U6" s="80">
        <f t="shared" si="18"/>
        <v>5.0155440432121932</v>
      </c>
      <c r="V6" s="80">
        <f t="shared" si="19"/>
        <v>5.269430054015241</v>
      </c>
      <c r="W6" s="80">
        <f t="shared" si="20"/>
        <v>0.88078738331235407</v>
      </c>
      <c r="X6" s="84">
        <f>(V$4+V6)/2</f>
        <v>4.829036362359064</v>
      </c>
      <c r="Y6" s="84">
        <f t="shared" si="21"/>
        <v>3.0567800173732875</v>
      </c>
      <c r="Z6" s="84">
        <f t="shared" si="22"/>
        <v>3.0290363623590641</v>
      </c>
      <c r="AA6" s="118">
        <f>(J$4+J6)/2</f>
        <v>14.783776336359137</v>
      </c>
      <c r="AB6" s="119">
        <f t="shared" si="23"/>
        <v>5.0687233153231332</v>
      </c>
      <c r="AC6" s="119">
        <f t="shared" si="24"/>
        <v>17.13711439548219</v>
      </c>
      <c r="AD6" s="105"/>
      <c r="AE6" s="105"/>
      <c r="AF6" s="105"/>
      <c r="AG6" s="105"/>
      <c r="AH6" s="105"/>
      <c r="AI6" s="105"/>
      <c r="AJ6" s="105"/>
      <c r="AK6" s="105"/>
      <c r="AL6" s="105"/>
      <c r="AM6" s="105"/>
    </row>
    <row r="7" spans="1:39" s="103" customFormat="1" x14ac:dyDescent="0.3">
      <c r="A7" s="92">
        <f t="shared" si="5"/>
        <v>0.42972237496894489</v>
      </c>
      <c r="B7" s="92">
        <v>0.75</v>
      </c>
      <c r="C7" s="92">
        <f t="shared" si="6"/>
        <v>133.33333333333331</v>
      </c>
      <c r="D7" s="92">
        <v>1</v>
      </c>
      <c r="E7" s="27">
        <f t="shared" si="7"/>
        <v>16.276090763726913</v>
      </c>
      <c r="F7" s="95">
        <f t="shared" si="8"/>
        <v>4.5211363232574762</v>
      </c>
      <c r="G7" s="95">
        <f t="shared" si="9"/>
        <v>4.5211363232574762</v>
      </c>
      <c r="H7" s="94">
        <f t="shared" si="0"/>
        <v>5.4253635879089703</v>
      </c>
      <c r="I7" s="95">
        <f t="shared" si="10"/>
        <v>4.340290870327177</v>
      </c>
      <c r="J7" s="94">
        <f t="shared" si="11"/>
        <v>13.020872610981531</v>
      </c>
      <c r="K7" s="28">
        <f t="shared" si="12"/>
        <v>1</v>
      </c>
      <c r="L7" s="96">
        <f t="shared" si="13"/>
        <v>2.9400949510143373</v>
      </c>
      <c r="M7" s="97">
        <f t="shared" si="1"/>
        <v>39.622962174276353</v>
      </c>
      <c r="N7" s="97">
        <f t="shared" si="2"/>
        <v>30.870996985650542</v>
      </c>
      <c r="O7" s="98">
        <f t="shared" si="14"/>
        <v>73.434054110941233</v>
      </c>
      <c r="P7" s="98">
        <f t="shared" si="3"/>
        <v>78.961348506388418</v>
      </c>
      <c r="Q7" s="99">
        <f t="shared" si="4"/>
        <v>1.335948986457892</v>
      </c>
      <c r="R7" s="99">
        <f t="shared" si="15"/>
        <v>6.6797449322894593</v>
      </c>
      <c r="S7" s="99">
        <f t="shared" si="16"/>
        <v>6.5147057206984318</v>
      </c>
      <c r="T7" s="99">
        <f t="shared" si="17"/>
        <v>5.5147057206984318</v>
      </c>
      <c r="U7" s="100">
        <f t="shared" si="18"/>
        <v>5.2117645765587461</v>
      </c>
      <c r="V7" s="100">
        <f t="shared" si="19"/>
        <v>5.5147057206984318</v>
      </c>
      <c r="W7" s="100">
        <f t="shared" si="20"/>
        <v>1.1260630499955449</v>
      </c>
      <c r="X7" s="101">
        <f>(V$4+V7)/2</f>
        <v>4.9516741957006598</v>
      </c>
      <c r="Y7" s="101">
        <f t="shared" si="21"/>
        <v>3.1344097658785177</v>
      </c>
      <c r="Z7" s="84">
        <f t="shared" si="22"/>
        <v>3.15167419570066</v>
      </c>
      <c r="AA7" s="118">
        <f>(J$4+J7)/2</f>
        <v>14.510436305490765</v>
      </c>
      <c r="AB7" s="119">
        <f t="shared" si="23"/>
        <v>4.9750067333111199</v>
      </c>
      <c r="AC7" s="119">
        <f>K7*$AB$41</f>
        <v>16.977210477424194</v>
      </c>
      <c r="AD7" s="106" t="s">
        <v>195</v>
      </c>
      <c r="AE7" s="105"/>
      <c r="AF7" s="106"/>
      <c r="AG7" s="106"/>
      <c r="AH7" s="106"/>
      <c r="AI7" s="106"/>
      <c r="AJ7" s="106"/>
      <c r="AK7" s="106"/>
      <c r="AL7" s="106"/>
      <c r="AM7" s="106"/>
    </row>
    <row r="8" spans="1:39" s="29" customFormat="1" x14ac:dyDescent="0.3">
      <c r="A8" s="83">
        <f t="shared" si="5"/>
        <v>0.57296734447515529</v>
      </c>
      <c r="B8" s="83">
        <v>1</v>
      </c>
      <c r="C8" s="83">
        <f t="shared" si="6"/>
        <v>100</v>
      </c>
      <c r="D8" s="83">
        <v>1</v>
      </c>
      <c r="E8" s="27">
        <f t="shared" si="7"/>
        <v>15.7</v>
      </c>
      <c r="F8" s="28">
        <f t="shared" si="8"/>
        <v>4.3611111111111107</v>
      </c>
      <c r="G8" s="28">
        <f t="shared" si="9"/>
        <v>4.3611111111111107</v>
      </c>
      <c r="H8" s="27">
        <f t="shared" si="0"/>
        <v>5.2333333333333325</v>
      </c>
      <c r="I8" s="28">
        <f t="shared" si="10"/>
        <v>4.1866666666666665</v>
      </c>
      <c r="J8" s="27">
        <f t="shared" si="11"/>
        <v>12.559999999999999</v>
      </c>
      <c r="K8" s="28">
        <f t="shared" si="12"/>
        <v>0.99205963553957477</v>
      </c>
      <c r="L8" s="32">
        <f t="shared" si="13"/>
        <v>2.8360305555555558</v>
      </c>
      <c r="M8" s="12">
        <f t="shared" si="1"/>
        <v>35.56277057077331</v>
      </c>
      <c r="N8" s="12">
        <f t="shared" si="2"/>
        <v>39.704427777777774</v>
      </c>
      <c r="O8" s="13">
        <f t="shared" si="14"/>
        <v>78.103228904106629</v>
      </c>
      <c r="P8" s="13">
        <f t="shared" si="3"/>
        <v>83.981966563555517</v>
      </c>
      <c r="Q8" s="26">
        <f t="shared" si="4"/>
        <v>1.3932342384901684</v>
      </c>
      <c r="R8" s="26">
        <f t="shared" si="15"/>
        <v>6.966171192450842</v>
      </c>
      <c r="S8" s="26">
        <f t="shared" si="16"/>
        <v>6.7940551291783233</v>
      </c>
      <c r="T8" s="26">
        <f t="shared" si="17"/>
        <v>5.7940551291783233</v>
      </c>
      <c r="U8" s="80">
        <f t="shared" si="18"/>
        <v>5.4352441033426588</v>
      </c>
      <c r="V8" s="80">
        <f t="shared" si="19"/>
        <v>5.7940551291783233</v>
      </c>
      <c r="W8" s="80">
        <f t="shared" si="20"/>
        <v>1.4054124584754364</v>
      </c>
      <c r="X8" s="84">
        <f>(V$4+V8)/2</f>
        <v>5.0913488999406056</v>
      </c>
      <c r="Y8" s="84">
        <f t="shared" si="21"/>
        <v>3.2228238536624034</v>
      </c>
      <c r="Z8" s="84">
        <f t="shared" si="22"/>
        <v>3.2913488999406058</v>
      </c>
      <c r="AA8" s="118">
        <f>(J$4+J8)/2</f>
        <v>14.28</v>
      </c>
      <c r="AB8" s="119">
        <f t="shared" si="23"/>
        <v>4.8959999999999999</v>
      </c>
      <c r="AC8" s="119">
        <f t="shared" si="24"/>
        <v>16.842405238712097</v>
      </c>
      <c r="AD8" s="105"/>
      <c r="AE8" s="105"/>
      <c r="AF8" s="105"/>
      <c r="AG8" s="105"/>
      <c r="AH8" s="105"/>
      <c r="AI8" s="105"/>
      <c r="AJ8" s="105"/>
      <c r="AK8" s="105"/>
      <c r="AL8" s="105"/>
      <c r="AM8" s="105"/>
    </row>
    <row r="9" spans="1:39" s="89" customFormat="1" x14ac:dyDescent="0.3">
      <c r="A9" s="83">
        <f t="shared" si="5"/>
        <v>0.71621589502913396</v>
      </c>
      <c r="B9" s="83">
        <v>1.25</v>
      </c>
      <c r="C9" s="83">
        <f t="shared" si="6"/>
        <v>80</v>
      </c>
      <c r="D9" s="83">
        <v>1</v>
      </c>
      <c r="E9" s="27">
        <f t="shared" si="7"/>
        <v>15.192453848375452</v>
      </c>
      <c r="F9" s="28">
        <f t="shared" ref="F9:F32" si="25">E9/3600*1000</f>
        <v>4.2201260689931814</v>
      </c>
      <c r="G9" s="28">
        <f t="shared" ref="G9:G32" si="26">F9</f>
        <v>4.2201260689931814</v>
      </c>
      <c r="H9" s="27">
        <f t="shared" ref="H9:H32" si="27">$B$54/60*E9</f>
        <v>5.0641512827918174</v>
      </c>
      <c r="I9" s="28">
        <f t="shared" ref="I9:I32" si="28">$B$54*((100-$B$52)/100)/60*E9</f>
        <v>4.0513210262334542</v>
      </c>
      <c r="J9" s="27">
        <f t="shared" ref="J9:J32" si="29">I9*60/$B$54</f>
        <v>12.153963078700363</v>
      </c>
      <c r="K9" s="28">
        <f t="shared" si="12"/>
        <v>0.98506403401610454</v>
      </c>
      <c r="L9" s="32">
        <f t="shared" ref="L9:L32" si="30">($B$45*($B$46+$B$47)*F9)</f>
        <v>2.7443479826662665</v>
      </c>
      <c r="M9" s="12">
        <f t="shared" ref="M9:M32" si="31">$B$48*$B$49*F9*(G9^2)*$B$50</f>
        <v>32.224071159498358</v>
      </c>
      <c r="N9" s="12">
        <f t="shared" ref="N9:N32" si="32">$B$51*B9/100*($B$46+$B$47)*F9</f>
        <v>48.026089696659653</v>
      </c>
      <c r="O9" s="13">
        <f t="shared" ref="O9:O32" si="33">L9+ M9+N9</f>
        <v>82.994508838824288</v>
      </c>
      <c r="P9" s="13">
        <f t="shared" ref="P9:P32" si="34">O9*(100/$B$53)</f>
        <v>89.241407353574502</v>
      </c>
      <c r="Q9" s="26">
        <f t="shared" ref="Q9:Q32" si="35">0.01141*P9 +0.435</f>
        <v>1.4532444579042851</v>
      </c>
      <c r="R9" s="26">
        <f t="shared" ref="R9:R32" si="36">Q9*5</f>
        <v>7.2662222895214255</v>
      </c>
      <c r="S9" s="26">
        <f t="shared" ref="S9:S32" si="37">R9*60/($B$46*((100-$B$52)/100))</f>
        <v>7.0866927401054207</v>
      </c>
      <c r="T9" s="26">
        <f t="shared" ref="T9:T32" si="38">S9-1</f>
        <v>6.0866927401054207</v>
      </c>
      <c r="U9" s="80">
        <f t="shared" ref="U9:U32" si="39">(S9*((100-$B$52)/100))+($B$55*($B$52/100))</f>
        <v>5.6693541920843371</v>
      </c>
      <c r="V9" s="80">
        <f t="shared" ref="V9:V32" si="40">T9</f>
        <v>6.0866927401054207</v>
      </c>
      <c r="W9" s="80">
        <f t="shared" ref="W9:W32" si="41">V9-$V$4</f>
        <v>1.6980500694025338</v>
      </c>
      <c r="X9" s="84">
        <f>(V$4+V9)/2</f>
        <v>5.2376677054041538</v>
      </c>
      <c r="Y9" s="84">
        <f t="shared" ref="Y9:Y32" si="42">X9*Y$39</f>
        <v>3.3154436575208295</v>
      </c>
      <c r="Z9" s="84">
        <f t="shared" si="22"/>
        <v>3.437667705404154</v>
      </c>
      <c r="AA9" s="118">
        <f>(J$4+J9)/2</f>
        <v>14.076981539350182</v>
      </c>
      <c r="AB9" s="119">
        <f t="shared" si="23"/>
        <v>4.8263936706343484</v>
      </c>
      <c r="AC9" s="119">
        <f t="shared" si="24"/>
        <v>16.723639439231953</v>
      </c>
      <c r="AD9" s="91"/>
      <c r="AE9" s="105"/>
      <c r="AF9" s="91"/>
      <c r="AG9" s="91"/>
      <c r="AH9" s="91"/>
      <c r="AI9" s="91"/>
      <c r="AJ9" s="91"/>
      <c r="AK9" s="91"/>
      <c r="AL9" s="91"/>
      <c r="AM9" s="91"/>
    </row>
    <row r="10" spans="1:39" s="102" customFormat="1" x14ac:dyDescent="0.3">
      <c r="A10" s="92">
        <f t="shared" si="5"/>
        <v>0.85946892193478774</v>
      </c>
      <c r="B10" s="93">
        <v>1.5</v>
      </c>
      <c r="C10" s="92">
        <f t="shared" si="6"/>
        <v>66.666666666666657</v>
      </c>
      <c r="D10" s="92">
        <v>1</v>
      </c>
      <c r="E10" s="27">
        <f t="shared" si="7"/>
        <v>14.733597053016169</v>
      </c>
      <c r="F10" s="95">
        <f t="shared" si="25"/>
        <v>4.0926658480600473</v>
      </c>
      <c r="G10" s="95">
        <f t="shared" si="26"/>
        <v>4.0926658480600473</v>
      </c>
      <c r="H10" s="94">
        <f t="shared" si="27"/>
        <v>4.9111990176720557</v>
      </c>
      <c r="I10" s="95">
        <f t="shared" si="28"/>
        <v>3.9289592141376448</v>
      </c>
      <c r="J10" s="94">
        <f t="shared" si="29"/>
        <v>11.786877642412936</v>
      </c>
      <c r="K10" s="28">
        <f t="shared" si="12"/>
        <v>0.97873952680351772</v>
      </c>
      <c r="L10" s="96">
        <f t="shared" si="30"/>
        <v>2.6614606009934492</v>
      </c>
      <c r="M10" s="97">
        <f t="shared" si="31"/>
        <v>29.391584223210533</v>
      </c>
      <c r="N10" s="97">
        <f t="shared" si="32"/>
        <v>55.890672620862439</v>
      </c>
      <c r="O10" s="98">
        <f t="shared" si="33"/>
        <v>87.943717445066426</v>
      </c>
      <c r="P10" s="98">
        <f t="shared" si="34"/>
        <v>94.563137037705829</v>
      </c>
      <c r="Q10" s="99">
        <f t="shared" si="35"/>
        <v>1.5139653936002235</v>
      </c>
      <c r="R10" s="99">
        <f t="shared" si="36"/>
        <v>7.5698269680011174</v>
      </c>
      <c r="S10" s="99">
        <f t="shared" si="37"/>
        <v>7.3827961326408804</v>
      </c>
      <c r="T10" s="99">
        <f t="shared" si="38"/>
        <v>6.3827961326408804</v>
      </c>
      <c r="U10" s="100">
        <f t="shared" si="39"/>
        <v>5.9062369061127047</v>
      </c>
      <c r="V10" s="100">
        <f t="shared" si="40"/>
        <v>6.3827961326408804</v>
      </c>
      <c r="W10" s="100">
        <f t="shared" si="41"/>
        <v>1.9941534619379935</v>
      </c>
      <c r="X10" s="101">
        <f>(V$4+V10)/2</f>
        <v>5.3857194016718832</v>
      </c>
      <c r="Y10" s="101">
        <f t="shared" si="42"/>
        <v>3.4091603812583022</v>
      </c>
      <c r="Z10" s="84">
        <f t="shared" si="22"/>
        <v>3.5857194016718834</v>
      </c>
      <c r="AA10" s="118">
        <f>(J$4+J10)/2</f>
        <v>13.893438821206468</v>
      </c>
      <c r="AB10" s="119">
        <f t="shared" si="23"/>
        <v>4.7634647386993603</v>
      </c>
      <c r="AC10" s="119">
        <f t="shared" si="24"/>
        <v>16.616266949117879</v>
      </c>
      <c r="AD10" s="91" t="s">
        <v>194</v>
      </c>
      <c r="AE10" s="105"/>
      <c r="AF10" s="107"/>
      <c r="AG10" s="107"/>
      <c r="AH10" s="107"/>
      <c r="AI10" s="107"/>
      <c r="AJ10" s="107"/>
      <c r="AK10" s="107"/>
      <c r="AL10" s="107"/>
      <c r="AM10" s="107"/>
    </row>
    <row r="11" spans="1:39" s="29" customFormat="1" x14ac:dyDescent="0.3">
      <c r="A11" s="83">
        <f t="shared" si="5"/>
        <v>1.0027273205240015</v>
      </c>
      <c r="B11" s="83">
        <v>1.75</v>
      </c>
      <c r="C11" s="83">
        <f t="shared" si="6"/>
        <v>57.142857142857139</v>
      </c>
      <c r="D11" s="83">
        <v>1</v>
      </c>
      <c r="E11" s="27">
        <f t="shared" si="7"/>
        <v>14.31163468121113</v>
      </c>
      <c r="F11" s="28">
        <f t="shared" si="25"/>
        <v>3.9754540781142023</v>
      </c>
      <c r="G11" s="28">
        <f t="shared" si="26"/>
        <v>3.9754540781142023</v>
      </c>
      <c r="H11" s="27">
        <f t="shared" si="27"/>
        <v>4.7705448937370427</v>
      </c>
      <c r="I11" s="28">
        <f t="shared" si="28"/>
        <v>3.8164359149896345</v>
      </c>
      <c r="J11" s="27">
        <f t="shared" si="29"/>
        <v>11.449307744968904</v>
      </c>
      <c r="K11" s="28">
        <f t="shared" si="12"/>
        <v>0.97292354218498001</v>
      </c>
      <c r="L11" s="32">
        <f t="shared" si="30"/>
        <v>2.5852377869976659</v>
      </c>
      <c r="M11" s="12">
        <f t="shared" si="31"/>
        <v>26.937938461054607</v>
      </c>
      <c r="N11" s="12">
        <f t="shared" si="32"/>
        <v>63.338325781442826</v>
      </c>
      <c r="O11" s="13">
        <f t="shared" si="33"/>
        <v>92.861502029495099</v>
      </c>
      <c r="P11" s="13">
        <f t="shared" si="34"/>
        <v>99.851077451069997</v>
      </c>
      <c r="Q11" s="26">
        <f t="shared" si="35"/>
        <v>1.5743007937167088</v>
      </c>
      <c r="R11" s="26">
        <f t="shared" si="36"/>
        <v>7.8715039685835446</v>
      </c>
      <c r="S11" s="26">
        <f t="shared" si="37"/>
        <v>7.6770194752115186</v>
      </c>
      <c r="T11" s="26">
        <f t="shared" si="38"/>
        <v>6.6770194752115186</v>
      </c>
      <c r="U11" s="80">
        <f t="shared" si="39"/>
        <v>6.1416155801692156</v>
      </c>
      <c r="V11" s="80">
        <f t="shared" si="40"/>
        <v>6.6770194752115186</v>
      </c>
      <c r="W11" s="80">
        <f t="shared" si="41"/>
        <v>2.2883768045086317</v>
      </c>
      <c r="X11" s="84">
        <f>(V$4+V11)/2</f>
        <v>5.5328310729572028</v>
      </c>
      <c r="Y11" s="84">
        <f t="shared" si="42"/>
        <v>3.5022820691819092</v>
      </c>
      <c r="Z11" s="84">
        <f t="shared" si="22"/>
        <v>3.732831072957203</v>
      </c>
      <c r="AA11" s="118">
        <f>(J$4+J11)/2</f>
        <v>13.724653872484453</v>
      </c>
      <c r="AB11" s="119">
        <f t="shared" si="23"/>
        <v>4.7055956134232408</v>
      </c>
      <c r="AC11" s="119">
        <f t="shared" si="24"/>
        <v>16.517527754115502</v>
      </c>
      <c r="AD11" s="105"/>
      <c r="AE11" s="105"/>
      <c r="AF11" s="105"/>
      <c r="AG11" s="105"/>
      <c r="AH11" s="105"/>
      <c r="AI11" s="105"/>
      <c r="AJ11" s="105"/>
      <c r="AK11" s="105"/>
      <c r="AL11" s="105"/>
      <c r="AM11" s="105"/>
    </row>
    <row r="12" spans="1:39" s="87" customFormat="1" x14ac:dyDescent="0.3">
      <c r="A12" s="83">
        <f t="shared" si="5"/>
        <v>1.1459919861622325</v>
      </c>
      <c r="B12" s="86">
        <v>2</v>
      </c>
      <c r="C12" s="83">
        <f t="shared" si="6"/>
        <v>50</v>
      </c>
      <c r="D12" s="83">
        <v>1</v>
      </c>
      <c r="E12" s="27">
        <f t="shared" si="7"/>
        <v>13.918881681795691</v>
      </c>
      <c r="F12" s="28">
        <f t="shared" si="25"/>
        <v>3.8663560227210252</v>
      </c>
      <c r="G12" s="28">
        <f t="shared" si="26"/>
        <v>3.8663560227210252</v>
      </c>
      <c r="H12" s="27">
        <f t="shared" si="27"/>
        <v>4.6396272272652297</v>
      </c>
      <c r="I12" s="28">
        <f t="shared" si="28"/>
        <v>3.711701781812184</v>
      </c>
      <c r="J12" s="27">
        <f t="shared" si="29"/>
        <v>11.135105345436553</v>
      </c>
      <c r="K12" s="28">
        <f t="shared" si="12"/>
        <v>0.96751015569339915</v>
      </c>
      <c r="L12" s="32">
        <f t="shared" si="30"/>
        <v>2.5142913215754832</v>
      </c>
      <c r="M12" s="12">
        <f t="shared" si="31"/>
        <v>24.78047689799914</v>
      </c>
      <c r="N12" s="12">
        <f t="shared" si="32"/>
        <v>70.400157004113524</v>
      </c>
      <c r="O12" s="13">
        <f t="shared" si="33"/>
        <v>97.694925223688145</v>
      </c>
      <c r="P12" s="13">
        <f t="shared" si="34"/>
        <v>105.04830669213779</v>
      </c>
      <c r="Q12" s="26">
        <f t="shared" si="35"/>
        <v>1.6336011793572922</v>
      </c>
      <c r="R12" s="26">
        <f t="shared" si="36"/>
        <v>8.1680058967864611</v>
      </c>
      <c r="S12" s="26">
        <f t="shared" si="37"/>
        <v>7.9661956080492127</v>
      </c>
      <c r="T12" s="26">
        <f t="shared" si="38"/>
        <v>6.9661956080492127</v>
      </c>
      <c r="U12" s="80">
        <f t="shared" si="39"/>
        <v>6.3729564864393708</v>
      </c>
      <c r="V12" s="80">
        <f t="shared" si="40"/>
        <v>6.9661956080492127</v>
      </c>
      <c r="W12" s="80">
        <f t="shared" si="41"/>
        <v>2.5775529373463257</v>
      </c>
      <c r="X12" s="84">
        <f>(V$4+V12)/2</f>
        <v>5.6774191393760498</v>
      </c>
      <c r="Y12" s="84">
        <f t="shared" si="42"/>
        <v>3.5938063152250397</v>
      </c>
      <c r="Z12" s="84">
        <f t="shared" si="22"/>
        <v>3.87741913937605</v>
      </c>
      <c r="AA12" s="118">
        <f>(J$4+J12)/2</f>
        <v>13.567552672718277</v>
      </c>
      <c r="AB12" s="119">
        <f t="shared" si="23"/>
        <v>4.6517323449319807</v>
      </c>
      <c r="AC12" s="119">
        <f t="shared" si="24"/>
        <v>16.42562355225229</v>
      </c>
      <c r="AD12" s="108"/>
      <c r="AE12" s="105"/>
      <c r="AF12" s="108"/>
      <c r="AG12" s="108"/>
      <c r="AH12" s="108"/>
      <c r="AI12" s="108"/>
      <c r="AJ12" s="108"/>
      <c r="AK12" s="108"/>
      <c r="AL12" s="108"/>
      <c r="AM12" s="108"/>
    </row>
    <row r="13" spans="1:39" s="29" customFormat="1" x14ac:dyDescent="0.3">
      <c r="A13" s="83">
        <f t="shared" si="5"/>
        <v>1.2892638142541075</v>
      </c>
      <c r="B13" s="83">
        <v>2.25</v>
      </c>
      <c r="C13" s="83">
        <f t="shared" si="6"/>
        <v>44.444444444444443</v>
      </c>
      <c r="D13" s="83">
        <v>1</v>
      </c>
      <c r="E13" s="27">
        <f t="shared" si="7"/>
        <v>13.55</v>
      </c>
      <c r="F13" s="28">
        <f t="shared" si="25"/>
        <v>3.7638888888888893</v>
      </c>
      <c r="G13" s="28">
        <f t="shared" si="26"/>
        <v>3.7638888888888893</v>
      </c>
      <c r="H13" s="27">
        <f t="shared" si="27"/>
        <v>4.5166666666666666</v>
      </c>
      <c r="I13" s="28">
        <f t="shared" si="28"/>
        <v>3.6133333333333333</v>
      </c>
      <c r="J13" s="27">
        <f t="shared" si="29"/>
        <v>10.84</v>
      </c>
      <c r="K13" s="28">
        <f t="shared" si="12"/>
        <v>0.96242579194265354</v>
      </c>
      <c r="L13" s="32">
        <f t="shared" si="30"/>
        <v>2.4476569444444451</v>
      </c>
      <c r="M13" s="12">
        <f t="shared" si="31"/>
        <v>22.862015580123678</v>
      </c>
      <c r="N13" s="12">
        <f t="shared" si="32"/>
        <v>77.101193750000022</v>
      </c>
      <c r="O13" s="13">
        <f t="shared" si="33"/>
        <v>102.41086627456815</v>
      </c>
      <c r="P13" s="13">
        <f t="shared" si="34"/>
        <v>110.11921104792273</v>
      </c>
      <c r="Q13" s="26">
        <f t="shared" si="35"/>
        <v>1.6914601980567985</v>
      </c>
      <c r="R13" s="26">
        <f t="shared" si="36"/>
        <v>8.4573009902839917</v>
      </c>
      <c r="S13" s="26">
        <f t="shared" si="37"/>
        <v>8.2483429684174148</v>
      </c>
      <c r="T13" s="26">
        <f t="shared" si="38"/>
        <v>7.2483429684174148</v>
      </c>
      <c r="U13" s="80">
        <f t="shared" si="39"/>
        <v>6.5986743747339318</v>
      </c>
      <c r="V13" s="80">
        <f t="shared" si="40"/>
        <v>7.2483429684174148</v>
      </c>
      <c r="W13" s="80">
        <f t="shared" si="41"/>
        <v>2.8597002977145278</v>
      </c>
      <c r="X13" s="84">
        <f>(V$4+V13)/2</f>
        <v>5.8184928195601504</v>
      </c>
      <c r="Y13" s="84">
        <f t="shared" si="42"/>
        <v>3.6831059547815754</v>
      </c>
      <c r="Z13" s="84">
        <f t="shared" si="22"/>
        <v>4.0184928195601506</v>
      </c>
      <c r="AA13" s="118">
        <f>(J$4+J13)/2</f>
        <v>13.42</v>
      </c>
      <c r="AB13" s="119">
        <f t="shared" si="23"/>
        <v>4.6011428571428574</v>
      </c>
      <c r="AC13" s="119">
        <f t="shared" si="24"/>
        <v>16.339305238712097</v>
      </c>
      <c r="AD13" s="105"/>
      <c r="AE13" s="105"/>
      <c r="AF13" s="105"/>
      <c r="AG13" s="105"/>
      <c r="AH13" s="105"/>
      <c r="AI13" s="105"/>
      <c r="AJ13" s="105"/>
      <c r="AK13" s="105"/>
      <c r="AL13" s="105"/>
      <c r="AM13" s="105"/>
    </row>
    <row r="14" spans="1:39" s="90" customFormat="1" x14ac:dyDescent="0.3">
      <c r="A14" s="83">
        <f t="shared" si="5"/>
        <v>1.4325437002490189</v>
      </c>
      <c r="B14" s="83">
        <v>2.5</v>
      </c>
      <c r="C14" s="83">
        <f t="shared" si="6"/>
        <v>40</v>
      </c>
      <c r="D14" s="83">
        <v>1</v>
      </c>
      <c r="E14" s="27">
        <f t="shared" si="7"/>
        <v>13.201103030637984</v>
      </c>
      <c r="F14" s="28">
        <f t="shared" si="25"/>
        <v>3.6669730640661067</v>
      </c>
      <c r="G14" s="28">
        <f t="shared" si="26"/>
        <v>3.6669730640661067</v>
      </c>
      <c r="H14" s="27">
        <f t="shared" si="27"/>
        <v>4.4003676768793278</v>
      </c>
      <c r="I14" s="28">
        <f t="shared" si="28"/>
        <v>3.5202941415034625</v>
      </c>
      <c r="J14" s="27">
        <f t="shared" si="29"/>
        <v>10.560882424510387</v>
      </c>
      <c r="K14" s="28">
        <f t="shared" si="12"/>
        <v>0.95761688114194954</v>
      </c>
      <c r="L14" s="32">
        <f t="shared" si="30"/>
        <v>2.3846325835621895</v>
      </c>
      <c r="M14" s="12">
        <f t="shared" si="31"/>
        <v>21.141085984503331</v>
      </c>
      <c r="N14" s="12">
        <f t="shared" si="32"/>
        <v>83.462140424676619</v>
      </c>
      <c r="O14" s="13">
        <f t="shared" si="33"/>
        <v>106.98785899274213</v>
      </c>
      <c r="P14" s="13">
        <f t="shared" si="34"/>
        <v>115.04070859434637</v>
      </c>
      <c r="Q14" s="26">
        <f t="shared" si="35"/>
        <v>1.7476144850614921</v>
      </c>
      <c r="R14" s="26">
        <f t="shared" si="36"/>
        <v>8.7380724253074611</v>
      </c>
      <c r="S14" s="26">
        <f t="shared" si="37"/>
        <v>8.5221772678551311</v>
      </c>
      <c r="T14" s="26">
        <f t="shared" si="38"/>
        <v>7.5221772678551311</v>
      </c>
      <c r="U14" s="80">
        <f t="shared" si="39"/>
        <v>6.8177418142841049</v>
      </c>
      <c r="V14" s="80">
        <f t="shared" si="40"/>
        <v>7.5221772678551311</v>
      </c>
      <c r="W14" s="80">
        <f t="shared" si="41"/>
        <v>3.1335345971522441</v>
      </c>
      <c r="X14" s="84">
        <f>(V$4+V14)/2</f>
        <v>5.9554099692790086</v>
      </c>
      <c r="Y14" s="84">
        <f t="shared" si="42"/>
        <v>3.7697745105536127</v>
      </c>
      <c r="Z14" s="84">
        <f t="shared" si="22"/>
        <v>4.1554099692790087</v>
      </c>
      <c r="AA14" s="118">
        <f>(J$4+J14)/2</f>
        <v>13.280441212255194</v>
      </c>
      <c r="AB14" s="119">
        <f t="shared" si="23"/>
        <v>4.5532941299160665</v>
      </c>
      <c r="AC14" s="119">
        <f t="shared" si="24"/>
        <v>16.257663347881383</v>
      </c>
      <c r="AD14" s="106"/>
      <c r="AE14" s="105"/>
      <c r="AF14" s="106"/>
      <c r="AG14" s="106"/>
      <c r="AH14" s="106"/>
      <c r="AI14" s="106"/>
      <c r="AJ14" s="106"/>
      <c r="AK14" s="106"/>
      <c r="AL14" s="106"/>
      <c r="AM14" s="106"/>
    </row>
    <row r="15" spans="1:39" s="29" customFormat="1" x14ac:dyDescent="0.3">
      <c r="A15" s="83">
        <f t="shared" si="5"/>
        <v>1.5758325396467194</v>
      </c>
      <c r="B15" s="83">
        <v>2.75</v>
      </c>
      <c r="C15" s="83">
        <f t="shared" si="6"/>
        <v>36.363636363636367</v>
      </c>
      <c r="D15" s="83">
        <v>1</v>
      </c>
      <c r="E15" s="27">
        <f t="shared" si="7"/>
        <v>12.869256700735891</v>
      </c>
      <c r="F15" s="28">
        <f t="shared" si="25"/>
        <v>3.5747935279821919</v>
      </c>
      <c r="G15" s="28">
        <f t="shared" si="26"/>
        <v>3.5747935279821919</v>
      </c>
      <c r="H15" s="27">
        <f t="shared" si="27"/>
        <v>4.2897522335786302</v>
      </c>
      <c r="I15" s="28">
        <f t="shared" si="28"/>
        <v>3.4318017868629043</v>
      </c>
      <c r="J15" s="27">
        <f t="shared" si="29"/>
        <v>10.295405360588713</v>
      </c>
      <c r="K15" s="28">
        <f t="shared" si="12"/>
        <v>0.95304298242635377</v>
      </c>
      <c r="L15" s="32">
        <f t="shared" si="30"/>
        <v>2.3246882312468196</v>
      </c>
      <c r="M15" s="12">
        <f t="shared" si="31"/>
        <v>19.58650834951538</v>
      </c>
      <c r="N15" s="12">
        <f t="shared" si="32"/>
        <v>89.500496903002556</v>
      </c>
      <c r="O15" s="13">
        <f t="shared" si="33"/>
        <v>111.41169348376476</v>
      </c>
      <c r="P15" s="13">
        <f t="shared" si="34"/>
        <v>119.79751987501587</v>
      </c>
      <c r="Q15" s="26">
        <f t="shared" si="35"/>
        <v>1.801889701773931</v>
      </c>
      <c r="R15" s="26">
        <f t="shared" si="36"/>
        <v>9.0094485088696548</v>
      </c>
      <c r="S15" s="26">
        <f t="shared" si="37"/>
        <v>8.7868483506531074</v>
      </c>
      <c r="T15" s="26">
        <f t="shared" si="38"/>
        <v>7.7868483506531074</v>
      </c>
      <c r="U15" s="80">
        <f t="shared" si="39"/>
        <v>7.0294786805224865</v>
      </c>
      <c r="V15" s="80">
        <f t="shared" si="40"/>
        <v>7.7868483506531074</v>
      </c>
      <c r="W15" s="80">
        <f t="shared" si="41"/>
        <v>3.3982056799502205</v>
      </c>
      <c r="X15" s="84">
        <f>(V$4+V15)/2</f>
        <v>6.0877455106779976</v>
      </c>
      <c r="Y15" s="84">
        <f t="shared" si="42"/>
        <v>3.8535429082591723</v>
      </c>
      <c r="Z15" s="84">
        <f t="shared" si="22"/>
        <v>4.2877455106779978</v>
      </c>
      <c r="AA15" s="118">
        <f>(J$4+J15)/2</f>
        <v>13.147702680294357</v>
      </c>
      <c r="AB15" s="119">
        <f t="shared" si="23"/>
        <v>4.5077837761009221</v>
      </c>
      <c r="AC15" s="119">
        <f t="shared" si="24"/>
        <v>16.180011306684296</v>
      </c>
      <c r="AD15" s="105"/>
      <c r="AE15" s="105"/>
      <c r="AF15" s="105"/>
      <c r="AG15" s="105"/>
      <c r="AH15" s="105"/>
      <c r="AI15" s="105"/>
      <c r="AJ15" s="105"/>
      <c r="AK15" s="105"/>
      <c r="AL15" s="105"/>
      <c r="AM15" s="105"/>
    </row>
    <row r="16" spans="1:39" s="29" customFormat="1" x14ac:dyDescent="0.3">
      <c r="A16" s="83">
        <f t="shared" si="5"/>
        <v>1.7191312280029225</v>
      </c>
      <c r="B16" s="83">
        <v>3</v>
      </c>
      <c r="C16" s="83">
        <f t="shared" si="6"/>
        <v>33.333333333333329</v>
      </c>
      <c r="D16" s="83">
        <v>1</v>
      </c>
      <c r="E16" s="27">
        <f t="shared" si="7"/>
        <v>12.552181527453829</v>
      </c>
      <c r="F16" s="28">
        <f t="shared" si="25"/>
        <v>3.486717090959397</v>
      </c>
      <c r="G16" s="28">
        <f t="shared" si="26"/>
        <v>3.486717090959397</v>
      </c>
      <c r="H16" s="27">
        <f t="shared" si="27"/>
        <v>4.1840605091512764</v>
      </c>
      <c r="I16" s="28">
        <f t="shared" si="28"/>
        <v>3.3472484073210209</v>
      </c>
      <c r="J16" s="27">
        <f t="shared" si="29"/>
        <v>10.041745221963064</v>
      </c>
      <c r="K16" s="28">
        <f t="shared" si="12"/>
        <v>0.94867267726658289</v>
      </c>
      <c r="L16" s="32">
        <f t="shared" si="30"/>
        <v>2.267412124250896</v>
      </c>
      <c r="M16" s="12">
        <f t="shared" si="31"/>
        <v>18.174156550053933</v>
      </c>
      <c r="N16" s="12">
        <f t="shared" si="32"/>
        <v>95.231309218537646</v>
      </c>
      <c r="O16" s="13">
        <f t="shared" si="33"/>
        <v>115.67287789284248</v>
      </c>
      <c r="P16" s="13">
        <f t="shared" si="34"/>
        <v>124.37943859445427</v>
      </c>
      <c r="Q16" s="26">
        <f t="shared" si="35"/>
        <v>1.8541693943627233</v>
      </c>
      <c r="R16" s="26">
        <f t="shared" si="36"/>
        <v>9.2708469718136168</v>
      </c>
      <c r="S16" s="26">
        <f t="shared" si="37"/>
        <v>9.041788334018479</v>
      </c>
      <c r="T16" s="26">
        <f t="shared" si="38"/>
        <v>8.041788334018479</v>
      </c>
      <c r="U16" s="80">
        <f t="shared" si="39"/>
        <v>7.2334306672147832</v>
      </c>
      <c r="V16" s="80">
        <f t="shared" si="40"/>
        <v>8.041788334018479</v>
      </c>
      <c r="W16" s="80">
        <f t="shared" si="41"/>
        <v>3.6531456633155921</v>
      </c>
      <c r="X16" s="84">
        <f>(V$4+V16)/2</f>
        <v>6.2152155023606834</v>
      </c>
      <c r="Y16" s="84">
        <f t="shared" si="42"/>
        <v>3.9342314129943126</v>
      </c>
      <c r="Z16" s="84">
        <f t="shared" si="22"/>
        <v>4.4152155023606836</v>
      </c>
      <c r="AA16" s="118">
        <f t="shared" ref="AA16:AA32" si="43">(J$4+J16)/2</f>
        <v>13.020872610981531</v>
      </c>
      <c r="AB16" s="119">
        <f t="shared" si="23"/>
        <v>4.4642991809079531</v>
      </c>
      <c r="AC16" s="119">
        <f t="shared" si="24"/>
        <v>16.105815716136291</v>
      </c>
      <c r="AD16" s="105"/>
      <c r="AE16" s="105"/>
      <c r="AF16" s="105"/>
      <c r="AG16" s="105"/>
      <c r="AH16" s="105"/>
      <c r="AI16" s="105"/>
      <c r="AJ16" s="105"/>
      <c r="AK16" s="105"/>
      <c r="AL16" s="105"/>
      <c r="AM16" s="105"/>
    </row>
    <row r="17" spans="1:39" s="29" customFormat="1" x14ac:dyDescent="0.3">
      <c r="A17" s="83">
        <f t="shared" si="5"/>
        <v>1.8624406609348967</v>
      </c>
      <c r="B17" s="83">
        <v>3.25</v>
      </c>
      <c r="C17" s="83">
        <f t="shared" si="6"/>
        <v>30.76923076923077</v>
      </c>
      <c r="D17" s="83">
        <v>1</v>
      </c>
      <c r="E17" s="27">
        <f t="shared" si="7"/>
        <v>12.248064757752424</v>
      </c>
      <c r="F17" s="28">
        <f t="shared" si="25"/>
        <v>3.4022402104867844</v>
      </c>
      <c r="G17" s="28">
        <f t="shared" si="26"/>
        <v>3.4022402104867844</v>
      </c>
      <c r="H17" s="27">
        <f t="shared" si="27"/>
        <v>4.0826882525841413</v>
      </c>
      <c r="I17" s="28">
        <f t="shared" si="28"/>
        <v>3.266150602067313</v>
      </c>
      <c r="J17" s="27">
        <f t="shared" si="29"/>
        <v>9.798451806201939</v>
      </c>
      <c r="K17" s="28">
        <f t="shared" si="12"/>
        <v>0.94448098015563764</v>
      </c>
      <c r="L17" s="32">
        <f t="shared" si="30"/>
        <v>2.2124768088795563</v>
      </c>
      <c r="M17" s="12">
        <f t="shared" si="31"/>
        <v>16.88492175390207</v>
      </c>
      <c r="N17" s="12">
        <f t="shared" si="32"/>
        <v>100.6676948040198</v>
      </c>
      <c r="O17" s="13">
        <f t="shared" si="33"/>
        <v>119.76509336680144</v>
      </c>
      <c r="P17" s="13">
        <f t="shared" si="34"/>
        <v>128.77967028688326</v>
      </c>
      <c r="Q17" s="26">
        <f t="shared" si="35"/>
        <v>1.9043760379733381</v>
      </c>
      <c r="R17" s="26">
        <f t="shared" si="36"/>
        <v>9.5218801898666907</v>
      </c>
      <c r="S17" s="26">
        <f t="shared" si="37"/>
        <v>9.2866191708712833</v>
      </c>
      <c r="T17" s="26">
        <f t="shared" si="38"/>
        <v>8.2866191708712833</v>
      </c>
      <c r="U17" s="80">
        <f t="shared" si="39"/>
        <v>7.4292953366970274</v>
      </c>
      <c r="V17" s="80">
        <f t="shared" si="40"/>
        <v>8.2866191708712833</v>
      </c>
      <c r="W17" s="80">
        <f t="shared" si="41"/>
        <v>3.8979765001683964</v>
      </c>
      <c r="X17" s="84">
        <f>(V$4+V17)/2</f>
        <v>6.3376309207870847</v>
      </c>
      <c r="Y17" s="84">
        <f t="shared" si="42"/>
        <v>4.0117203728582247</v>
      </c>
      <c r="Z17" s="84">
        <f t="shared" si="22"/>
        <v>4.5376309207870849</v>
      </c>
      <c r="AA17" s="118">
        <f t="shared" si="43"/>
        <v>12.89922590310097</v>
      </c>
      <c r="AB17" s="119">
        <f t="shared" si="23"/>
        <v>4.4225917382060471</v>
      </c>
      <c r="AC17" s="119">
        <f t="shared" si="24"/>
        <v>16.034652392026164</v>
      </c>
      <c r="AD17" s="105"/>
      <c r="AE17" s="105"/>
      <c r="AF17" s="105"/>
      <c r="AG17" s="105"/>
      <c r="AH17" s="105"/>
      <c r="AI17" s="105"/>
      <c r="AJ17" s="105"/>
      <c r="AK17" s="105"/>
      <c r="AL17" s="105"/>
      <c r="AM17" s="105"/>
    </row>
    <row r="18" spans="1:39" s="29" customFormat="1" x14ac:dyDescent="0.3">
      <c r="A18" s="83">
        <f t="shared" si="5"/>
        <v>2.005761734127065</v>
      </c>
      <c r="B18" s="83">
        <v>3.5</v>
      </c>
      <c r="C18" s="83">
        <f t="shared" si="6"/>
        <v>28.571428571428569</v>
      </c>
      <c r="D18" s="83">
        <v>1</v>
      </c>
      <c r="E18" s="27">
        <f t="shared" si="7"/>
        <v>11.955436618436027</v>
      </c>
      <c r="F18" s="28">
        <f t="shared" si="25"/>
        <v>3.3209546162322292</v>
      </c>
      <c r="G18" s="28">
        <f t="shared" si="26"/>
        <v>3.3209546162322292</v>
      </c>
      <c r="H18" s="27">
        <f t="shared" si="27"/>
        <v>3.9851455394786752</v>
      </c>
      <c r="I18" s="28">
        <f t="shared" si="28"/>
        <v>3.1881164315829404</v>
      </c>
      <c r="J18" s="27">
        <f t="shared" si="29"/>
        <v>9.5643492947488209</v>
      </c>
      <c r="K18" s="28">
        <f t="shared" si="12"/>
        <v>0.94044763294049338</v>
      </c>
      <c r="L18" s="32">
        <f t="shared" si="30"/>
        <v>2.1596167869358189</v>
      </c>
      <c r="M18" s="12">
        <f t="shared" si="31"/>
        <v>15.703373302728055</v>
      </c>
      <c r="N18" s="12">
        <f t="shared" si="32"/>
        <v>105.82122255985513</v>
      </c>
      <c r="O18" s="13">
        <f t="shared" si="33"/>
        <v>123.684212649519</v>
      </c>
      <c r="P18" s="13">
        <f t="shared" si="34"/>
        <v>132.99377704249355</v>
      </c>
      <c r="Q18" s="26">
        <f t="shared" si="35"/>
        <v>1.9524589960548515</v>
      </c>
      <c r="R18" s="26">
        <f t="shared" si="36"/>
        <v>9.7622949802742571</v>
      </c>
      <c r="S18" s="26">
        <f t="shared" si="37"/>
        <v>9.5210939339475846</v>
      </c>
      <c r="T18" s="26">
        <f t="shared" si="38"/>
        <v>8.5210939339475846</v>
      </c>
      <c r="U18" s="80">
        <f t="shared" si="39"/>
        <v>7.6168751471580682</v>
      </c>
      <c r="V18" s="80">
        <f t="shared" si="40"/>
        <v>8.5210939339475846</v>
      </c>
      <c r="W18" s="80">
        <f t="shared" si="41"/>
        <v>4.1324512632446977</v>
      </c>
      <c r="X18" s="84">
        <f>(V$4+V18)/2</f>
        <v>6.4548683023252362</v>
      </c>
      <c r="Y18" s="84">
        <f t="shared" si="42"/>
        <v>4.0859316353718746</v>
      </c>
      <c r="Z18" s="84">
        <f t="shared" si="22"/>
        <v>4.6548683023252364</v>
      </c>
      <c r="AA18" s="118">
        <f t="shared" si="43"/>
        <v>12.782174647374411</v>
      </c>
      <c r="AB18" s="119">
        <f t="shared" si="23"/>
        <v>4.3824598790997982</v>
      </c>
      <c r="AC18" s="119">
        <f t="shared" si="24"/>
        <v>15.966177407426127</v>
      </c>
      <c r="AD18" s="105"/>
      <c r="AE18" s="105"/>
      <c r="AF18" s="105"/>
      <c r="AG18" s="105"/>
      <c r="AH18" s="105"/>
      <c r="AI18" s="105"/>
      <c r="AJ18" s="105"/>
      <c r="AK18" s="105"/>
      <c r="AL18" s="105"/>
      <c r="AM18" s="105"/>
    </row>
    <row r="19" spans="1:39" s="29" customFormat="1" x14ac:dyDescent="0.3">
      <c r="A19" s="83">
        <f t="shared" si="5"/>
        <v>2.1490953433366</v>
      </c>
      <c r="B19" s="83">
        <v>3.75</v>
      </c>
      <c r="C19" s="83">
        <f t="shared" si="6"/>
        <v>26.666666666666668</v>
      </c>
      <c r="D19" s="83">
        <v>1</v>
      </c>
      <c r="E19" s="27">
        <f t="shared" si="7"/>
        <v>11.673085805654054</v>
      </c>
      <c r="F19" s="28">
        <f t="shared" si="25"/>
        <v>3.2425238349039041</v>
      </c>
      <c r="G19" s="28">
        <f t="shared" si="26"/>
        <v>3.2425238349039041</v>
      </c>
      <c r="H19" s="27">
        <f t="shared" si="27"/>
        <v>3.8910286018846847</v>
      </c>
      <c r="I19" s="28">
        <f t="shared" si="28"/>
        <v>3.1128228815077477</v>
      </c>
      <c r="J19" s="27">
        <f t="shared" si="29"/>
        <v>9.3384686445232425</v>
      </c>
      <c r="K19" s="28">
        <f t="shared" si="12"/>
        <v>0.93655593999842612</v>
      </c>
      <c r="L19" s="32">
        <f t="shared" si="30"/>
        <v>2.108613249838009</v>
      </c>
      <c r="M19" s="12">
        <f t="shared" si="31"/>
        <v>14.616845769172246</v>
      </c>
      <c r="N19" s="12">
        <f t="shared" si="32"/>
        <v>110.70219561649547</v>
      </c>
      <c r="O19" s="13">
        <f t="shared" si="33"/>
        <v>127.42765463550573</v>
      </c>
      <c r="P19" s="13">
        <f t="shared" si="34"/>
        <v>137.01898347903841</v>
      </c>
      <c r="Q19" s="26">
        <f t="shared" si="35"/>
        <v>1.9983866014958283</v>
      </c>
      <c r="R19" s="26">
        <f t="shared" si="36"/>
        <v>9.9919330074791404</v>
      </c>
      <c r="S19" s="26">
        <f t="shared" si="37"/>
        <v>9.7450581997520871</v>
      </c>
      <c r="T19" s="26">
        <f t="shared" si="38"/>
        <v>8.7450581997520871</v>
      </c>
      <c r="U19" s="80">
        <f t="shared" si="39"/>
        <v>7.7960465598016704</v>
      </c>
      <c r="V19" s="80">
        <f t="shared" si="40"/>
        <v>8.7450581997520871</v>
      </c>
      <c r="W19" s="80">
        <f t="shared" si="41"/>
        <v>4.3564155290492002</v>
      </c>
      <c r="X19" s="84">
        <f>(V$4+V19)/2</f>
        <v>6.5668504352274866</v>
      </c>
      <c r="Y19" s="84">
        <f t="shared" si="42"/>
        <v>4.1568163254989994</v>
      </c>
      <c r="Z19" s="84">
        <f t="shared" si="22"/>
        <v>4.7668504352274867</v>
      </c>
      <c r="AA19" s="118">
        <f t="shared" si="43"/>
        <v>12.669234322261621</v>
      </c>
      <c r="AB19" s="119">
        <f t="shared" si="23"/>
        <v>4.3437374819182706</v>
      </c>
      <c r="AC19" s="119">
        <f t="shared" si="24"/>
        <v>15.900107317235145</v>
      </c>
      <c r="AD19" s="105"/>
      <c r="AE19" s="105"/>
      <c r="AF19" s="105"/>
      <c r="AG19" s="105"/>
      <c r="AH19" s="105"/>
      <c r="AI19" s="105"/>
      <c r="AJ19" s="105"/>
      <c r="AK19" s="105"/>
      <c r="AL19" s="105"/>
      <c r="AM19" s="105"/>
    </row>
    <row r="20" spans="1:39" s="29" customFormat="1" x14ac:dyDescent="0.3">
      <c r="A20" s="83">
        <f t="shared" si="5"/>
        <v>2.2924423843990267</v>
      </c>
      <c r="B20" s="83">
        <v>4</v>
      </c>
      <c r="C20" s="83">
        <f t="shared" si="6"/>
        <v>25</v>
      </c>
      <c r="D20" s="83">
        <v>1</v>
      </c>
      <c r="E20" s="27">
        <f t="shared" si="7"/>
        <v>11.4</v>
      </c>
      <c r="F20" s="28">
        <f t="shared" si="25"/>
        <v>3.1666666666666665</v>
      </c>
      <c r="G20" s="28">
        <f t="shared" si="26"/>
        <v>3.1666666666666665</v>
      </c>
      <c r="H20" s="27">
        <f t="shared" si="27"/>
        <v>3.8</v>
      </c>
      <c r="I20" s="28">
        <f t="shared" si="28"/>
        <v>3.04</v>
      </c>
      <c r="J20" s="27">
        <f t="shared" si="29"/>
        <v>9.120000000000001</v>
      </c>
      <c r="K20" s="28">
        <f t="shared" si="12"/>
        <v>0.93279194834573254</v>
      </c>
      <c r="L20" s="32">
        <f t="shared" si="30"/>
        <v>2.0592833333333336</v>
      </c>
      <c r="M20" s="12">
        <f t="shared" si="31"/>
        <v>13.6147974537037</v>
      </c>
      <c r="N20" s="12">
        <f t="shared" si="32"/>
        <v>115.31986666666667</v>
      </c>
      <c r="O20" s="13">
        <f t="shared" si="33"/>
        <v>130.9939474537037</v>
      </c>
      <c r="P20" s="13">
        <f t="shared" si="34"/>
        <v>140.85370693946632</v>
      </c>
      <c r="Q20" s="26">
        <f t="shared" si="35"/>
        <v>2.0421407961793108</v>
      </c>
      <c r="R20" s="26">
        <f t="shared" si="36"/>
        <v>10.210703980896554</v>
      </c>
      <c r="S20" s="26">
        <f t="shared" si="37"/>
        <v>9.9584239085467026</v>
      </c>
      <c r="T20" s="26">
        <f t="shared" si="38"/>
        <v>8.9584239085467026</v>
      </c>
      <c r="U20" s="80">
        <f t="shared" si="39"/>
        <v>7.9667391268373624</v>
      </c>
      <c r="V20" s="80">
        <f t="shared" si="40"/>
        <v>8.9584239085467026</v>
      </c>
      <c r="W20" s="80">
        <f t="shared" si="41"/>
        <v>4.5697812378438156</v>
      </c>
      <c r="X20" s="84">
        <f>(V$4+V20)/2</f>
        <v>6.6735332896247943</v>
      </c>
      <c r="Y20" s="84">
        <f t="shared" si="42"/>
        <v>4.2243465723324949</v>
      </c>
      <c r="Z20" s="84">
        <f t="shared" si="22"/>
        <v>4.8735332896247945</v>
      </c>
      <c r="AA20" s="118">
        <f t="shared" si="43"/>
        <v>12.56</v>
      </c>
      <c r="AB20" s="119">
        <f t="shared" si="23"/>
        <v>4.3062857142857149</v>
      </c>
      <c r="AC20" s="119">
        <f t="shared" si="24"/>
        <v>15.836205238712099</v>
      </c>
      <c r="AD20" s="105"/>
      <c r="AE20" s="105"/>
      <c r="AF20" s="105"/>
      <c r="AG20" s="105"/>
      <c r="AH20" s="105"/>
      <c r="AI20" s="105"/>
      <c r="AJ20" s="105"/>
      <c r="AK20" s="105"/>
      <c r="AL20" s="105"/>
      <c r="AM20" s="105"/>
    </row>
    <row r="21" spans="1:39" s="29" customFormat="1" x14ac:dyDescent="0.3">
      <c r="A21" s="83">
        <f t="shared" si="5"/>
        <v>2.4358037532338188</v>
      </c>
      <c r="B21" s="83">
        <v>4.25</v>
      </c>
      <c r="C21" s="83">
        <f t="shared" si="6"/>
        <v>23.52941176470588</v>
      </c>
      <c r="D21" s="83">
        <v>1</v>
      </c>
      <c r="E21" s="27">
        <f t="shared" si="7"/>
        <v>11.135322904922029</v>
      </c>
      <c r="F21" s="28">
        <f t="shared" si="25"/>
        <v>3.0931452513672304</v>
      </c>
      <c r="G21" s="28">
        <f t="shared" si="26"/>
        <v>3.0931452513672304</v>
      </c>
      <c r="H21" s="27">
        <f t="shared" si="27"/>
        <v>3.7117743016406761</v>
      </c>
      <c r="I21" s="28">
        <f t="shared" si="28"/>
        <v>2.969419441312541</v>
      </c>
      <c r="J21" s="27">
        <f t="shared" si="29"/>
        <v>8.9082583239376234</v>
      </c>
      <c r="K21" s="28">
        <f t="shared" si="12"/>
        <v>0.92914385549027756</v>
      </c>
      <c r="L21" s="32">
        <f t="shared" si="30"/>
        <v>2.0114723569641102</v>
      </c>
      <c r="M21" s="12">
        <f t="shared" si="31"/>
        <v>12.688347863680114</v>
      </c>
      <c r="N21" s="12">
        <f t="shared" si="32"/>
        <v>119.68260523936456</v>
      </c>
      <c r="O21" s="13">
        <f t="shared" si="33"/>
        <v>134.38242546000879</v>
      </c>
      <c r="P21" s="13">
        <f t="shared" si="34"/>
        <v>144.4972316774288</v>
      </c>
      <c r="Q21" s="26">
        <f t="shared" si="35"/>
        <v>2.0837134134394626</v>
      </c>
      <c r="R21" s="26">
        <f t="shared" si="36"/>
        <v>10.418567067197312</v>
      </c>
      <c r="S21" s="26">
        <f t="shared" si="37"/>
        <v>10.161151235888145</v>
      </c>
      <c r="T21" s="26">
        <f t="shared" si="38"/>
        <v>9.1611512358881448</v>
      </c>
      <c r="U21" s="80">
        <f t="shared" si="39"/>
        <v>8.1289209887105169</v>
      </c>
      <c r="V21" s="80">
        <f t="shared" si="40"/>
        <v>9.1611512358881448</v>
      </c>
      <c r="W21" s="80">
        <f t="shared" si="41"/>
        <v>4.7725085651852579</v>
      </c>
      <c r="X21" s="84">
        <f>(V$4+V21)/2</f>
        <v>6.7748969532955154</v>
      </c>
      <c r="Y21" s="84">
        <f t="shared" si="42"/>
        <v>4.2885097714360612</v>
      </c>
      <c r="Z21" s="84">
        <f t="shared" si="22"/>
        <v>4.9748969532955156</v>
      </c>
      <c r="AA21" s="119">
        <f t="shared" si="43"/>
        <v>12.454129161968812</v>
      </c>
      <c r="AB21" s="119">
        <f t="shared" si="23"/>
        <v>4.2699871412464496</v>
      </c>
      <c r="AC21" s="119">
        <f t="shared" si="24"/>
        <v>15.774270798463851</v>
      </c>
      <c r="AD21" s="105"/>
      <c r="AE21" s="105"/>
      <c r="AF21" s="105"/>
      <c r="AG21" s="105"/>
      <c r="AH21" s="105"/>
      <c r="AI21" s="105"/>
      <c r="AJ21" s="105"/>
      <c r="AK21" s="105"/>
      <c r="AL21" s="105"/>
      <c r="AM21" s="105"/>
    </row>
    <row r="22" spans="1:39" s="29" customFormat="1" x14ac:dyDescent="0.3">
      <c r="A22" s="83">
        <f t="shared" si="5"/>
        <v>2.5791803458499971</v>
      </c>
      <c r="B22" s="83">
        <v>4.5</v>
      </c>
      <c r="C22" s="83">
        <f t="shared" si="6"/>
        <v>22.222222222222221</v>
      </c>
      <c r="D22" s="83">
        <v>1</v>
      </c>
      <c r="E22" s="27">
        <f t="shared" si="7"/>
        <v>10.878322522693539</v>
      </c>
      <c r="F22" s="28">
        <f t="shared" si="25"/>
        <v>3.0217562563037608</v>
      </c>
      <c r="G22" s="28">
        <f t="shared" si="26"/>
        <v>3.0217562563037608</v>
      </c>
      <c r="H22" s="27">
        <f t="shared" si="27"/>
        <v>3.6261075075645128</v>
      </c>
      <c r="I22" s="28">
        <f t="shared" si="28"/>
        <v>2.9008860060516102</v>
      </c>
      <c r="J22" s="27">
        <f t="shared" si="29"/>
        <v>8.7026580181548319</v>
      </c>
      <c r="K22" s="28">
        <f t="shared" si="12"/>
        <v>0.92560157217339012</v>
      </c>
      <c r="L22" s="32">
        <f t="shared" si="30"/>
        <v>1.965048093474336</v>
      </c>
      <c r="M22" s="12">
        <f t="shared" si="31"/>
        <v>11.829936757528655</v>
      </c>
      <c r="N22" s="12">
        <f t="shared" si="32"/>
        <v>123.79802988888316</v>
      </c>
      <c r="O22" s="13">
        <f t="shared" si="33"/>
        <v>137.59301473988614</v>
      </c>
      <c r="P22" s="13">
        <f t="shared" si="34"/>
        <v>147.94947821493133</v>
      </c>
      <c r="Q22" s="26">
        <f t="shared" si="35"/>
        <v>2.1231035464323664</v>
      </c>
      <c r="R22" s="26">
        <f t="shared" si="36"/>
        <v>10.615517732161832</v>
      </c>
      <c r="S22" s="26">
        <f t="shared" si="37"/>
        <v>10.35323575958566</v>
      </c>
      <c r="T22" s="26">
        <f t="shared" si="38"/>
        <v>9.3532357595856599</v>
      </c>
      <c r="U22" s="80">
        <f t="shared" si="39"/>
        <v>8.2825886076685276</v>
      </c>
      <c r="V22" s="80">
        <f t="shared" si="40"/>
        <v>9.3532357595856599</v>
      </c>
      <c r="W22" s="80">
        <f t="shared" si="41"/>
        <v>4.964593088882773</v>
      </c>
      <c r="X22" s="84">
        <f>(V$4+V22)/2</f>
        <v>6.8709392151442739</v>
      </c>
      <c r="Y22" s="84">
        <f t="shared" si="42"/>
        <v>4.3493045231863254</v>
      </c>
      <c r="Z22" s="84">
        <f t="shared" si="22"/>
        <v>5.070939215144274</v>
      </c>
      <c r="AA22" s="119">
        <f t="shared" si="43"/>
        <v>12.351329009077416</v>
      </c>
      <c r="AB22" s="119">
        <f t="shared" si="23"/>
        <v>4.2347413745408282</v>
      </c>
      <c r="AC22" s="119">
        <f t="shared" si="24"/>
        <v>15.714132709022385</v>
      </c>
      <c r="AD22" s="105"/>
      <c r="AE22" s="105"/>
      <c r="AF22" s="105"/>
      <c r="AG22" s="105"/>
      <c r="AH22" s="105"/>
      <c r="AI22" s="105"/>
      <c r="AJ22" s="105"/>
      <c r="AK22" s="105"/>
      <c r="AL22" s="105"/>
      <c r="AM22" s="105"/>
    </row>
    <row r="23" spans="1:39" s="29" customFormat="1" x14ac:dyDescent="0.3">
      <c r="A23" s="83">
        <f t="shared" si="5"/>
        <v>2.7225730583517334</v>
      </c>
      <c r="B23" s="83">
        <v>4.75</v>
      </c>
      <c r="C23" s="83">
        <f t="shared" si="6"/>
        <v>21.052631578947366</v>
      </c>
      <c r="D23" s="83">
        <v>1</v>
      </c>
      <c r="E23" s="27">
        <f t="shared" si="7"/>
        <v>10.628367271387551</v>
      </c>
      <c r="F23" s="28">
        <f t="shared" si="25"/>
        <v>2.9523242420520974</v>
      </c>
      <c r="G23" s="28">
        <f t="shared" si="26"/>
        <v>2.9523242420520974</v>
      </c>
      <c r="H23" s="27">
        <f t="shared" si="27"/>
        <v>3.542789090462517</v>
      </c>
      <c r="I23" s="28">
        <f t="shared" si="28"/>
        <v>2.8342312723700136</v>
      </c>
      <c r="J23" s="27">
        <f t="shared" si="29"/>
        <v>8.5026938171100408</v>
      </c>
      <c r="K23" s="28">
        <f t="shared" si="12"/>
        <v>0.92215639318574794</v>
      </c>
      <c r="L23" s="32">
        <f t="shared" si="30"/>
        <v>1.9198964546064792</v>
      </c>
      <c r="M23" s="12">
        <f t="shared" si="31"/>
        <v>11.033067898612943</v>
      </c>
      <c r="N23" s="12">
        <f t="shared" si="32"/>
        <v>127.67311423133086</v>
      </c>
      <c r="O23" s="13">
        <f t="shared" si="33"/>
        <v>140.62607858455027</v>
      </c>
      <c r="P23" s="13">
        <f t="shared" si="34"/>
        <v>151.21083718768844</v>
      </c>
      <c r="Q23" s="26">
        <f t="shared" si="35"/>
        <v>2.160315652311525</v>
      </c>
      <c r="R23" s="26">
        <f t="shared" si="36"/>
        <v>10.801578261557625</v>
      </c>
      <c r="S23" s="26">
        <f t="shared" si="37"/>
        <v>10.534699214783116</v>
      </c>
      <c r="T23" s="26">
        <f t="shared" si="38"/>
        <v>9.5346992147831156</v>
      </c>
      <c r="U23" s="80">
        <f t="shared" si="39"/>
        <v>8.4277593718264932</v>
      </c>
      <c r="V23" s="80">
        <f t="shared" si="40"/>
        <v>9.5346992147831156</v>
      </c>
      <c r="W23" s="80">
        <f t="shared" si="41"/>
        <v>5.1460565440802286</v>
      </c>
      <c r="X23" s="84">
        <f>(V$4+V23)/2</f>
        <v>6.9616709427430017</v>
      </c>
      <c r="Y23" s="84">
        <f t="shared" si="42"/>
        <v>4.4067377067563198</v>
      </c>
      <c r="Z23" s="84">
        <f t="shared" si="22"/>
        <v>5.1616709427430019</v>
      </c>
      <c r="AA23" s="119">
        <f t="shared" si="43"/>
        <v>12.251346908555021</v>
      </c>
      <c r="AB23" s="119">
        <f t="shared" si="23"/>
        <v>4.2004617972188649</v>
      </c>
      <c r="AC23" s="119">
        <f t="shared" si="24"/>
        <v>15.655643180216785</v>
      </c>
      <c r="AD23" s="105"/>
      <c r="AE23" s="105"/>
      <c r="AF23" s="105"/>
      <c r="AG23" s="105"/>
      <c r="AH23" s="105"/>
      <c r="AI23" s="105"/>
      <c r="AJ23" s="105"/>
      <c r="AK23" s="105"/>
      <c r="AL23" s="105"/>
      <c r="AM23" s="105"/>
    </row>
    <row r="24" spans="1:39" s="29" customFormat="1" x14ac:dyDescent="0.3">
      <c r="A24" s="83">
        <f t="shared" si="5"/>
        <v>2.8659827869439467</v>
      </c>
      <c r="B24" s="83">
        <v>5</v>
      </c>
      <c r="C24" s="83">
        <f t="shared" si="6"/>
        <v>20</v>
      </c>
      <c r="D24" s="83">
        <v>1</v>
      </c>
      <c r="E24" s="27">
        <f t="shared" si="7"/>
        <v>10.384907696750904</v>
      </c>
      <c r="F24" s="28">
        <f t="shared" si="25"/>
        <v>2.8846965824308066</v>
      </c>
      <c r="G24" s="28">
        <f t="shared" si="26"/>
        <v>2.8846965824308066</v>
      </c>
      <c r="H24" s="27">
        <f t="shared" si="27"/>
        <v>3.4616358989169678</v>
      </c>
      <c r="I24" s="28">
        <f t="shared" si="28"/>
        <v>2.7693087191335746</v>
      </c>
      <c r="J24" s="27">
        <f t="shared" si="29"/>
        <v>8.3079261574007237</v>
      </c>
      <c r="K24" s="28">
        <f t="shared" si="12"/>
        <v>0.91880074529879185</v>
      </c>
      <c r="L24" s="32">
        <f t="shared" si="30"/>
        <v>1.8759181875547539</v>
      </c>
      <c r="M24" s="12">
        <f t="shared" si="31"/>
        <v>10.292113173127175</v>
      </c>
      <c r="N24" s="12">
        <f t="shared" si="32"/>
        <v>131.31427312883275</v>
      </c>
      <c r="O24" s="13">
        <f t="shared" si="33"/>
        <v>143.48230448951469</v>
      </c>
      <c r="P24" s="13">
        <f t="shared" si="34"/>
        <v>154.28204783818782</v>
      </c>
      <c r="Q24" s="26">
        <f t="shared" si="35"/>
        <v>2.1953581658337229</v>
      </c>
      <c r="R24" s="26">
        <f t="shared" si="36"/>
        <v>10.976790829168614</v>
      </c>
      <c r="S24" s="26">
        <f t="shared" si="37"/>
        <v>10.705582733259375</v>
      </c>
      <c r="T24" s="26">
        <f t="shared" si="38"/>
        <v>9.7055827332593747</v>
      </c>
      <c r="U24" s="80">
        <f t="shared" si="39"/>
        <v>8.5644661866075005</v>
      </c>
      <c r="V24" s="80">
        <f t="shared" si="40"/>
        <v>9.7055827332593747</v>
      </c>
      <c r="W24" s="80">
        <f t="shared" si="41"/>
        <v>5.3169400625564878</v>
      </c>
      <c r="X24" s="84">
        <f>(V$4+V24)/2</f>
        <v>7.0471127019811313</v>
      </c>
      <c r="Y24" s="84">
        <f t="shared" si="42"/>
        <v>4.4608223403540563</v>
      </c>
      <c r="Z24" s="84">
        <f t="shared" si="22"/>
        <v>5.2471127019811314</v>
      </c>
      <c r="AA24" s="119">
        <f t="shared" si="43"/>
        <v>12.153963078700361</v>
      </c>
      <c r="AB24" s="119">
        <f t="shared" si="23"/>
        <v>4.1670730555544093</v>
      </c>
      <c r="AC24" s="119">
        <f t="shared" si="24"/>
        <v>15.598673639751807</v>
      </c>
      <c r="AD24" s="105"/>
      <c r="AE24" s="105"/>
      <c r="AF24" s="105"/>
      <c r="AG24" s="105"/>
      <c r="AH24" s="105"/>
      <c r="AI24" s="105"/>
      <c r="AJ24" s="105"/>
      <c r="AK24" s="105"/>
      <c r="AL24" s="105"/>
      <c r="AM24" s="105"/>
    </row>
    <row r="25" spans="1:39" s="29" customFormat="1" x14ac:dyDescent="0.3">
      <c r="A25" s="83">
        <f t="shared" si="5"/>
        <v>3.0094104279379073</v>
      </c>
      <c r="B25" s="83">
        <v>5.25</v>
      </c>
      <c r="C25" s="83">
        <f t="shared" si="6"/>
        <v>19.047619047619047</v>
      </c>
      <c r="D25" s="83">
        <v>1</v>
      </c>
      <c r="E25" s="27">
        <f t="shared" si="7"/>
        <v>10.147462255844944</v>
      </c>
      <c r="F25" s="28">
        <f t="shared" si="25"/>
        <v>2.8187395155124846</v>
      </c>
      <c r="G25" s="28">
        <f t="shared" si="26"/>
        <v>2.8187395155124846</v>
      </c>
      <c r="H25" s="27">
        <f t="shared" si="27"/>
        <v>3.3824874186149811</v>
      </c>
      <c r="I25" s="28">
        <f t="shared" si="28"/>
        <v>2.7059899348919849</v>
      </c>
      <c r="J25" s="27">
        <f t="shared" si="29"/>
        <v>8.1179698046759547</v>
      </c>
      <c r="K25" s="28">
        <f t="shared" si="12"/>
        <v>0.91552799131804341</v>
      </c>
      <c r="L25" s="32">
        <f t="shared" si="30"/>
        <v>1.833026306937769</v>
      </c>
      <c r="M25" s="12">
        <f t="shared" si="31"/>
        <v>9.602160580569576</v>
      </c>
      <c r="N25" s="12">
        <f t="shared" si="32"/>
        <v>134.72743355992603</v>
      </c>
      <c r="O25" s="13">
        <f t="shared" si="33"/>
        <v>146.16262044743337</v>
      </c>
      <c r="P25" s="13">
        <f t="shared" si="34"/>
        <v>157.16410800799287</v>
      </c>
      <c r="Q25" s="26">
        <f t="shared" si="35"/>
        <v>2.2282424723711984</v>
      </c>
      <c r="R25" s="26">
        <f t="shared" si="36"/>
        <v>11.141212361855992</v>
      </c>
      <c r="S25" s="26">
        <f t="shared" si="37"/>
        <v>10.865941835360198</v>
      </c>
      <c r="T25" s="26">
        <f t="shared" si="38"/>
        <v>9.8659418353601982</v>
      </c>
      <c r="U25" s="80">
        <f t="shared" si="39"/>
        <v>8.6927534682881582</v>
      </c>
      <c r="V25" s="80">
        <f t="shared" si="40"/>
        <v>9.8659418353601982</v>
      </c>
      <c r="W25" s="80">
        <f t="shared" si="41"/>
        <v>5.4772991646573113</v>
      </c>
      <c r="X25" s="84">
        <f>(V$4+V25)/2</f>
        <v>7.127292253031543</v>
      </c>
      <c r="Y25" s="84">
        <f t="shared" si="42"/>
        <v>4.5115759961689665</v>
      </c>
      <c r="Z25" s="84">
        <f t="shared" si="22"/>
        <v>5.3272922530315432</v>
      </c>
      <c r="AA25" s="119">
        <f t="shared" si="43"/>
        <v>12.058984902337977</v>
      </c>
      <c r="AB25" s="119">
        <f t="shared" si="23"/>
        <v>4.1345091093730204</v>
      </c>
      <c r="AC25" s="119">
        <f t="shared" si="24"/>
        <v>15.543111406579813</v>
      </c>
      <c r="AD25" s="105"/>
      <c r="AE25" s="105"/>
      <c r="AF25" s="105"/>
      <c r="AG25" s="105"/>
      <c r="AH25" s="105"/>
      <c r="AI25" s="105"/>
      <c r="AJ25" s="105"/>
      <c r="AK25" s="105"/>
      <c r="AL25" s="105"/>
      <c r="AM25" s="105"/>
    </row>
    <row r="26" spans="1:39" s="29" customFormat="1" x14ac:dyDescent="0.3">
      <c r="A26" s="83">
        <f t="shared" si="5"/>
        <v>3.1528568777568386</v>
      </c>
      <c r="B26" s="83">
        <v>5.5</v>
      </c>
      <c r="C26" s="83">
        <f t="shared" si="6"/>
        <v>18.181818181818183</v>
      </c>
      <c r="D26" s="83">
        <v>1</v>
      </c>
      <c r="E26" s="27">
        <f t="shared" si="7"/>
        <v>9.9156061163796263</v>
      </c>
      <c r="F26" s="28">
        <f t="shared" si="25"/>
        <v>2.7543350323276741</v>
      </c>
      <c r="G26" s="28">
        <f t="shared" si="26"/>
        <v>2.7543350323276741</v>
      </c>
      <c r="H26" s="27">
        <f t="shared" si="27"/>
        <v>3.3052020387932086</v>
      </c>
      <c r="I26" s="28">
        <f t="shared" si="28"/>
        <v>2.6441616310345668</v>
      </c>
      <c r="J26" s="27">
        <f t="shared" si="29"/>
        <v>7.9324848931037009</v>
      </c>
      <c r="K26" s="28">
        <f t="shared" si="12"/>
        <v>0.91233227570227537</v>
      </c>
      <c r="L26" s="32">
        <f t="shared" si="30"/>
        <v>1.7911440715226867</v>
      </c>
      <c r="M26" s="12">
        <f t="shared" si="31"/>
        <v>8.958894674737623</v>
      </c>
      <c r="N26" s="12">
        <f t="shared" si="32"/>
        <v>137.91809350724688</v>
      </c>
      <c r="O26" s="13">
        <f t="shared" si="33"/>
        <v>148.6681322535072</v>
      </c>
      <c r="P26" s="13">
        <f t="shared" si="34"/>
        <v>159.85820672420127</v>
      </c>
      <c r="Q26" s="26">
        <f t="shared" si="35"/>
        <v>2.2589821387231366</v>
      </c>
      <c r="R26" s="26">
        <f t="shared" si="36"/>
        <v>11.294910693615684</v>
      </c>
      <c r="S26" s="26">
        <f t="shared" si="37"/>
        <v>11.015842679079013</v>
      </c>
      <c r="T26" s="26">
        <f t="shared" si="38"/>
        <v>10.015842679079013</v>
      </c>
      <c r="U26" s="80">
        <f t="shared" si="39"/>
        <v>8.8126741432632105</v>
      </c>
      <c r="V26" s="80">
        <f t="shared" si="40"/>
        <v>10.015842679079013</v>
      </c>
      <c r="W26" s="80">
        <f t="shared" si="41"/>
        <v>5.6272000083761258</v>
      </c>
      <c r="X26" s="84">
        <f>(V$4+V26)/2</f>
        <v>7.2022426748909503</v>
      </c>
      <c r="Y26" s="84">
        <f t="shared" si="42"/>
        <v>4.5590196132059715</v>
      </c>
      <c r="Z26" s="84">
        <f t="shared" si="22"/>
        <v>5.4022426748909504</v>
      </c>
      <c r="AA26" s="119">
        <f t="shared" si="43"/>
        <v>11.966242446551851</v>
      </c>
      <c r="AB26" s="119">
        <f t="shared" si="23"/>
        <v>4.1027116959606342</v>
      </c>
      <c r="AC26" s="119">
        <f t="shared" si="24"/>
        <v>15.488857069944928</v>
      </c>
      <c r="AD26" s="105"/>
      <c r="AE26" s="105"/>
      <c r="AF26" s="105"/>
      <c r="AG26" s="105"/>
      <c r="AH26" s="105"/>
      <c r="AI26" s="105"/>
      <c r="AJ26" s="105"/>
      <c r="AK26" s="105"/>
      <c r="AL26" s="105"/>
      <c r="AM26" s="105"/>
    </row>
    <row r="27" spans="1:39" s="29" customFormat="1" x14ac:dyDescent="0.3">
      <c r="A27" s="83">
        <f t="shared" si="5"/>
        <v>3.2963230329415198</v>
      </c>
      <c r="B27" s="83">
        <v>5.75</v>
      </c>
      <c r="C27" s="83">
        <f t="shared" si="6"/>
        <v>17.391304347826086</v>
      </c>
      <c r="D27" s="83">
        <v>1</v>
      </c>
      <c r="E27" s="27">
        <f t="shared" si="7"/>
        <v>9.6889622248776544</v>
      </c>
      <c r="F27" s="28">
        <f t="shared" si="25"/>
        <v>2.6913783957993487</v>
      </c>
      <c r="G27" s="28">
        <f t="shared" si="26"/>
        <v>2.6913783957993487</v>
      </c>
      <c r="H27" s="27">
        <f t="shared" si="27"/>
        <v>3.229654074959218</v>
      </c>
      <c r="I27" s="28">
        <f t="shared" si="28"/>
        <v>2.5837232599673743</v>
      </c>
      <c r="J27" s="27">
        <f t="shared" si="29"/>
        <v>7.7511697799021233</v>
      </c>
      <c r="K27" s="28">
        <f t="shared" si="12"/>
        <v>0.90920840145438375</v>
      </c>
      <c r="L27" s="32">
        <f t="shared" si="30"/>
        <v>1.7502033707883167</v>
      </c>
      <c r="M27" s="12">
        <f t="shared" si="31"/>
        <v>8.358501386221457</v>
      </c>
      <c r="N27" s="12">
        <f t="shared" si="32"/>
        <v>140.89137134845947</v>
      </c>
      <c r="O27" s="13">
        <f t="shared" si="33"/>
        <v>151.00007610546925</v>
      </c>
      <c r="P27" s="13">
        <f t="shared" si="34"/>
        <v>162.36567323168734</v>
      </c>
      <c r="Q27" s="26">
        <f t="shared" si="35"/>
        <v>2.2875923315735527</v>
      </c>
      <c r="R27" s="26">
        <f t="shared" si="36"/>
        <v>11.437961657867763</v>
      </c>
      <c r="S27" s="26">
        <f t="shared" si="37"/>
        <v>11.155359224188324</v>
      </c>
      <c r="T27" s="26">
        <f t="shared" si="38"/>
        <v>10.155359224188324</v>
      </c>
      <c r="U27" s="80">
        <f t="shared" si="39"/>
        <v>8.924287379350659</v>
      </c>
      <c r="V27" s="80">
        <f t="shared" si="40"/>
        <v>10.155359224188324</v>
      </c>
      <c r="W27" s="80">
        <f t="shared" si="41"/>
        <v>5.7667165534854368</v>
      </c>
      <c r="X27" s="84">
        <f>(V$4+V27)/2</f>
        <v>7.2720009474456049</v>
      </c>
      <c r="Y27" s="84">
        <f t="shared" si="42"/>
        <v>4.603176599733068</v>
      </c>
      <c r="Z27" s="84">
        <f t="shared" si="22"/>
        <v>5.4720009474456051</v>
      </c>
      <c r="AA27" s="119">
        <f t="shared" si="43"/>
        <v>11.875584889951062</v>
      </c>
      <c r="AB27" s="119">
        <f t="shared" si="23"/>
        <v>4.0716291051260782</v>
      </c>
      <c r="AC27" s="119">
        <f t="shared" si="24"/>
        <v>15.435822399333466</v>
      </c>
      <c r="AD27" s="105"/>
      <c r="AE27" s="105"/>
      <c r="AF27" s="105"/>
      <c r="AG27" s="105"/>
      <c r="AH27" s="105"/>
      <c r="AI27" s="105"/>
      <c r="AJ27" s="105"/>
      <c r="AK27" s="105"/>
      <c r="AL27" s="105"/>
      <c r="AM27" s="105"/>
    </row>
    <row r="28" spans="1:39" s="29" customFormat="1" x14ac:dyDescent="0.3">
      <c r="A28" s="83">
        <f t="shared" si="5"/>
        <v>3.4398097901558868</v>
      </c>
      <c r="B28" s="83">
        <v>6</v>
      </c>
      <c r="C28" s="83">
        <f t="shared" si="6"/>
        <v>16.666666666666664</v>
      </c>
      <c r="D28" s="83">
        <v>1</v>
      </c>
      <c r="E28" s="27">
        <f t="shared" si="7"/>
        <v>9.4671941060323359</v>
      </c>
      <c r="F28" s="28">
        <f t="shared" si="25"/>
        <v>2.6297761405645379</v>
      </c>
      <c r="G28" s="28">
        <f t="shared" si="26"/>
        <v>2.6297761405645379</v>
      </c>
      <c r="H28" s="27">
        <f t="shared" si="27"/>
        <v>3.1557313686774453</v>
      </c>
      <c r="I28" s="28">
        <f t="shared" si="28"/>
        <v>2.5245850949419562</v>
      </c>
      <c r="J28" s="27">
        <f t="shared" si="29"/>
        <v>7.5737552848258689</v>
      </c>
      <c r="K28" s="28">
        <f t="shared" si="12"/>
        <v>0.90615173087361844</v>
      </c>
      <c r="L28" s="32">
        <f t="shared" si="30"/>
        <v>1.7101434242091194</v>
      </c>
      <c r="M28" s="12">
        <f t="shared" si="31"/>
        <v>7.7975914241248674</v>
      </c>
      <c r="N28" s="12">
        <f t="shared" si="32"/>
        <v>143.65204763356604</v>
      </c>
      <c r="O28" s="13">
        <f t="shared" si="33"/>
        <v>153.15978248190004</v>
      </c>
      <c r="P28" s="13">
        <f t="shared" si="34"/>
        <v>164.68793815258067</v>
      </c>
      <c r="Q28" s="26">
        <f t="shared" si="35"/>
        <v>2.3140893743209454</v>
      </c>
      <c r="R28" s="26">
        <f t="shared" si="36"/>
        <v>11.570446871604727</v>
      </c>
      <c r="S28" s="26">
        <f t="shared" si="37"/>
        <v>11.284571071135947</v>
      </c>
      <c r="T28" s="26">
        <f t="shared" si="38"/>
        <v>10.284571071135947</v>
      </c>
      <c r="U28" s="80">
        <f t="shared" si="39"/>
        <v>9.0276568569087576</v>
      </c>
      <c r="V28" s="80">
        <f t="shared" si="40"/>
        <v>10.284571071135947</v>
      </c>
      <c r="W28" s="80">
        <f t="shared" si="41"/>
        <v>5.8959284004330597</v>
      </c>
      <c r="X28" s="84">
        <f>(V$4+V28)/2</f>
        <v>7.3366068709194163</v>
      </c>
      <c r="Y28" s="84">
        <f t="shared" si="42"/>
        <v>4.6440721492919907</v>
      </c>
      <c r="Z28" s="84">
        <f t="shared" si="22"/>
        <v>5.5366068709194165</v>
      </c>
      <c r="AA28" s="119">
        <f t="shared" si="43"/>
        <v>11.786877642412934</v>
      </c>
      <c r="AB28" s="119">
        <f t="shared" si="23"/>
        <v>4.0412151916844348</v>
      </c>
      <c r="AC28" s="119">
        <f t="shared" si="24"/>
        <v>15.383928659523663</v>
      </c>
      <c r="AD28" s="105"/>
      <c r="AE28" s="105"/>
      <c r="AF28" s="105"/>
      <c r="AG28" s="105"/>
      <c r="AH28" s="105"/>
      <c r="AI28" s="105"/>
      <c r="AJ28" s="105"/>
      <c r="AK28" s="105"/>
      <c r="AL28" s="105"/>
      <c r="AM28" s="105"/>
    </row>
    <row r="29" spans="1:39" s="29" customFormat="1" x14ac:dyDescent="0.3">
      <c r="A29" s="83">
        <f t="shared" si="5"/>
        <v>3.5833180461926402</v>
      </c>
      <c r="B29" s="83">
        <v>6.25</v>
      </c>
      <c r="C29" s="83">
        <f t="shared" si="6"/>
        <v>16</v>
      </c>
      <c r="D29" s="83">
        <v>1</v>
      </c>
      <c r="E29" s="27">
        <f t="shared" si="7"/>
        <v>9.25</v>
      </c>
      <c r="F29" s="28">
        <f t="shared" si="25"/>
        <v>2.5694444444444446</v>
      </c>
      <c r="G29" s="28">
        <f t="shared" si="26"/>
        <v>2.5694444444444446</v>
      </c>
      <c r="H29" s="27">
        <f t="shared" si="27"/>
        <v>3.083333333333333</v>
      </c>
      <c r="I29" s="28">
        <f t="shared" si="28"/>
        <v>2.4666666666666668</v>
      </c>
      <c r="J29" s="27">
        <f t="shared" si="29"/>
        <v>7.4</v>
      </c>
      <c r="K29" s="28">
        <f t="shared" si="12"/>
        <v>0.90315810474881131</v>
      </c>
      <c r="L29" s="32">
        <f t="shared" si="30"/>
        <v>1.6709097222222227</v>
      </c>
      <c r="M29" s="12">
        <f t="shared" si="31"/>
        <v>7.2731380174843556</v>
      </c>
      <c r="N29" s="12">
        <f t="shared" si="32"/>
        <v>146.20460069444448</v>
      </c>
      <c r="O29" s="13">
        <f t="shared" si="33"/>
        <v>155.14864843415106</v>
      </c>
      <c r="P29" s="13">
        <f t="shared" si="34"/>
        <v>166.82650369263553</v>
      </c>
      <c r="Q29" s="26">
        <f t="shared" si="35"/>
        <v>2.3384904071329715</v>
      </c>
      <c r="R29" s="26">
        <f t="shared" si="36"/>
        <v>11.692452035664857</v>
      </c>
      <c r="S29" s="26">
        <f t="shared" si="37"/>
        <v>11.403561803314227</v>
      </c>
      <c r="T29" s="26">
        <f t="shared" si="38"/>
        <v>10.403561803314227</v>
      </c>
      <c r="U29" s="80">
        <f t="shared" si="39"/>
        <v>9.1228494426513826</v>
      </c>
      <c r="V29" s="80">
        <f t="shared" si="40"/>
        <v>10.403561803314227</v>
      </c>
      <c r="W29" s="80">
        <f t="shared" si="41"/>
        <v>6.0149191326113405</v>
      </c>
      <c r="X29" s="84">
        <f>(V$4+V29)/2</f>
        <v>7.3961022370085576</v>
      </c>
      <c r="Y29" s="84">
        <f t="shared" si="42"/>
        <v>4.6817327160264171</v>
      </c>
      <c r="Z29" s="84">
        <f t="shared" si="22"/>
        <v>5.5961022370085578</v>
      </c>
      <c r="AA29" s="119">
        <f t="shared" si="43"/>
        <v>11.7</v>
      </c>
      <c r="AB29" s="119">
        <f t="shared" si="23"/>
        <v>4.0114285714285716</v>
      </c>
      <c r="AC29" s="119">
        <f t="shared" si="24"/>
        <v>15.333105238712097</v>
      </c>
      <c r="AD29" s="105"/>
      <c r="AE29" s="105"/>
      <c r="AF29" s="105"/>
      <c r="AG29" s="105"/>
      <c r="AH29" s="105"/>
      <c r="AI29" s="105"/>
      <c r="AJ29" s="105"/>
      <c r="AK29" s="105"/>
      <c r="AL29" s="105"/>
      <c r="AM29" s="105"/>
    </row>
    <row r="30" spans="1:39" s="85" customFormat="1" x14ac:dyDescent="0.3">
      <c r="A30" s="83">
        <f t="shared" si="5"/>
        <v>3.7268486979788458</v>
      </c>
      <c r="B30" s="83">
        <v>6.5</v>
      </c>
      <c r="C30" s="83">
        <f t="shared" si="6"/>
        <v>15.384615384615385</v>
      </c>
      <c r="D30" s="83">
        <v>1</v>
      </c>
      <c r="E30" s="27">
        <f t="shared" si="7"/>
        <v>9.0371080457755131</v>
      </c>
      <c r="F30" s="28">
        <f t="shared" si="25"/>
        <v>2.5103077904931981</v>
      </c>
      <c r="G30" s="28">
        <f t="shared" si="26"/>
        <v>2.5103077904931981</v>
      </c>
      <c r="H30" s="27">
        <f t="shared" si="27"/>
        <v>3.0123693485918377</v>
      </c>
      <c r="I30" s="28">
        <f t="shared" si="28"/>
        <v>2.4098954788734703</v>
      </c>
      <c r="J30" s="27">
        <f t="shared" si="29"/>
        <v>7.2296864366204101</v>
      </c>
      <c r="K30" s="28">
        <f t="shared" si="12"/>
        <v>0.90022377596995951</v>
      </c>
      <c r="L30" s="32">
        <f t="shared" si="30"/>
        <v>1.6324531561577269</v>
      </c>
      <c r="M30" s="12">
        <f t="shared" si="31"/>
        <v>6.7824258534905955</v>
      </c>
      <c r="N30" s="12">
        <f t="shared" si="32"/>
        <v>148.55323721035313</v>
      </c>
      <c r="O30" s="13">
        <f t="shared" si="33"/>
        <v>156.96811622000146</v>
      </c>
      <c r="P30" s="13">
        <f t="shared" si="34"/>
        <v>168.78292066666822</v>
      </c>
      <c r="Q30" s="26">
        <f t="shared" si="35"/>
        <v>2.3608131248066844</v>
      </c>
      <c r="R30" s="26">
        <f t="shared" si="36"/>
        <v>11.804065624033422</v>
      </c>
      <c r="S30" s="26">
        <f t="shared" si="37"/>
        <v>11.512417708745208</v>
      </c>
      <c r="T30" s="26">
        <f t="shared" si="38"/>
        <v>10.512417708745208</v>
      </c>
      <c r="U30" s="80">
        <f t="shared" si="39"/>
        <v>9.2099341669961667</v>
      </c>
      <c r="V30" s="80">
        <f t="shared" si="40"/>
        <v>10.512417708745208</v>
      </c>
      <c r="W30" s="80">
        <f t="shared" si="41"/>
        <v>6.1237750380423206</v>
      </c>
      <c r="X30" s="84">
        <f>(V$4+V30)/2</f>
        <v>7.4505301897240468</v>
      </c>
      <c r="Y30" s="84">
        <f t="shared" si="42"/>
        <v>4.7161856100953221</v>
      </c>
      <c r="Z30" s="84">
        <f t="shared" si="22"/>
        <v>5.650530189724047</v>
      </c>
      <c r="AA30" s="119">
        <f t="shared" si="43"/>
        <v>11.614843218310206</v>
      </c>
      <c r="AB30" s="119">
        <f t="shared" si="23"/>
        <v>3.982231960563499</v>
      </c>
      <c r="AC30" s="119">
        <f t="shared" si="24"/>
        <v>15.283288521423566</v>
      </c>
      <c r="AD30" s="109"/>
      <c r="AE30" s="105"/>
      <c r="AF30" s="109"/>
      <c r="AG30" s="109"/>
      <c r="AH30" s="109"/>
      <c r="AI30" s="109"/>
      <c r="AJ30" s="109"/>
      <c r="AK30" s="109"/>
      <c r="AL30" s="109"/>
      <c r="AM30" s="109"/>
    </row>
    <row r="31" spans="1:39" s="29" customFormat="1" x14ac:dyDescent="0.3">
      <c r="A31" s="83">
        <f t="shared" si="5"/>
        <v>3.8704026425815461</v>
      </c>
      <c r="B31" s="83">
        <v>6.75</v>
      </c>
      <c r="C31" s="83">
        <f t="shared" si="6"/>
        <v>14.814814814814813</v>
      </c>
      <c r="D31" s="83">
        <v>1</v>
      </c>
      <c r="E31" s="27">
        <f t="shared" si="7"/>
        <v>8.8282722911807419</v>
      </c>
      <c r="F31" s="28">
        <f t="shared" si="25"/>
        <v>2.4522978586613173</v>
      </c>
      <c r="G31" s="28">
        <f t="shared" si="26"/>
        <v>2.4522978586613173</v>
      </c>
      <c r="H31" s="27">
        <f t="shared" si="27"/>
        <v>2.9427574303935806</v>
      </c>
      <c r="I31" s="28">
        <f t="shared" si="28"/>
        <v>2.3542059443148644</v>
      </c>
      <c r="J31" s="27">
        <f t="shared" si="29"/>
        <v>7.0626178329445937</v>
      </c>
      <c r="K31" s="28">
        <f t="shared" si="12"/>
        <v>0.89734535453316577</v>
      </c>
      <c r="L31" s="32">
        <f t="shared" si="30"/>
        <v>1.594729297487455</v>
      </c>
      <c r="M31" s="12">
        <f t="shared" si="31"/>
        <v>6.3230088516391678</v>
      </c>
      <c r="N31" s="12">
        <f t="shared" si="32"/>
        <v>150.7019186125645</v>
      </c>
      <c r="O31" s="13">
        <f t="shared" si="33"/>
        <v>158.61965676169112</v>
      </c>
      <c r="P31" s="13">
        <f t="shared" si="34"/>
        <v>170.55877071149581</v>
      </c>
      <c r="Q31" s="26">
        <f t="shared" si="35"/>
        <v>2.3810755738181673</v>
      </c>
      <c r="R31" s="26">
        <f t="shared" si="36"/>
        <v>11.905377869090836</v>
      </c>
      <c r="S31" s="26">
        <f t="shared" si="37"/>
        <v>11.611226790400684</v>
      </c>
      <c r="T31" s="26">
        <f t="shared" si="38"/>
        <v>10.611226790400684</v>
      </c>
      <c r="U31" s="80">
        <f t="shared" si="39"/>
        <v>9.2889814323205471</v>
      </c>
      <c r="V31" s="80">
        <f t="shared" si="40"/>
        <v>10.611226790400684</v>
      </c>
      <c r="W31" s="80">
        <f t="shared" si="41"/>
        <v>6.2225841196977969</v>
      </c>
      <c r="X31" s="84">
        <f>(V$4+V31)/2</f>
        <v>7.4999347305517858</v>
      </c>
      <c r="Y31" s="84">
        <f t="shared" si="42"/>
        <v>4.7474586844392803</v>
      </c>
      <c r="Z31" s="84">
        <f t="shared" si="22"/>
        <v>5.699934730551786</v>
      </c>
      <c r="AA31" s="119">
        <f t="shared" si="43"/>
        <v>11.531308916472296</v>
      </c>
      <c r="AB31" s="119">
        <f t="shared" si="23"/>
        <v>3.9535916285047872</v>
      </c>
      <c r="AC31" s="119">
        <f t="shared" si="24"/>
        <v>15.234420954848391</v>
      </c>
      <c r="AD31" s="105"/>
      <c r="AE31" s="105"/>
      <c r="AF31" s="105"/>
      <c r="AG31" s="105"/>
      <c r="AH31" s="105"/>
      <c r="AI31" s="105"/>
      <c r="AJ31" s="105"/>
      <c r="AK31" s="105"/>
      <c r="AL31" s="105"/>
      <c r="AM31" s="105"/>
    </row>
    <row r="32" spans="1:39" s="29" customFormat="1" x14ac:dyDescent="0.3">
      <c r="A32" s="83">
        <f t="shared" si="5"/>
        <v>4.0139807772133613</v>
      </c>
      <c r="B32" s="83">
        <v>7</v>
      </c>
      <c r="C32" s="83">
        <f t="shared" si="6"/>
        <v>14.285714285714285</v>
      </c>
      <c r="D32" s="83">
        <v>1</v>
      </c>
      <c r="E32" s="27">
        <f t="shared" si="7"/>
        <v>8.6232693624222598</v>
      </c>
      <c r="F32" s="28">
        <f t="shared" si="25"/>
        <v>2.3953526006728501</v>
      </c>
      <c r="G32" s="28">
        <f t="shared" si="26"/>
        <v>2.3953526006728501</v>
      </c>
      <c r="H32" s="27">
        <f t="shared" si="27"/>
        <v>2.8744231208074198</v>
      </c>
      <c r="I32" s="28">
        <f t="shared" si="28"/>
        <v>2.299538496645936</v>
      </c>
      <c r="J32" s="27">
        <f t="shared" si="29"/>
        <v>6.898615489937808</v>
      </c>
      <c r="K32" s="28">
        <f t="shared" si="12"/>
        <v>0.89451976163654268</v>
      </c>
      <c r="L32" s="32">
        <f t="shared" si="30"/>
        <v>1.5576977962175547</v>
      </c>
      <c r="M32" s="12">
        <f t="shared" si="31"/>
        <v>5.8926749788441963</v>
      </c>
      <c r="N32" s="12">
        <f t="shared" si="32"/>
        <v>152.65438402932037</v>
      </c>
      <c r="O32" s="13">
        <f t="shared" si="33"/>
        <v>160.10475680438213</v>
      </c>
      <c r="P32" s="13">
        <f t="shared" si="34"/>
        <v>172.15565247783024</v>
      </c>
      <c r="Q32" s="26">
        <f t="shared" si="35"/>
        <v>2.3992959947720429</v>
      </c>
      <c r="R32" s="26">
        <f t="shared" si="36"/>
        <v>11.996479973860215</v>
      </c>
      <c r="S32" s="26">
        <f t="shared" si="37"/>
        <v>11.700077997913082</v>
      </c>
      <c r="T32" s="26">
        <f t="shared" si="38"/>
        <v>10.700077997913082</v>
      </c>
      <c r="U32" s="80">
        <f t="shared" si="39"/>
        <v>9.3600623983304665</v>
      </c>
      <c r="V32" s="80">
        <f t="shared" si="40"/>
        <v>10.700077997913082</v>
      </c>
      <c r="W32" s="80">
        <f t="shared" si="41"/>
        <v>6.3114353272101953</v>
      </c>
      <c r="X32" s="84">
        <f>(V$4+V32)/2</f>
        <v>7.544360334307985</v>
      </c>
      <c r="Y32" s="84">
        <f t="shared" si="42"/>
        <v>4.7755800916169546</v>
      </c>
      <c r="Z32" s="84">
        <f t="shared" si="22"/>
        <v>5.7443603343079852</v>
      </c>
      <c r="AA32" s="119">
        <f t="shared" si="43"/>
        <v>11.449307744968904</v>
      </c>
      <c r="AB32" s="119">
        <f t="shared" si="23"/>
        <v>3.9254769411321955</v>
      </c>
      <c r="AC32" s="119">
        <f t="shared" si="24"/>
        <v>15.186450269518906</v>
      </c>
      <c r="AD32" s="105"/>
      <c r="AE32" s="105"/>
      <c r="AF32" s="105"/>
      <c r="AG32" s="105"/>
      <c r="AH32" s="105"/>
      <c r="AI32" s="105"/>
      <c r="AJ32" s="105"/>
      <c r="AK32" s="105"/>
      <c r="AL32" s="105"/>
      <c r="AM32" s="105"/>
    </row>
    <row r="33" spans="1:30" s="34" customFormat="1" x14ac:dyDescent="0.3">
      <c r="L33" s="35"/>
      <c r="M33" s="35"/>
      <c r="N33" s="35"/>
      <c r="O33" s="35"/>
      <c r="P33" s="35"/>
      <c r="T33" s="36"/>
      <c r="U33" s="36"/>
      <c r="V33" s="36"/>
    </row>
    <row r="34" spans="1:30" x14ac:dyDescent="0.3">
      <c r="B34" s="70"/>
      <c r="E34" s="30"/>
      <c r="F34" s="31"/>
      <c r="AB34" s="111"/>
      <c r="AC34" s="111"/>
      <c r="AD34" s="111"/>
    </row>
    <row r="35" spans="1:30" x14ac:dyDescent="0.3">
      <c r="A35" s="5"/>
      <c r="AB35" s="111"/>
      <c r="AC35" s="111"/>
      <c r="AD35" s="111"/>
    </row>
    <row r="36" spans="1:30" x14ac:dyDescent="0.3">
      <c r="B36" s="16"/>
      <c r="L36"/>
      <c r="Q36" s="29"/>
      <c r="Y36" t="s">
        <v>177</v>
      </c>
      <c r="AB36" s="111" t="s">
        <v>178</v>
      </c>
      <c r="AC36" s="111"/>
      <c r="AD36" s="111"/>
    </row>
    <row r="37" spans="1:30" x14ac:dyDescent="0.3">
      <c r="F37" s="37"/>
      <c r="Y37" s="40">
        <v>5.4</v>
      </c>
      <c r="Z37" s="40" t="s">
        <v>55</v>
      </c>
      <c r="AA37" s="37" t="s">
        <v>33</v>
      </c>
      <c r="AB37" s="112">
        <v>14</v>
      </c>
      <c r="AC37" s="112" t="s">
        <v>179</v>
      </c>
      <c r="AD37" s="111"/>
    </row>
    <row r="38" spans="1:30" x14ac:dyDescent="0.3">
      <c r="F38" s="37"/>
      <c r="Y38" s="40">
        <v>3.6</v>
      </c>
      <c r="Z38" s="40" t="s">
        <v>174</v>
      </c>
      <c r="AB38" s="112">
        <v>4.8</v>
      </c>
      <c r="AC38" s="112" t="s">
        <v>180</v>
      </c>
      <c r="AD38" s="111"/>
    </row>
    <row r="39" spans="1:30" x14ac:dyDescent="0.3">
      <c r="F39" s="37"/>
      <c r="Y39" s="41">
        <v>0.63300000000000001</v>
      </c>
      <c r="Z39" s="40" t="s">
        <v>176</v>
      </c>
      <c r="AB39" s="113">
        <f>AB38/AB37</f>
        <v>0.34285714285714286</v>
      </c>
      <c r="AC39" s="40" t="s">
        <v>176</v>
      </c>
      <c r="AD39" s="111"/>
    </row>
    <row r="40" spans="1:30" x14ac:dyDescent="0.3">
      <c r="F40" s="37"/>
      <c r="Y40" s="40">
        <v>3.5</v>
      </c>
      <c r="Z40" s="40" t="s">
        <v>53</v>
      </c>
      <c r="AA40" s="47" t="s">
        <v>54</v>
      </c>
      <c r="AB40" s="112">
        <v>1.17</v>
      </c>
      <c r="AC40" s="112" t="s">
        <v>186</v>
      </c>
      <c r="AD40" s="111"/>
    </row>
    <row r="41" spans="1:30" x14ac:dyDescent="0.3">
      <c r="A41" s="6"/>
      <c r="D41" s="7"/>
      <c r="E41" s="7"/>
      <c r="F41" s="75"/>
      <c r="G41" s="75"/>
      <c r="H41" s="75"/>
      <c r="I41" s="75"/>
      <c r="J41" s="75"/>
      <c r="K41" s="75"/>
      <c r="L41" s="18"/>
      <c r="M41" s="18"/>
      <c r="N41" s="18"/>
      <c r="O41" s="18"/>
      <c r="P41" s="18"/>
      <c r="AB41" s="127">
        <f>AA7*AB40</f>
        <v>16.977210477424194</v>
      </c>
      <c r="AC41" s="112" t="s">
        <v>197</v>
      </c>
      <c r="AD41" s="111"/>
    </row>
    <row r="42" spans="1:30" ht="15" thickBot="1" x14ac:dyDescent="0.35">
      <c r="A42" s="9"/>
      <c r="D42" s="7"/>
      <c r="E42" s="7"/>
      <c r="F42" s="7"/>
      <c r="G42" s="7"/>
      <c r="H42" s="7"/>
      <c r="I42" s="7"/>
      <c r="J42" s="7"/>
      <c r="K42" s="7"/>
      <c r="L42" s="18"/>
      <c r="M42" s="18"/>
      <c r="N42" s="18"/>
      <c r="O42" s="18"/>
      <c r="P42" s="18"/>
      <c r="AB42" s="111"/>
      <c r="AC42" s="111"/>
      <c r="AD42" s="111"/>
    </row>
    <row r="43" spans="1:30" x14ac:dyDescent="0.3">
      <c r="A43" s="15" t="s">
        <v>13</v>
      </c>
      <c r="B43" s="17"/>
      <c r="C43" s="2"/>
      <c r="D43" s="71"/>
      <c r="E43" s="7"/>
      <c r="F43" s="7"/>
      <c r="G43" s="7"/>
      <c r="H43" s="7"/>
      <c r="I43" s="7"/>
      <c r="J43" s="7"/>
      <c r="K43" s="7"/>
      <c r="L43" s="18"/>
      <c r="M43" s="18"/>
      <c r="N43" s="18"/>
      <c r="O43" s="18"/>
      <c r="P43" s="18"/>
      <c r="X43" s="43" t="s">
        <v>47</v>
      </c>
      <c r="Y43" s="43" t="s">
        <v>45</v>
      </c>
      <c r="Z43" s="43"/>
      <c r="AA43" s="43"/>
      <c r="AB43" s="110" t="s">
        <v>56</v>
      </c>
    </row>
    <row r="44" spans="1:30" x14ac:dyDescent="0.3">
      <c r="A44" s="3"/>
      <c r="B44" s="7"/>
      <c r="C44" s="4"/>
      <c r="D44" s="7"/>
      <c r="E44" s="7"/>
      <c r="F44" s="7"/>
      <c r="G44" s="7"/>
      <c r="H44" s="7"/>
      <c r="I44" s="7"/>
      <c r="J44" s="7"/>
      <c r="K44" s="7"/>
      <c r="L44" s="18"/>
      <c r="M44" s="18"/>
      <c r="N44" s="18"/>
      <c r="O44" s="18"/>
      <c r="P44" s="18"/>
      <c r="X44" s="43"/>
      <c r="Y44" s="44" t="s">
        <v>41</v>
      </c>
      <c r="Z44" s="44" t="s">
        <v>34</v>
      </c>
      <c r="AA44" s="44" t="s">
        <v>35</v>
      </c>
    </row>
    <row r="45" spans="1:30" x14ac:dyDescent="0.3">
      <c r="A45" s="3" t="s">
        <v>17</v>
      </c>
      <c r="B45" s="7">
        <v>7.0000000000000001E-3</v>
      </c>
      <c r="C45" s="4" t="s">
        <v>18</v>
      </c>
      <c r="D45" s="7"/>
      <c r="E45" s="7"/>
      <c r="F45" s="7"/>
      <c r="G45" s="7"/>
      <c r="H45" s="7"/>
      <c r="I45" s="7"/>
      <c r="J45" s="7"/>
      <c r="K45" s="7"/>
      <c r="L45" s="18"/>
      <c r="M45" s="18"/>
      <c r="N45" s="18"/>
      <c r="O45" s="18"/>
      <c r="P45" s="18"/>
      <c r="X45" s="43" t="s">
        <v>46</v>
      </c>
      <c r="Y45" s="45">
        <f>SUM(CycleAverage!F:F)</f>
        <v>5.3652278800523376</v>
      </c>
      <c r="Z45" s="45">
        <f>SUM(CycleAverage!G:G)</f>
        <v>5.4130735124467133</v>
      </c>
      <c r="AA45" s="45">
        <f>SUM(CycleAverage!H:H)</f>
        <v>5.4927692685129825</v>
      </c>
    </row>
    <row r="46" spans="1:30" x14ac:dyDescent="0.3">
      <c r="A46" s="3" t="s">
        <v>26</v>
      </c>
      <c r="B46" s="7">
        <v>76.900000000000006</v>
      </c>
      <c r="C46" s="4" t="s">
        <v>19</v>
      </c>
      <c r="D46" s="7"/>
      <c r="E46" s="7"/>
      <c r="F46" s="7"/>
      <c r="G46" s="7"/>
      <c r="H46" s="7"/>
      <c r="I46" s="7"/>
      <c r="J46" s="7"/>
      <c r="K46" s="7"/>
      <c r="L46" s="18"/>
      <c r="M46" s="18"/>
      <c r="N46" s="18"/>
      <c r="O46" s="18"/>
      <c r="P46" s="18"/>
      <c r="X46" s="43" t="s">
        <v>48</v>
      </c>
      <c r="Y46" s="45">
        <f>SUM(WalkAverage!F:F)</f>
        <v>3.5556002732452079</v>
      </c>
      <c r="Z46" s="45">
        <f>SUM(WalkAverage!G:G)</f>
        <v>3.6073718077072003</v>
      </c>
      <c r="AA46" s="45">
        <f>SUM(WalkAverage!H:H)</f>
        <v>3.5896129942739092</v>
      </c>
    </row>
    <row r="47" spans="1:30" x14ac:dyDescent="0.3">
      <c r="A47" s="3" t="s">
        <v>27</v>
      </c>
      <c r="B47" s="7">
        <v>16</v>
      </c>
      <c r="C47" s="4" t="s">
        <v>19</v>
      </c>
      <c r="D47" s="7"/>
      <c r="E47" s="7"/>
      <c r="F47" s="7"/>
      <c r="G47" s="7"/>
      <c r="H47" s="7"/>
      <c r="I47" s="7"/>
      <c r="J47" s="7"/>
      <c r="K47" s="7"/>
      <c r="L47" s="18"/>
      <c r="M47" s="18"/>
      <c r="N47" s="18"/>
      <c r="O47" s="18"/>
      <c r="P47" s="18"/>
      <c r="X47" s="43" t="s">
        <v>49</v>
      </c>
      <c r="Y47" s="45">
        <f>SUM(EbikeAverage!F:F)</f>
        <v>3.5655878800523388</v>
      </c>
      <c r="Z47" s="45">
        <f>SUM(EbikeAverage!G:G)</f>
        <v>3.6132535124467124</v>
      </c>
      <c r="AA47" s="45">
        <f>SUM(EbikeAverage!H:H)</f>
        <v>3.6929492685129821</v>
      </c>
    </row>
    <row r="48" spans="1:30" x14ac:dyDescent="0.3">
      <c r="A48" s="3" t="s">
        <v>20</v>
      </c>
      <c r="B48" s="7">
        <v>0.5</v>
      </c>
      <c r="C48" s="4" t="s">
        <v>18</v>
      </c>
      <c r="D48" s="7" t="s">
        <v>148</v>
      </c>
      <c r="E48" s="7"/>
      <c r="F48" s="7"/>
      <c r="G48" s="7"/>
      <c r="H48" s="7"/>
      <c r="I48" s="7"/>
      <c r="J48" s="7"/>
      <c r="K48" s="7"/>
      <c r="L48" s="18"/>
      <c r="M48" s="18"/>
      <c r="N48" s="18"/>
      <c r="O48" s="33"/>
      <c r="P48" s="18"/>
      <c r="X48" s="34"/>
      <c r="Y48" s="34"/>
      <c r="Z48" s="34"/>
      <c r="AA48" s="34"/>
    </row>
    <row r="49" spans="1:16" x14ac:dyDescent="0.3">
      <c r="A49" s="3" t="s">
        <v>14</v>
      </c>
      <c r="B49" s="7">
        <v>0.7</v>
      </c>
      <c r="C49" s="4" t="s">
        <v>21</v>
      </c>
      <c r="D49" s="7"/>
      <c r="E49" s="7"/>
      <c r="F49" s="7"/>
      <c r="G49" s="19"/>
      <c r="H49" s="19"/>
      <c r="I49" s="19"/>
      <c r="J49" s="19"/>
      <c r="K49" s="19"/>
      <c r="L49" s="18"/>
      <c r="M49" s="18"/>
      <c r="N49" s="18"/>
      <c r="O49" s="18"/>
      <c r="P49" s="18"/>
    </row>
    <row r="50" spans="1:16" x14ac:dyDescent="0.3">
      <c r="A50" s="3" t="s">
        <v>15</v>
      </c>
      <c r="B50" s="7">
        <v>1.2250000000000001</v>
      </c>
      <c r="C50" s="4" t="s">
        <v>22</v>
      </c>
      <c r="D50" s="7"/>
      <c r="E50" s="7"/>
      <c r="F50" s="7"/>
      <c r="G50" s="7"/>
      <c r="H50" s="7"/>
      <c r="I50" s="7"/>
      <c r="J50" s="7"/>
      <c r="K50" s="7"/>
      <c r="L50" s="18"/>
      <c r="M50" s="18"/>
      <c r="N50" s="18"/>
      <c r="O50" s="18"/>
      <c r="P50" s="18"/>
    </row>
    <row r="51" spans="1:16" x14ac:dyDescent="0.3">
      <c r="A51" s="3" t="s">
        <v>0</v>
      </c>
      <c r="B51" s="7">
        <v>9.8000000000000007</v>
      </c>
      <c r="C51" s="4" t="s">
        <v>23</v>
      </c>
      <c r="D51" s="7"/>
      <c r="E51" s="7"/>
      <c r="F51" s="7"/>
      <c r="G51" s="7"/>
      <c r="H51" s="7"/>
      <c r="I51" s="7"/>
      <c r="J51" s="7"/>
      <c r="K51" s="7"/>
      <c r="L51" s="18"/>
      <c r="M51" s="18"/>
      <c r="N51" s="18"/>
      <c r="O51" s="18"/>
      <c r="P51" s="18"/>
    </row>
    <row r="52" spans="1:16" x14ac:dyDescent="0.3">
      <c r="A52" s="3" t="s">
        <v>78</v>
      </c>
      <c r="B52" s="22">
        <v>20</v>
      </c>
      <c r="C52" s="4" t="s">
        <v>29</v>
      </c>
      <c r="D52" s="7"/>
      <c r="E52" s="7"/>
      <c r="F52" s="7"/>
      <c r="G52" s="7"/>
      <c r="H52" s="7"/>
      <c r="I52" s="7"/>
      <c r="J52" s="7"/>
      <c r="K52" s="7"/>
      <c r="L52" s="18"/>
      <c r="M52" s="18"/>
      <c r="N52" s="18"/>
      <c r="O52" s="18"/>
      <c r="P52" s="18"/>
    </row>
    <row r="53" spans="1:16" x14ac:dyDescent="0.3">
      <c r="A53" s="3" t="s">
        <v>28</v>
      </c>
      <c r="B53" s="22">
        <v>93</v>
      </c>
      <c r="C53" s="4" t="s">
        <v>29</v>
      </c>
      <c r="D53" s="7"/>
      <c r="E53" s="7"/>
      <c r="F53" s="7"/>
      <c r="G53" s="7"/>
      <c r="H53" s="7"/>
      <c r="I53" s="7"/>
      <c r="J53" s="7"/>
      <c r="K53" s="7"/>
      <c r="L53" s="18"/>
      <c r="M53" s="18"/>
      <c r="N53" s="18"/>
      <c r="O53" s="18"/>
      <c r="P53" s="18"/>
    </row>
    <row r="54" spans="1:16" x14ac:dyDescent="0.3">
      <c r="A54" s="81" t="s">
        <v>24</v>
      </c>
      <c r="B54" s="22">
        <v>20</v>
      </c>
      <c r="C54" s="82" t="s">
        <v>25</v>
      </c>
      <c r="D54" s="7"/>
      <c r="E54" s="7"/>
      <c r="F54" s="7"/>
      <c r="G54" s="7"/>
      <c r="H54" s="7"/>
      <c r="I54" s="7"/>
      <c r="J54" s="7"/>
      <c r="K54" s="7"/>
      <c r="L54" s="18"/>
      <c r="M54" s="18"/>
      <c r="N54" s="18"/>
      <c r="O54" s="18"/>
      <c r="P54" s="18"/>
    </row>
    <row r="55" spans="1:16" ht="15" thickBot="1" x14ac:dyDescent="0.35">
      <c r="A55" s="23"/>
      <c r="B55" s="24"/>
      <c r="C55" s="25"/>
    </row>
  </sheetData>
  <mergeCells count="6">
    <mergeCell ref="E1:H1"/>
    <mergeCell ref="Q1:W1"/>
    <mergeCell ref="A1:D1"/>
    <mergeCell ref="L1:P1"/>
    <mergeCell ref="Q2:T2"/>
    <mergeCell ref="U2:W2"/>
  </mergeCells>
  <hyperlinks>
    <hyperlink ref="AA40"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29A6-7E79-4624-A3A9-A8873373DBB8}">
  <dimension ref="A1:G33"/>
  <sheetViews>
    <sheetView tabSelected="1" workbookViewId="0">
      <selection activeCell="E2" sqref="E2:G30"/>
    </sheetView>
  </sheetViews>
  <sheetFormatPr defaultRowHeight="13.8" x14ac:dyDescent="0.3"/>
  <cols>
    <col min="1" max="16384" width="8.88671875" style="128"/>
  </cols>
  <sheetData>
    <row r="1" spans="1:7" x14ac:dyDescent="0.3">
      <c r="A1" s="128" t="s">
        <v>187</v>
      </c>
      <c r="B1" s="128" t="s">
        <v>188</v>
      </c>
      <c r="C1" s="128" t="s">
        <v>189</v>
      </c>
      <c r="D1" s="128" t="s">
        <v>190</v>
      </c>
      <c r="E1" s="128" t="s">
        <v>191</v>
      </c>
      <c r="F1" s="128" t="s">
        <v>192</v>
      </c>
      <c r="G1" s="128" t="s">
        <v>193</v>
      </c>
    </row>
    <row r="2" spans="1:7" x14ac:dyDescent="0.3">
      <c r="A2" s="129">
        <f>Hilliness_detailedCalc!B4</f>
        <v>0</v>
      </c>
      <c r="B2" s="130">
        <f>Hilliness_detailedCalc!X4</f>
        <v>4.3886426707028869</v>
      </c>
      <c r="C2" s="130">
        <f>Hilliness_detailedCalc!Y4</f>
        <v>2.7780108105549273</v>
      </c>
      <c r="D2" s="130">
        <f>Hilliness_detailedCalc!Z4</f>
        <v>2.5886426707028871</v>
      </c>
      <c r="E2" s="131">
        <f>Hilliness_detailedCalc!AA4</f>
        <v>16</v>
      </c>
      <c r="F2" s="131">
        <f>Hilliness_detailedCalc!AB4</f>
        <v>5.4857142857142858</v>
      </c>
      <c r="G2" s="131">
        <f>Hilliness_detailedCalc!AC4</f>
        <v>17.848605238712093</v>
      </c>
    </row>
    <row r="3" spans="1:7" x14ac:dyDescent="0.3">
      <c r="A3" s="129">
        <f>Hilliness_detailedCalc!B5</f>
        <v>0.25</v>
      </c>
      <c r="B3" s="130">
        <f>Hilliness_detailedCalc!X5</f>
        <v>4.7524696038921448</v>
      </c>
      <c r="C3" s="130">
        <f>Hilliness_detailedCalc!Y5</f>
        <v>3.0083132592637276</v>
      </c>
      <c r="D3" s="130">
        <f>Hilliness_detailedCalc!Z5</f>
        <v>2.952469603892145</v>
      </c>
      <c r="E3" s="131">
        <f>Hilliness_detailedCalc!AA5</f>
        <v>15.14</v>
      </c>
      <c r="F3" s="131">
        <f>Hilliness_detailedCalc!AB5</f>
        <v>5.1908571428571433</v>
      </c>
      <c r="G3" s="131">
        <f>Hilliness_detailedCalc!AC5</f>
        <v>17.345505238712096</v>
      </c>
    </row>
    <row r="4" spans="1:7" x14ac:dyDescent="0.3">
      <c r="A4" s="129">
        <f>Hilliness_detailedCalc!B6</f>
        <v>0.5</v>
      </c>
      <c r="B4" s="130">
        <f>Hilliness_detailedCalc!X6</f>
        <v>4.829036362359064</v>
      </c>
      <c r="C4" s="130">
        <f>Hilliness_detailedCalc!Y6</f>
        <v>3.0567800173732875</v>
      </c>
      <c r="D4" s="130">
        <f>Hilliness_detailedCalc!Z6</f>
        <v>3.0290363623590641</v>
      </c>
      <c r="E4" s="131">
        <f>Hilliness_detailedCalc!AA6</f>
        <v>14.783776336359137</v>
      </c>
      <c r="F4" s="131">
        <f>Hilliness_detailedCalc!AB6</f>
        <v>5.0687233153231332</v>
      </c>
      <c r="G4" s="131">
        <f>Hilliness_detailedCalc!AC6</f>
        <v>17.13711439548219</v>
      </c>
    </row>
    <row r="5" spans="1:7" x14ac:dyDescent="0.3">
      <c r="A5" s="129">
        <f>Hilliness_detailedCalc!B7</f>
        <v>0.75</v>
      </c>
      <c r="B5" s="130">
        <f>Hilliness_detailedCalc!X7</f>
        <v>4.9516741957006598</v>
      </c>
      <c r="C5" s="130">
        <f>Hilliness_detailedCalc!Y7</f>
        <v>3.1344097658785177</v>
      </c>
      <c r="D5" s="130">
        <f>Hilliness_detailedCalc!Z7</f>
        <v>3.15167419570066</v>
      </c>
      <c r="E5" s="131">
        <f>Hilliness_detailedCalc!AA7</f>
        <v>14.510436305490765</v>
      </c>
      <c r="F5" s="131">
        <f>Hilliness_detailedCalc!AB7</f>
        <v>4.9750067333111199</v>
      </c>
      <c r="G5" s="131">
        <f>Hilliness_detailedCalc!AC7</f>
        <v>16.977210477424194</v>
      </c>
    </row>
    <row r="6" spans="1:7" x14ac:dyDescent="0.3">
      <c r="A6" s="129">
        <f>Hilliness_detailedCalc!B8</f>
        <v>1</v>
      </c>
      <c r="B6" s="130">
        <f>Hilliness_detailedCalc!X8</f>
        <v>5.0913488999406056</v>
      </c>
      <c r="C6" s="130">
        <f>Hilliness_detailedCalc!Y8</f>
        <v>3.2228238536624034</v>
      </c>
      <c r="D6" s="130">
        <f>Hilliness_detailedCalc!Z8</f>
        <v>3.2913488999406058</v>
      </c>
      <c r="E6" s="131">
        <f>Hilliness_detailedCalc!AA8</f>
        <v>14.28</v>
      </c>
      <c r="F6" s="131">
        <f>Hilliness_detailedCalc!AB8</f>
        <v>4.8959999999999999</v>
      </c>
      <c r="G6" s="131">
        <f>Hilliness_detailedCalc!AC8</f>
        <v>16.842405238712097</v>
      </c>
    </row>
    <row r="7" spans="1:7" x14ac:dyDescent="0.3">
      <c r="A7" s="129">
        <f>Hilliness_detailedCalc!B9</f>
        <v>1.25</v>
      </c>
      <c r="B7" s="130">
        <f>Hilliness_detailedCalc!X9</f>
        <v>5.2376677054041538</v>
      </c>
      <c r="C7" s="130">
        <f>Hilliness_detailedCalc!Y9</f>
        <v>3.3154436575208295</v>
      </c>
      <c r="D7" s="130">
        <f>Hilliness_detailedCalc!Z9</f>
        <v>3.437667705404154</v>
      </c>
      <c r="E7" s="131">
        <f>Hilliness_detailedCalc!AA9</f>
        <v>14.076981539350182</v>
      </c>
      <c r="F7" s="131">
        <f>Hilliness_detailedCalc!AB9</f>
        <v>4.8263936706343484</v>
      </c>
      <c r="G7" s="131">
        <f>Hilliness_detailedCalc!AC9</f>
        <v>16.723639439231953</v>
      </c>
    </row>
    <row r="8" spans="1:7" x14ac:dyDescent="0.3">
      <c r="A8" s="129">
        <f>Hilliness_detailedCalc!B10</f>
        <v>1.5</v>
      </c>
      <c r="B8" s="130">
        <f>Hilliness_detailedCalc!X10</f>
        <v>5.3857194016718832</v>
      </c>
      <c r="C8" s="130">
        <f>Hilliness_detailedCalc!Y10</f>
        <v>3.4091603812583022</v>
      </c>
      <c r="D8" s="130">
        <f>Hilliness_detailedCalc!Z10</f>
        <v>3.5857194016718834</v>
      </c>
      <c r="E8" s="131">
        <f>Hilliness_detailedCalc!AA10</f>
        <v>13.893438821206468</v>
      </c>
      <c r="F8" s="131">
        <f>Hilliness_detailedCalc!AB10</f>
        <v>4.7634647386993603</v>
      </c>
      <c r="G8" s="131">
        <f>Hilliness_detailedCalc!AC10</f>
        <v>16.616266949117879</v>
      </c>
    </row>
    <row r="9" spans="1:7" x14ac:dyDescent="0.3">
      <c r="A9" s="129">
        <f>Hilliness_detailedCalc!B11</f>
        <v>1.75</v>
      </c>
      <c r="B9" s="130">
        <f>Hilliness_detailedCalc!X11</f>
        <v>5.5328310729572028</v>
      </c>
      <c r="C9" s="130">
        <f>Hilliness_detailedCalc!Y11</f>
        <v>3.5022820691819092</v>
      </c>
      <c r="D9" s="130">
        <f>Hilliness_detailedCalc!Z11</f>
        <v>3.732831072957203</v>
      </c>
      <c r="E9" s="131">
        <f>Hilliness_detailedCalc!AA11</f>
        <v>13.724653872484453</v>
      </c>
      <c r="F9" s="131">
        <f>Hilliness_detailedCalc!AB11</f>
        <v>4.7055956134232408</v>
      </c>
      <c r="G9" s="131">
        <f>Hilliness_detailedCalc!AC11</f>
        <v>16.517527754115502</v>
      </c>
    </row>
    <row r="10" spans="1:7" x14ac:dyDescent="0.3">
      <c r="A10" s="129">
        <f>Hilliness_detailedCalc!B12</f>
        <v>2</v>
      </c>
      <c r="B10" s="130">
        <f>Hilliness_detailedCalc!X12</f>
        <v>5.6774191393760498</v>
      </c>
      <c r="C10" s="130">
        <f>Hilliness_detailedCalc!Y12</f>
        <v>3.5938063152250397</v>
      </c>
      <c r="D10" s="130">
        <f>Hilliness_detailedCalc!Z12</f>
        <v>3.87741913937605</v>
      </c>
      <c r="E10" s="131">
        <f>Hilliness_detailedCalc!AA12</f>
        <v>13.567552672718277</v>
      </c>
      <c r="F10" s="131">
        <f>Hilliness_detailedCalc!AB12</f>
        <v>4.6517323449319807</v>
      </c>
      <c r="G10" s="131">
        <f>Hilliness_detailedCalc!AC12</f>
        <v>16.42562355225229</v>
      </c>
    </row>
    <row r="11" spans="1:7" x14ac:dyDescent="0.3">
      <c r="A11" s="129">
        <f>Hilliness_detailedCalc!B13</f>
        <v>2.25</v>
      </c>
      <c r="B11" s="130">
        <f>Hilliness_detailedCalc!X13</f>
        <v>5.8184928195601504</v>
      </c>
      <c r="C11" s="130">
        <f>Hilliness_detailedCalc!Y13</f>
        <v>3.6831059547815754</v>
      </c>
      <c r="D11" s="130">
        <f>Hilliness_detailedCalc!Z13</f>
        <v>4.0184928195601506</v>
      </c>
      <c r="E11" s="131">
        <f>Hilliness_detailedCalc!AA13</f>
        <v>13.42</v>
      </c>
      <c r="F11" s="131">
        <f>Hilliness_detailedCalc!AB13</f>
        <v>4.6011428571428574</v>
      </c>
      <c r="G11" s="131">
        <f>Hilliness_detailedCalc!AC13</f>
        <v>16.339305238712097</v>
      </c>
    </row>
    <row r="12" spans="1:7" x14ac:dyDescent="0.3">
      <c r="A12" s="129">
        <f>Hilliness_detailedCalc!B14</f>
        <v>2.5</v>
      </c>
      <c r="B12" s="130">
        <f>Hilliness_detailedCalc!X14</f>
        <v>5.9554099692790086</v>
      </c>
      <c r="C12" s="130">
        <f>Hilliness_detailedCalc!Y14</f>
        <v>3.7697745105536127</v>
      </c>
      <c r="D12" s="130">
        <f>Hilliness_detailedCalc!Z14</f>
        <v>4.1554099692790087</v>
      </c>
      <c r="E12" s="131">
        <f>Hilliness_detailedCalc!AA14</f>
        <v>13.280441212255194</v>
      </c>
      <c r="F12" s="131">
        <f>Hilliness_detailedCalc!AB14</f>
        <v>4.5532941299160665</v>
      </c>
      <c r="G12" s="131">
        <f>Hilliness_detailedCalc!AC14</f>
        <v>16.257663347881383</v>
      </c>
    </row>
    <row r="13" spans="1:7" x14ac:dyDescent="0.3">
      <c r="A13" s="129">
        <f>Hilliness_detailedCalc!B15</f>
        <v>2.75</v>
      </c>
      <c r="B13" s="130">
        <f>Hilliness_detailedCalc!X15</f>
        <v>6.0877455106779976</v>
      </c>
      <c r="C13" s="130">
        <f>Hilliness_detailedCalc!Y15</f>
        <v>3.8535429082591723</v>
      </c>
      <c r="D13" s="130">
        <f>Hilliness_detailedCalc!Z15</f>
        <v>4.2877455106779978</v>
      </c>
      <c r="E13" s="131">
        <f>Hilliness_detailedCalc!AA15</f>
        <v>13.147702680294357</v>
      </c>
      <c r="F13" s="131">
        <f>Hilliness_detailedCalc!AB15</f>
        <v>4.5077837761009221</v>
      </c>
      <c r="G13" s="131">
        <f>Hilliness_detailedCalc!AC15</f>
        <v>16.180011306684296</v>
      </c>
    </row>
    <row r="14" spans="1:7" x14ac:dyDescent="0.3">
      <c r="A14" s="129">
        <f>Hilliness_detailedCalc!B16</f>
        <v>3</v>
      </c>
      <c r="B14" s="130">
        <f>Hilliness_detailedCalc!X16</f>
        <v>6.2152155023606834</v>
      </c>
      <c r="C14" s="130">
        <f>Hilliness_detailedCalc!Y16</f>
        <v>3.9342314129943126</v>
      </c>
      <c r="D14" s="130">
        <f>Hilliness_detailedCalc!Z16</f>
        <v>4.4152155023606836</v>
      </c>
      <c r="E14" s="131">
        <f>Hilliness_detailedCalc!AA16</f>
        <v>13.020872610981531</v>
      </c>
      <c r="F14" s="131">
        <f>Hilliness_detailedCalc!AB16</f>
        <v>4.4642991809079531</v>
      </c>
      <c r="G14" s="131">
        <f>Hilliness_detailedCalc!AC16</f>
        <v>16.105815716136291</v>
      </c>
    </row>
    <row r="15" spans="1:7" x14ac:dyDescent="0.3">
      <c r="A15" s="129">
        <f>Hilliness_detailedCalc!B17</f>
        <v>3.25</v>
      </c>
      <c r="B15" s="130">
        <f>Hilliness_detailedCalc!X17</f>
        <v>6.3376309207870847</v>
      </c>
      <c r="C15" s="130">
        <f>Hilliness_detailedCalc!Y17</f>
        <v>4.0117203728582247</v>
      </c>
      <c r="D15" s="130">
        <f>Hilliness_detailedCalc!Z17</f>
        <v>4.5376309207870849</v>
      </c>
      <c r="E15" s="131">
        <f>Hilliness_detailedCalc!AA17</f>
        <v>12.89922590310097</v>
      </c>
      <c r="F15" s="131">
        <f>Hilliness_detailedCalc!AB17</f>
        <v>4.4225917382060471</v>
      </c>
      <c r="G15" s="131">
        <f>Hilliness_detailedCalc!AC17</f>
        <v>16.034652392026164</v>
      </c>
    </row>
    <row r="16" spans="1:7" x14ac:dyDescent="0.3">
      <c r="A16" s="129">
        <f>Hilliness_detailedCalc!B18</f>
        <v>3.5</v>
      </c>
      <c r="B16" s="130">
        <f>Hilliness_detailedCalc!X18</f>
        <v>6.4548683023252362</v>
      </c>
      <c r="C16" s="130">
        <f>Hilliness_detailedCalc!Y18</f>
        <v>4.0859316353718746</v>
      </c>
      <c r="D16" s="130">
        <f>Hilliness_detailedCalc!Z18</f>
        <v>4.6548683023252364</v>
      </c>
      <c r="E16" s="131">
        <f>Hilliness_detailedCalc!AA18</f>
        <v>12.782174647374411</v>
      </c>
      <c r="F16" s="131">
        <f>Hilliness_detailedCalc!AB18</f>
        <v>4.3824598790997982</v>
      </c>
      <c r="G16" s="131">
        <f>Hilliness_detailedCalc!AC18</f>
        <v>15.966177407426127</v>
      </c>
    </row>
    <row r="17" spans="1:7" x14ac:dyDescent="0.3">
      <c r="A17" s="129">
        <f>Hilliness_detailedCalc!B19</f>
        <v>3.75</v>
      </c>
      <c r="B17" s="130">
        <f>Hilliness_detailedCalc!X19</f>
        <v>6.5668504352274866</v>
      </c>
      <c r="C17" s="130">
        <f>Hilliness_detailedCalc!Y19</f>
        <v>4.1568163254989994</v>
      </c>
      <c r="D17" s="130">
        <f>Hilliness_detailedCalc!Z19</f>
        <v>4.7668504352274867</v>
      </c>
      <c r="E17" s="131">
        <f>Hilliness_detailedCalc!AA19</f>
        <v>12.669234322261621</v>
      </c>
      <c r="F17" s="131">
        <f>Hilliness_detailedCalc!AB19</f>
        <v>4.3437374819182706</v>
      </c>
      <c r="G17" s="131">
        <f>Hilliness_detailedCalc!AC19</f>
        <v>15.900107317235145</v>
      </c>
    </row>
    <row r="18" spans="1:7" x14ac:dyDescent="0.3">
      <c r="A18" s="129">
        <f>Hilliness_detailedCalc!B20</f>
        <v>4</v>
      </c>
      <c r="B18" s="130">
        <f>Hilliness_detailedCalc!X20</f>
        <v>6.6735332896247943</v>
      </c>
      <c r="C18" s="130">
        <f>Hilliness_detailedCalc!Y20</f>
        <v>4.2243465723324949</v>
      </c>
      <c r="D18" s="130">
        <f>Hilliness_detailedCalc!Z20</f>
        <v>4.8735332896247945</v>
      </c>
      <c r="E18" s="131">
        <f>Hilliness_detailedCalc!AA20</f>
        <v>12.56</v>
      </c>
      <c r="F18" s="131">
        <f>Hilliness_detailedCalc!AB20</f>
        <v>4.3062857142857149</v>
      </c>
      <c r="G18" s="131">
        <f>Hilliness_detailedCalc!AC20</f>
        <v>15.836205238712099</v>
      </c>
    </row>
    <row r="19" spans="1:7" x14ac:dyDescent="0.3">
      <c r="A19" s="129">
        <f>Hilliness_detailedCalc!B21</f>
        <v>4.25</v>
      </c>
      <c r="B19" s="130">
        <f>Hilliness_detailedCalc!X21</f>
        <v>6.7748969532955154</v>
      </c>
      <c r="C19" s="130">
        <f>Hilliness_detailedCalc!Y21</f>
        <v>4.2885097714360612</v>
      </c>
      <c r="D19" s="130">
        <f>Hilliness_detailedCalc!Z21</f>
        <v>4.9748969532955156</v>
      </c>
      <c r="E19" s="131">
        <f>Hilliness_detailedCalc!AA21</f>
        <v>12.454129161968812</v>
      </c>
      <c r="F19" s="131">
        <f>Hilliness_detailedCalc!AB21</f>
        <v>4.2699871412464496</v>
      </c>
      <c r="G19" s="131">
        <f>Hilliness_detailedCalc!AC21</f>
        <v>15.774270798463851</v>
      </c>
    </row>
    <row r="20" spans="1:7" x14ac:dyDescent="0.3">
      <c r="A20" s="129">
        <f>Hilliness_detailedCalc!B22</f>
        <v>4.5</v>
      </c>
      <c r="B20" s="130">
        <f>Hilliness_detailedCalc!X22</f>
        <v>6.8709392151442739</v>
      </c>
      <c r="C20" s="130">
        <f>Hilliness_detailedCalc!Y22</f>
        <v>4.3493045231863254</v>
      </c>
      <c r="D20" s="130">
        <f>Hilliness_detailedCalc!Z22</f>
        <v>5.070939215144274</v>
      </c>
      <c r="E20" s="131">
        <f>Hilliness_detailedCalc!AA22</f>
        <v>12.351329009077416</v>
      </c>
      <c r="F20" s="131">
        <f>Hilliness_detailedCalc!AB22</f>
        <v>4.2347413745408282</v>
      </c>
      <c r="G20" s="131">
        <f>Hilliness_detailedCalc!AC22</f>
        <v>15.714132709022385</v>
      </c>
    </row>
    <row r="21" spans="1:7" x14ac:dyDescent="0.3">
      <c r="A21" s="129">
        <f>Hilliness_detailedCalc!B23</f>
        <v>4.75</v>
      </c>
      <c r="B21" s="130">
        <f>Hilliness_detailedCalc!X23</f>
        <v>6.9616709427430017</v>
      </c>
      <c r="C21" s="130">
        <f>Hilliness_detailedCalc!Y23</f>
        <v>4.4067377067563198</v>
      </c>
      <c r="D21" s="130">
        <f>Hilliness_detailedCalc!Z23</f>
        <v>5.1616709427430019</v>
      </c>
      <c r="E21" s="131">
        <f>Hilliness_detailedCalc!AA23</f>
        <v>12.251346908555021</v>
      </c>
      <c r="F21" s="131">
        <f>Hilliness_detailedCalc!AB23</f>
        <v>4.2004617972188649</v>
      </c>
      <c r="G21" s="131">
        <f>Hilliness_detailedCalc!AC23</f>
        <v>15.655643180216785</v>
      </c>
    </row>
    <row r="22" spans="1:7" x14ac:dyDescent="0.3">
      <c r="A22" s="129">
        <f>Hilliness_detailedCalc!B24</f>
        <v>5</v>
      </c>
      <c r="B22" s="130">
        <f>Hilliness_detailedCalc!X24</f>
        <v>7.0471127019811313</v>
      </c>
      <c r="C22" s="130">
        <f>Hilliness_detailedCalc!Y24</f>
        <v>4.4608223403540563</v>
      </c>
      <c r="D22" s="130">
        <f>Hilliness_detailedCalc!Z24</f>
        <v>5.2471127019811314</v>
      </c>
      <c r="E22" s="131">
        <f>Hilliness_detailedCalc!AA24</f>
        <v>12.153963078700361</v>
      </c>
      <c r="F22" s="131">
        <f>Hilliness_detailedCalc!AB24</f>
        <v>4.1670730555544093</v>
      </c>
      <c r="G22" s="131">
        <f>Hilliness_detailedCalc!AC24</f>
        <v>15.598673639751807</v>
      </c>
    </row>
    <row r="23" spans="1:7" x14ac:dyDescent="0.3">
      <c r="A23" s="129">
        <f>Hilliness_detailedCalc!B25</f>
        <v>5.25</v>
      </c>
      <c r="B23" s="130">
        <f>Hilliness_detailedCalc!X25</f>
        <v>7.127292253031543</v>
      </c>
      <c r="C23" s="130">
        <f>Hilliness_detailedCalc!Y25</f>
        <v>4.5115759961689665</v>
      </c>
      <c r="D23" s="130">
        <f>Hilliness_detailedCalc!Z25</f>
        <v>5.3272922530315432</v>
      </c>
      <c r="E23" s="131">
        <f>Hilliness_detailedCalc!AA25</f>
        <v>12.058984902337977</v>
      </c>
      <c r="F23" s="131">
        <f>Hilliness_detailedCalc!AB25</f>
        <v>4.1345091093730204</v>
      </c>
      <c r="G23" s="131">
        <f>Hilliness_detailedCalc!AC25</f>
        <v>15.543111406579813</v>
      </c>
    </row>
    <row r="24" spans="1:7" x14ac:dyDescent="0.3">
      <c r="A24" s="129">
        <f>Hilliness_detailedCalc!B26</f>
        <v>5.5</v>
      </c>
      <c r="B24" s="130">
        <f>Hilliness_detailedCalc!X26</f>
        <v>7.2022426748909503</v>
      </c>
      <c r="C24" s="130">
        <f>Hilliness_detailedCalc!Y26</f>
        <v>4.5590196132059715</v>
      </c>
      <c r="D24" s="130">
        <f>Hilliness_detailedCalc!Z26</f>
        <v>5.4022426748909504</v>
      </c>
      <c r="E24" s="131">
        <f>Hilliness_detailedCalc!AA26</f>
        <v>11.966242446551851</v>
      </c>
      <c r="F24" s="131">
        <f>Hilliness_detailedCalc!AB26</f>
        <v>4.1027116959606342</v>
      </c>
      <c r="G24" s="131">
        <f>Hilliness_detailedCalc!AC26</f>
        <v>15.488857069944928</v>
      </c>
    </row>
    <row r="25" spans="1:7" x14ac:dyDescent="0.3">
      <c r="A25" s="129">
        <f>Hilliness_detailedCalc!B27</f>
        <v>5.75</v>
      </c>
      <c r="B25" s="130">
        <f>Hilliness_detailedCalc!X27</f>
        <v>7.2720009474456049</v>
      </c>
      <c r="C25" s="130">
        <f>Hilliness_detailedCalc!Y27</f>
        <v>4.603176599733068</v>
      </c>
      <c r="D25" s="130">
        <f>Hilliness_detailedCalc!Z27</f>
        <v>5.4720009474456051</v>
      </c>
      <c r="E25" s="131">
        <f>Hilliness_detailedCalc!AA27</f>
        <v>11.875584889951062</v>
      </c>
      <c r="F25" s="131">
        <f>Hilliness_detailedCalc!AB27</f>
        <v>4.0716291051260782</v>
      </c>
      <c r="G25" s="131">
        <f>Hilliness_detailedCalc!AC27</f>
        <v>15.435822399333466</v>
      </c>
    </row>
    <row r="26" spans="1:7" x14ac:dyDescent="0.3">
      <c r="A26" s="129">
        <f>Hilliness_detailedCalc!B28</f>
        <v>6</v>
      </c>
      <c r="B26" s="130">
        <f>Hilliness_detailedCalc!X28</f>
        <v>7.3366068709194163</v>
      </c>
      <c r="C26" s="130">
        <f>Hilliness_detailedCalc!Y28</f>
        <v>4.6440721492919907</v>
      </c>
      <c r="D26" s="130">
        <f>Hilliness_detailedCalc!Z28</f>
        <v>5.5366068709194165</v>
      </c>
      <c r="E26" s="131">
        <f>Hilliness_detailedCalc!AA28</f>
        <v>11.786877642412934</v>
      </c>
      <c r="F26" s="131">
        <f>Hilliness_detailedCalc!AB28</f>
        <v>4.0412151916844348</v>
      </c>
      <c r="G26" s="131">
        <f>Hilliness_detailedCalc!AC28</f>
        <v>15.383928659523663</v>
      </c>
    </row>
    <row r="27" spans="1:7" x14ac:dyDescent="0.3">
      <c r="A27" s="129">
        <f>Hilliness_detailedCalc!B29</f>
        <v>6.25</v>
      </c>
      <c r="B27" s="130">
        <f>Hilliness_detailedCalc!X29</f>
        <v>7.3961022370085576</v>
      </c>
      <c r="C27" s="130">
        <f>Hilliness_detailedCalc!Y29</f>
        <v>4.6817327160264171</v>
      </c>
      <c r="D27" s="130">
        <f>Hilliness_detailedCalc!Z29</f>
        <v>5.5961022370085578</v>
      </c>
      <c r="E27" s="131">
        <f>Hilliness_detailedCalc!AA29</f>
        <v>11.7</v>
      </c>
      <c r="F27" s="131">
        <f>Hilliness_detailedCalc!AB29</f>
        <v>4.0114285714285716</v>
      </c>
      <c r="G27" s="131">
        <f>Hilliness_detailedCalc!AC29</f>
        <v>15.333105238712097</v>
      </c>
    </row>
    <row r="28" spans="1:7" x14ac:dyDescent="0.3">
      <c r="A28" s="129">
        <f>Hilliness_detailedCalc!B30</f>
        <v>6.5</v>
      </c>
      <c r="B28" s="130">
        <f>Hilliness_detailedCalc!X30</f>
        <v>7.4505301897240468</v>
      </c>
      <c r="C28" s="130">
        <f>Hilliness_detailedCalc!Y30</f>
        <v>4.7161856100953221</v>
      </c>
      <c r="D28" s="130">
        <f>Hilliness_detailedCalc!Z30</f>
        <v>5.650530189724047</v>
      </c>
      <c r="E28" s="131">
        <f>Hilliness_detailedCalc!AA30</f>
        <v>11.614843218310206</v>
      </c>
      <c r="F28" s="131">
        <f>Hilliness_detailedCalc!AB30</f>
        <v>3.982231960563499</v>
      </c>
      <c r="G28" s="131">
        <f>Hilliness_detailedCalc!AC30</f>
        <v>15.283288521423566</v>
      </c>
    </row>
    <row r="29" spans="1:7" x14ac:dyDescent="0.3">
      <c r="A29" s="129">
        <f>Hilliness_detailedCalc!B31</f>
        <v>6.75</v>
      </c>
      <c r="B29" s="130">
        <f>Hilliness_detailedCalc!X31</f>
        <v>7.4999347305517858</v>
      </c>
      <c r="C29" s="130">
        <f>Hilliness_detailedCalc!Y31</f>
        <v>4.7474586844392803</v>
      </c>
      <c r="D29" s="130">
        <f>Hilliness_detailedCalc!Z31</f>
        <v>5.699934730551786</v>
      </c>
      <c r="E29" s="131">
        <f>Hilliness_detailedCalc!AA31</f>
        <v>11.531308916472296</v>
      </c>
      <c r="F29" s="131">
        <f>Hilliness_detailedCalc!AB31</f>
        <v>3.9535916285047872</v>
      </c>
      <c r="G29" s="131">
        <f>Hilliness_detailedCalc!AC31</f>
        <v>15.234420954848391</v>
      </c>
    </row>
    <row r="30" spans="1:7" x14ac:dyDescent="0.3">
      <c r="A30" s="129">
        <f>Hilliness_detailedCalc!B32</f>
        <v>7</v>
      </c>
      <c r="B30" s="130">
        <f>Hilliness_detailedCalc!X32</f>
        <v>7.544360334307985</v>
      </c>
      <c r="C30" s="130">
        <f>Hilliness_detailedCalc!Y32</f>
        <v>4.7755800916169546</v>
      </c>
      <c r="D30" s="130">
        <f>Hilliness_detailedCalc!Z32</f>
        <v>5.7443603343079852</v>
      </c>
      <c r="E30" s="131">
        <f>Hilliness_detailedCalc!AA32</f>
        <v>11.449307744968904</v>
      </c>
      <c r="F30" s="131">
        <f>Hilliness_detailedCalc!AB32</f>
        <v>3.9254769411321955</v>
      </c>
      <c r="G30" s="131">
        <f>Hilliness_detailedCalc!AC32</f>
        <v>15.186450269518906</v>
      </c>
    </row>
    <row r="31" spans="1:7" x14ac:dyDescent="0.3">
      <c r="A31" s="129"/>
    </row>
    <row r="32" spans="1:7" x14ac:dyDescent="0.3">
      <c r="A32" s="129"/>
    </row>
    <row r="33" spans="1:1" x14ac:dyDescent="0.3">
      <c r="A33" s="1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5"/>
  <sheetViews>
    <sheetView topLeftCell="A50" zoomScale="70" zoomScaleNormal="70" workbookViewId="0">
      <selection activeCell="B60" sqref="B60:B65"/>
    </sheetView>
  </sheetViews>
  <sheetFormatPr defaultRowHeight="14.4" x14ac:dyDescent="0.3"/>
  <cols>
    <col min="1" max="1" width="26.6640625" customWidth="1"/>
    <col min="2" max="2" width="34.33203125" customWidth="1"/>
    <col min="3" max="3" width="28.109375" customWidth="1"/>
  </cols>
  <sheetData>
    <row r="1" spans="1:2" x14ac:dyDescent="0.3">
      <c r="A1" s="5" t="s">
        <v>81</v>
      </c>
    </row>
    <row r="2" spans="1:2" x14ac:dyDescent="0.3">
      <c r="B2" s="5" t="s">
        <v>63</v>
      </c>
    </row>
    <row r="3" spans="1:2" x14ac:dyDescent="0.3">
      <c r="B3" s="48" t="s">
        <v>77</v>
      </c>
    </row>
    <row r="5" spans="1:2" x14ac:dyDescent="0.3">
      <c r="A5" s="5" t="s">
        <v>64</v>
      </c>
      <c r="B5" t="s">
        <v>65</v>
      </c>
    </row>
    <row r="6" spans="1:2" s="37" customFormat="1" x14ac:dyDescent="0.3">
      <c r="A6" s="5"/>
      <c r="B6" s="37" t="s">
        <v>88</v>
      </c>
    </row>
    <row r="7" spans="1:2" s="37" customFormat="1" x14ac:dyDescent="0.3">
      <c r="A7" s="5"/>
      <c r="B7" s="37" t="s">
        <v>70</v>
      </c>
    </row>
    <row r="8" spans="1:2" s="37" customFormat="1" x14ac:dyDescent="0.3">
      <c r="A8" s="5"/>
      <c r="B8" s="37" t="s">
        <v>74</v>
      </c>
    </row>
    <row r="9" spans="1:2" s="37" customFormat="1" x14ac:dyDescent="0.3">
      <c r="A9" s="5"/>
      <c r="B9" s="37" t="s">
        <v>84</v>
      </c>
    </row>
    <row r="10" spans="1:2" s="37" customFormat="1" x14ac:dyDescent="0.3">
      <c r="A10" s="5"/>
      <c r="B10" s="49" t="s">
        <v>75</v>
      </c>
    </row>
    <row r="11" spans="1:2" s="37" customFormat="1" x14ac:dyDescent="0.3">
      <c r="A11" s="5"/>
      <c r="B11" s="49" t="s">
        <v>82</v>
      </c>
    </row>
    <row r="13" spans="1:2" x14ac:dyDescent="0.3">
      <c r="A13" s="5" t="s">
        <v>66</v>
      </c>
      <c r="B13" t="s">
        <v>67</v>
      </c>
    </row>
    <row r="14" spans="1:2" x14ac:dyDescent="0.3">
      <c r="B14" s="16" t="s">
        <v>59</v>
      </c>
    </row>
    <row r="15" spans="1:2" x14ac:dyDescent="0.3">
      <c r="B15" s="16" t="s">
        <v>61</v>
      </c>
    </row>
    <row r="16" spans="1:2" x14ac:dyDescent="0.3">
      <c r="B16" t="s">
        <v>68</v>
      </c>
    </row>
    <row r="17" spans="1:3" x14ac:dyDescent="0.3">
      <c r="B17" t="s">
        <v>69</v>
      </c>
    </row>
    <row r="18" spans="1:3" x14ac:dyDescent="0.3">
      <c r="B18" s="49" t="s">
        <v>83</v>
      </c>
    </row>
    <row r="20" spans="1:3" x14ac:dyDescent="0.3">
      <c r="A20" s="5" t="s">
        <v>62</v>
      </c>
      <c r="B20" s="37" t="s">
        <v>73</v>
      </c>
    </row>
    <row r="21" spans="1:3" x14ac:dyDescent="0.3">
      <c r="B21" s="16" t="s">
        <v>71</v>
      </c>
    </row>
    <row r="22" spans="1:3" x14ac:dyDescent="0.3">
      <c r="B22" s="16" t="s">
        <v>72</v>
      </c>
    </row>
    <row r="23" spans="1:3" s="37" customFormat="1" x14ac:dyDescent="0.3">
      <c r="A23" s="5"/>
      <c r="B23" s="48" t="s">
        <v>90</v>
      </c>
    </row>
    <row r="24" spans="1:3" x14ac:dyDescent="0.3">
      <c r="B24" s="49" t="s">
        <v>76</v>
      </c>
    </row>
    <row r="25" spans="1:3" s="37" customFormat="1" x14ac:dyDescent="0.3">
      <c r="B25" s="49" t="s">
        <v>85</v>
      </c>
    </row>
    <row r="26" spans="1:3" s="37" customFormat="1" x14ac:dyDescent="0.3">
      <c r="B26" s="49"/>
    </row>
    <row r="28" spans="1:3" ht="15" thickBot="1" x14ac:dyDescent="0.35">
      <c r="A28" s="20" t="s">
        <v>79</v>
      </c>
      <c r="B28" s="20" t="s">
        <v>78</v>
      </c>
      <c r="C28" s="20" t="s">
        <v>80</v>
      </c>
    </row>
    <row r="29" spans="1:3" x14ac:dyDescent="0.3">
      <c r="A29" s="8">
        <v>14</v>
      </c>
      <c r="B29" s="8">
        <v>0.7</v>
      </c>
      <c r="C29" s="51">
        <f>A29*1/B29</f>
        <v>20</v>
      </c>
    </row>
    <row r="30" spans="1:3" x14ac:dyDescent="0.3">
      <c r="A30" s="8">
        <v>15</v>
      </c>
      <c r="B30" s="8">
        <v>0.7</v>
      </c>
      <c r="C30" s="51">
        <f t="shared" ref="C30:C33" si="0">A30*1/B30</f>
        <v>21.428571428571431</v>
      </c>
    </row>
    <row r="31" spans="1:3" x14ac:dyDescent="0.3">
      <c r="A31" s="8">
        <v>16</v>
      </c>
      <c r="B31" s="8">
        <v>0.7</v>
      </c>
      <c r="C31" s="51">
        <f t="shared" si="0"/>
        <v>22.857142857142858</v>
      </c>
    </row>
    <row r="32" spans="1:3" x14ac:dyDescent="0.3">
      <c r="A32" s="8">
        <v>17</v>
      </c>
      <c r="B32" s="8">
        <v>0.7</v>
      </c>
      <c r="C32" s="51">
        <f t="shared" si="0"/>
        <v>24.285714285714288</v>
      </c>
    </row>
    <row r="33" spans="1:3" x14ac:dyDescent="0.3">
      <c r="A33" s="52">
        <v>18</v>
      </c>
      <c r="B33" s="52">
        <v>0.7</v>
      </c>
      <c r="C33" s="53">
        <f t="shared" si="0"/>
        <v>25.714285714285715</v>
      </c>
    </row>
    <row r="34" spans="1:3" x14ac:dyDescent="0.3">
      <c r="A34" s="8">
        <v>14</v>
      </c>
      <c r="B34" s="8">
        <v>0.8</v>
      </c>
      <c r="C34" s="51">
        <f>A34*1/B34</f>
        <v>17.5</v>
      </c>
    </row>
    <row r="35" spans="1:3" x14ac:dyDescent="0.3">
      <c r="A35" s="8">
        <v>15</v>
      </c>
      <c r="B35" s="8">
        <v>0.8</v>
      </c>
      <c r="C35" s="51">
        <f t="shared" ref="C35:C38" si="1">A35*1/B35</f>
        <v>18.75</v>
      </c>
    </row>
    <row r="36" spans="1:3" x14ac:dyDescent="0.3">
      <c r="A36" s="8">
        <v>16</v>
      </c>
      <c r="B36" s="8">
        <v>0.8</v>
      </c>
      <c r="C36" s="51">
        <f t="shared" si="1"/>
        <v>20</v>
      </c>
    </row>
    <row r="37" spans="1:3" x14ac:dyDescent="0.3">
      <c r="A37" s="8">
        <v>17</v>
      </c>
      <c r="B37" s="8">
        <v>0.8</v>
      </c>
      <c r="C37" s="51">
        <f t="shared" si="1"/>
        <v>21.25</v>
      </c>
    </row>
    <row r="38" spans="1:3" x14ac:dyDescent="0.3">
      <c r="A38" s="52">
        <v>18</v>
      </c>
      <c r="B38" s="52">
        <v>0.8</v>
      </c>
      <c r="C38" s="53">
        <f t="shared" si="1"/>
        <v>22.5</v>
      </c>
    </row>
    <row r="39" spans="1:3" x14ac:dyDescent="0.3">
      <c r="A39" s="8">
        <v>14</v>
      </c>
      <c r="B39" s="8">
        <v>0.85</v>
      </c>
      <c r="C39" s="51">
        <f>A39*1/B39</f>
        <v>16.47058823529412</v>
      </c>
    </row>
    <row r="40" spans="1:3" x14ac:dyDescent="0.3">
      <c r="A40" s="8">
        <v>15</v>
      </c>
      <c r="B40" s="8">
        <v>0.85</v>
      </c>
      <c r="C40" s="51">
        <f t="shared" ref="C40:C43" si="2">A40*1/B40</f>
        <v>17.647058823529413</v>
      </c>
    </row>
    <row r="41" spans="1:3" x14ac:dyDescent="0.3">
      <c r="A41" s="8">
        <v>16</v>
      </c>
      <c r="B41" s="8">
        <v>0.85</v>
      </c>
      <c r="C41" s="51">
        <f t="shared" si="2"/>
        <v>18.823529411764707</v>
      </c>
    </row>
    <row r="42" spans="1:3" x14ac:dyDescent="0.3">
      <c r="A42" s="8">
        <v>17</v>
      </c>
      <c r="B42" s="8">
        <v>0.85</v>
      </c>
      <c r="C42" s="51">
        <f t="shared" si="2"/>
        <v>20</v>
      </c>
    </row>
    <row r="43" spans="1:3" x14ac:dyDescent="0.3">
      <c r="A43" s="52">
        <v>18</v>
      </c>
      <c r="B43" s="52">
        <v>0.85</v>
      </c>
      <c r="C43" s="53">
        <f t="shared" si="2"/>
        <v>21.176470588235293</v>
      </c>
    </row>
    <row r="44" spans="1:3" x14ac:dyDescent="0.3">
      <c r="A44" s="8">
        <v>14</v>
      </c>
      <c r="B44" s="8">
        <v>0.9</v>
      </c>
      <c r="C44" s="51">
        <f>A44*1/B44</f>
        <v>15.555555555555555</v>
      </c>
    </row>
    <row r="45" spans="1:3" x14ac:dyDescent="0.3">
      <c r="A45" s="8">
        <v>15</v>
      </c>
      <c r="B45" s="8">
        <v>0.9</v>
      </c>
      <c r="C45" s="51">
        <f t="shared" ref="C45:C48" si="3">A45*1/B45</f>
        <v>16.666666666666668</v>
      </c>
    </row>
    <row r="46" spans="1:3" x14ac:dyDescent="0.3">
      <c r="A46" s="8">
        <v>16</v>
      </c>
      <c r="B46" s="8">
        <v>0.9</v>
      </c>
      <c r="C46" s="51">
        <f t="shared" si="3"/>
        <v>17.777777777777779</v>
      </c>
    </row>
    <row r="47" spans="1:3" x14ac:dyDescent="0.3">
      <c r="A47" s="8">
        <v>17</v>
      </c>
      <c r="B47" s="8">
        <v>0.9</v>
      </c>
      <c r="C47" s="51">
        <f t="shared" si="3"/>
        <v>18.888888888888889</v>
      </c>
    </row>
    <row r="48" spans="1:3" x14ac:dyDescent="0.3">
      <c r="A48" s="8">
        <v>18</v>
      </c>
      <c r="B48" s="8">
        <v>0.9</v>
      </c>
      <c r="C48" s="51">
        <f t="shared" si="3"/>
        <v>20</v>
      </c>
    </row>
    <row r="51" spans="1:2" s="37" customFormat="1" x14ac:dyDescent="0.3">
      <c r="A51" s="5" t="s">
        <v>86</v>
      </c>
      <c r="B51" s="37" t="s">
        <v>94</v>
      </c>
    </row>
    <row r="52" spans="1:2" s="37" customFormat="1" x14ac:dyDescent="0.3">
      <c r="A52" s="5"/>
      <c r="B52" s="37" t="s">
        <v>95</v>
      </c>
    </row>
    <row r="53" spans="1:2" s="37" customFormat="1" x14ac:dyDescent="0.3">
      <c r="A53" s="5"/>
      <c r="B53" s="49" t="s">
        <v>107</v>
      </c>
    </row>
    <row r="54" spans="1:2" s="37" customFormat="1" x14ac:dyDescent="0.3">
      <c r="A54" s="5"/>
      <c r="B54" s="49" t="s">
        <v>108</v>
      </c>
    </row>
    <row r="55" spans="1:2" s="37" customFormat="1" x14ac:dyDescent="0.3">
      <c r="A55" s="5"/>
    </row>
    <row r="56" spans="1:2" s="37" customFormat="1" x14ac:dyDescent="0.3">
      <c r="A56" s="67" t="s">
        <v>96</v>
      </c>
      <c r="B56" s="48" t="s">
        <v>89</v>
      </c>
    </row>
    <row r="57" spans="1:2" s="37" customFormat="1" x14ac:dyDescent="0.3">
      <c r="A57" s="67"/>
      <c r="B57" s="48" t="s">
        <v>87</v>
      </c>
    </row>
    <row r="58" spans="1:2" s="37" customFormat="1" x14ac:dyDescent="0.3">
      <c r="A58" s="67"/>
      <c r="B58" s="48" t="s">
        <v>104</v>
      </c>
    </row>
    <row r="59" spans="1:2" x14ac:dyDescent="0.3">
      <c r="A59" s="68"/>
      <c r="B59" s="48" t="s">
        <v>91</v>
      </c>
    </row>
    <row r="60" spans="1:2" x14ac:dyDescent="0.3">
      <c r="A60" s="69" t="s">
        <v>97</v>
      </c>
      <c r="B60" s="59" t="s">
        <v>99</v>
      </c>
    </row>
    <row r="61" spans="1:2" x14ac:dyDescent="0.3">
      <c r="A61" s="58"/>
      <c r="B61" s="16" t="s">
        <v>98</v>
      </c>
    </row>
    <row r="62" spans="1:2" x14ac:dyDescent="0.3">
      <c r="A62" s="58"/>
      <c r="B62" s="59" t="s">
        <v>100</v>
      </c>
    </row>
    <row r="63" spans="1:2" x14ac:dyDescent="0.3">
      <c r="A63" s="58"/>
      <c r="B63" s="59" t="s">
        <v>101</v>
      </c>
    </row>
    <row r="64" spans="1:2" x14ac:dyDescent="0.3">
      <c r="A64" s="58"/>
      <c r="B64" s="16" t="s">
        <v>102</v>
      </c>
    </row>
    <row r="65" spans="1:19" x14ac:dyDescent="0.3">
      <c r="A65" s="58"/>
      <c r="B65" s="60" t="s">
        <v>103</v>
      </c>
    </row>
    <row r="67" spans="1:19" ht="28.8" x14ac:dyDescent="0.3">
      <c r="A67" s="56" t="s">
        <v>92</v>
      </c>
      <c r="B67" s="66" t="s">
        <v>175</v>
      </c>
      <c r="C67" s="78"/>
    </row>
    <row r="68" spans="1:19" s="37" customFormat="1" x14ac:dyDescent="0.3">
      <c r="A68" s="56">
        <v>0</v>
      </c>
      <c r="B68" s="104">
        <v>20</v>
      </c>
      <c r="C68" s="78"/>
    </row>
    <row r="69" spans="1:19" x14ac:dyDescent="0.3">
      <c r="A69" s="55">
        <v>0.75</v>
      </c>
      <c r="B69" s="76">
        <v>16</v>
      </c>
      <c r="C69" s="51"/>
      <c r="D69" s="49" t="s">
        <v>149</v>
      </c>
    </row>
    <row r="70" spans="1:19" s="37" customFormat="1" x14ac:dyDescent="0.3">
      <c r="A70" s="55">
        <v>2.75</v>
      </c>
      <c r="B70" s="55">
        <f>12.6*1</f>
        <v>12.6</v>
      </c>
      <c r="C70" s="51"/>
      <c r="D70" s="49" t="s">
        <v>106</v>
      </c>
    </row>
    <row r="71" spans="1:19" x14ac:dyDescent="0.3">
      <c r="A71" s="55">
        <v>5</v>
      </c>
      <c r="B71" s="55">
        <f>9.9*1</f>
        <v>9.9</v>
      </c>
      <c r="C71" s="51"/>
      <c r="D71" s="49" t="s">
        <v>105</v>
      </c>
    </row>
    <row r="72" spans="1:19" x14ac:dyDescent="0.3">
      <c r="A72" s="54">
        <v>7</v>
      </c>
      <c r="B72" s="18">
        <v>8</v>
      </c>
      <c r="C72" s="51"/>
      <c r="D72" s="49" t="s">
        <v>109</v>
      </c>
    </row>
    <row r="73" spans="1:19" x14ac:dyDescent="0.3">
      <c r="A73" s="54"/>
      <c r="B73" s="18"/>
      <c r="C73" s="54"/>
      <c r="D73" s="49" t="s">
        <v>150</v>
      </c>
    </row>
    <row r="74" spans="1:19" x14ac:dyDescent="0.3">
      <c r="A74" s="57" t="s">
        <v>93</v>
      </c>
      <c r="B74" s="18"/>
      <c r="C74" s="58"/>
    </row>
    <row r="75" spans="1:19" ht="28.8" x14ac:dyDescent="0.3">
      <c r="A75" s="56" t="s">
        <v>92</v>
      </c>
      <c r="B75" s="66" t="s">
        <v>151</v>
      </c>
      <c r="C75" s="66" t="s">
        <v>152</v>
      </c>
      <c r="O75" s="34"/>
      <c r="P75" s="34"/>
      <c r="Q75" s="34"/>
      <c r="R75" s="34"/>
      <c r="S75" s="34"/>
    </row>
    <row r="76" spans="1:19" x14ac:dyDescent="0.3">
      <c r="A76" s="54">
        <v>1E-8</v>
      </c>
      <c r="B76" s="54">
        <f>-4.3*SQRT(A76)+20</f>
        <v>19.999569999999999</v>
      </c>
      <c r="C76" s="77">
        <f>(0.883^A76)*18.7</f>
        <v>18.699999976731576</v>
      </c>
      <c r="E76" s="1"/>
      <c r="O76" s="34"/>
      <c r="P76" s="34"/>
      <c r="Q76" s="34"/>
      <c r="R76" s="34"/>
      <c r="S76" s="34"/>
    </row>
    <row r="77" spans="1:19" x14ac:dyDescent="0.3">
      <c r="A77" s="58">
        <v>0.25</v>
      </c>
      <c r="B77" s="54">
        <f t="shared" ref="B77:B104" si="4">-4.3*SQRT(A77)+20</f>
        <v>17.850000000000001</v>
      </c>
      <c r="C77" s="77">
        <f t="shared" ref="C77:C104" si="5">(0.883^A77)*18.7</f>
        <v>18.127244077804811</v>
      </c>
      <c r="D77" s="37"/>
      <c r="E77" s="1"/>
      <c r="O77" s="34"/>
      <c r="P77" s="34"/>
      <c r="Q77" s="34"/>
      <c r="R77" s="34"/>
      <c r="S77" s="34"/>
    </row>
    <row r="78" spans="1:19" x14ac:dyDescent="0.3">
      <c r="A78" s="58">
        <v>0.5</v>
      </c>
      <c r="B78" s="54">
        <f t="shared" si="4"/>
        <v>16.959440840897845</v>
      </c>
      <c r="C78" s="77">
        <f t="shared" si="5"/>
        <v>17.572030901406929</v>
      </c>
      <c r="D78" s="37"/>
      <c r="E78" s="1"/>
      <c r="O78" s="34"/>
      <c r="P78" s="34"/>
      <c r="Q78" s="34"/>
      <c r="R78" s="34"/>
      <c r="S78" s="34"/>
    </row>
    <row r="79" spans="1:19" x14ac:dyDescent="0.3">
      <c r="A79" s="58">
        <v>0.75</v>
      </c>
      <c r="B79" s="54">
        <f t="shared" si="4"/>
        <v>16.276090763726913</v>
      </c>
      <c r="C79" s="77">
        <f t="shared" si="5"/>
        <v>17.033823160028444</v>
      </c>
      <c r="D79" s="37"/>
      <c r="E79" s="1"/>
      <c r="O79" s="34"/>
      <c r="P79" s="34"/>
      <c r="Q79" s="34"/>
      <c r="R79" s="34"/>
      <c r="S79" s="34"/>
    </row>
    <row r="80" spans="1:19" x14ac:dyDescent="0.3">
      <c r="A80" s="58">
        <v>1</v>
      </c>
      <c r="B80" s="54">
        <f t="shared" si="4"/>
        <v>15.7</v>
      </c>
      <c r="C80" s="77">
        <f t="shared" si="5"/>
        <v>16.5121</v>
      </c>
      <c r="D80" s="37"/>
      <c r="E80" s="1"/>
      <c r="O80" s="34"/>
      <c r="P80" s="34"/>
      <c r="Q80" s="34"/>
      <c r="R80" s="34"/>
      <c r="S80" s="34"/>
    </row>
    <row r="81" spans="1:19" x14ac:dyDescent="0.3">
      <c r="A81" s="58">
        <v>1.25</v>
      </c>
      <c r="B81" s="54">
        <f t="shared" si="4"/>
        <v>15.192453848375452</v>
      </c>
      <c r="C81" s="77">
        <f t="shared" si="5"/>
        <v>16.006356520701647</v>
      </c>
      <c r="D81" s="37"/>
      <c r="E81" s="1"/>
      <c r="O81" s="34"/>
      <c r="P81" s="34"/>
      <c r="Q81" s="34"/>
      <c r="R81" s="34"/>
      <c r="S81" s="34"/>
    </row>
    <row r="82" spans="1:19" x14ac:dyDescent="0.3">
      <c r="A82" s="58">
        <v>1.5</v>
      </c>
      <c r="B82" s="54">
        <f t="shared" si="4"/>
        <v>14.733597053016169</v>
      </c>
      <c r="C82" s="77">
        <f t="shared" si="5"/>
        <v>15.516103285942318</v>
      </c>
      <c r="D82" s="37"/>
      <c r="E82" s="1"/>
      <c r="O82" s="34"/>
      <c r="P82" s="34"/>
      <c r="Q82" s="34"/>
      <c r="R82" s="34"/>
      <c r="S82" s="34"/>
    </row>
    <row r="83" spans="1:19" x14ac:dyDescent="0.3">
      <c r="A83" s="58">
        <v>1.75</v>
      </c>
      <c r="B83" s="54">
        <f t="shared" si="4"/>
        <v>14.31163468121113</v>
      </c>
      <c r="C83" s="77">
        <f t="shared" si="5"/>
        <v>15.040865850305115</v>
      </c>
      <c r="D83" s="37"/>
      <c r="E83" s="1"/>
      <c r="O83" s="34"/>
      <c r="P83" s="34"/>
      <c r="Q83" s="34"/>
      <c r="R83" s="34"/>
      <c r="S83" s="34"/>
    </row>
    <row r="84" spans="1:19" x14ac:dyDescent="0.3">
      <c r="A84" s="58">
        <v>2</v>
      </c>
      <c r="B84" s="54">
        <f t="shared" si="4"/>
        <v>13.918881681795691</v>
      </c>
      <c r="C84" s="77">
        <f t="shared" si="5"/>
        <v>14.580184299999999</v>
      </c>
      <c r="D84" s="37"/>
      <c r="E84" s="1"/>
      <c r="O84" s="34"/>
      <c r="P84" s="34"/>
      <c r="Q84" s="34"/>
      <c r="R84" s="34"/>
      <c r="S84" s="34"/>
    </row>
    <row r="85" spans="1:19" x14ac:dyDescent="0.3">
      <c r="A85" s="58">
        <v>2.25</v>
      </c>
      <c r="B85" s="54">
        <f t="shared" si="4"/>
        <v>13.55</v>
      </c>
      <c r="C85" s="77">
        <f t="shared" si="5"/>
        <v>14.133612807779556</v>
      </c>
      <c r="D85" s="37"/>
      <c r="E85" s="1"/>
      <c r="O85" s="34"/>
      <c r="P85" s="34"/>
      <c r="Q85" s="34"/>
      <c r="R85" s="34"/>
      <c r="S85" s="34"/>
    </row>
    <row r="86" spans="1:19" x14ac:dyDescent="0.3">
      <c r="A86" s="58">
        <v>2.5</v>
      </c>
      <c r="B86" s="54">
        <f t="shared" si="4"/>
        <v>13.201103030637984</v>
      </c>
      <c r="C86" s="77">
        <f t="shared" si="5"/>
        <v>13.700719201487066</v>
      </c>
      <c r="D86" s="37"/>
      <c r="E86" s="1"/>
      <c r="O86" s="34"/>
      <c r="P86" s="34"/>
      <c r="Q86" s="34"/>
      <c r="R86" s="34"/>
      <c r="S86" s="34"/>
    </row>
    <row r="87" spans="1:19" x14ac:dyDescent="0.3">
      <c r="A87" s="58">
        <v>2.75</v>
      </c>
      <c r="B87" s="54">
        <f t="shared" si="4"/>
        <v>12.869256700735891</v>
      </c>
      <c r="C87" s="77">
        <f t="shared" si="5"/>
        <v>13.281084545819416</v>
      </c>
      <c r="O87" s="34"/>
      <c r="P87" s="34"/>
      <c r="Q87" s="34"/>
      <c r="R87" s="34"/>
      <c r="S87" s="34"/>
    </row>
    <row r="88" spans="1:19" x14ac:dyDescent="0.3">
      <c r="A88" s="58">
        <v>3</v>
      </c>
      <c r="B88" s="54">
        <f t="shared" si="4"/>
        <v>12.552181527453829</v>
      </c>
      <c r="C88" s="77">
        <f t="shared" si="5"/>
        <v>12.874302736899999</v>
      </c>
      <c r="O88" s="34"/>
      <c r="P88" s="34"/>
      <c r="Q88" s="34"/>
      <c r="R88" s="34"/>
      <c r="S88" s="34"/>
    </row>
    <row r="89" spans="1:19" x14ac:dyDescent="0.3">
      <c r="A89" s="58">
        <v>3.25</v>
      </c>
      <c r="B89" s="54">
        <f t="shared" si="4"/>
        <v>12.248064757752424</v>
      </c>
      <c r="C89" s="77">
        <f t="shared" si="5"/>
        <v>12.479980109269347</v>
      </c>
      <c r="O89" s="34"/>
      <c r="P89" s="34"/>
      <c r="Q89" s="34"/>
      <c r="R89" s="34"/>
      <c r="S89" s="34"/>
    </row>
    <row r="90" spans="1:19" x14ac:dyDescent="0.3">
      <c r="A90" s="58">
        <v>3.5</v>
      </c>
      <c r="B90" s="54">
        <f t="shared" si="4"/>
        <v>11.955436618436027</v>
      </c>
      <c r="C90" s="77">
        <f t="shared" si="5"/>
        <v>12.097735054913079</v>
      </c>
    </row>
    <row r="91" spans="1:19" x14ac:dyDescent="0.3">
      <c r="A91" s="58">
        <v>3.75</v>
      </c>
      <c r="B91" s="54">
        <f t="shared" si="4"/>
        <v>11.673085805654054</v>
      </c>
      <c r="C91" s="77">
        <f t="shared" si="5"/>
        <v>11.727197653958545</v>
      </c>
    </row>
    <row r="92" spans="1:19" x14ac:dyDescent="0.3">
      <c r="A92" s="58">
        <v>4</v>
      </c>
      <c r="B92" s="54">
        <f t="shared" si="4"/>
        <v>11.4</v>
      </c>
      <c r="C92" s="77">
        <f t="shared" si="5"/>
        <v>11.368009316682699</v>
      </c>
    </row>
    <row r="93" spans="1:19" x14ac:dyDescent="0.3">
      <c r="A93" s="58">
        <v>4.25</v>
      </c>
      <c r="B93" s="54">
        <f t="shared" si="4"/>
        <v>11.135322904922029</v>
      </c>
      <c r="C93" s="77">
        <f t="shared" si="5"/>
        <v>11.019822436484834</v>
      </c>
    </row>
    <row r="94" spans="1:19" x14ac:dyDescent="0.3">
      <c r="A94" s="58">
        <v>4.5</v>
      </c>
      <c r="B94" s="54">
        <f t="shared" si="4"/>
        <v>10.878322522693539</v>
      </c>
      <c r="C94" s="77">
        <f t="shared" si="5"/>
        <v>10.68230005348825</v>
      </c>
    </row>
    <row r="95" spans="1:19" x14ac:dyDescent="0.3">
      <c r="A95" s="58">
        <v>4.75</v>
      </c>
      <c r="B95" s="54">
        <f t="shared" si="4"/>
        <v>10.628367271387551</v>
      </c>
      <c r="C95" s="77">
        <f t="shared" si="5"/>
        <v>10.355115528445396</v>
      </c>
    </row>
    <row r="96" spans="1:19" x14ac:dyDescent="0.3">
      <c r="A96" s="58">
        <v>5</v>
      </c>
      <c r="B96" s="54">
        <f t="shared" si="4"/>
        <v>10.384907696750904</v>
      </c>
      <c r="C96" s="77">
        <f t="shared" si="5"/>
        <v>10.037952226630823</v>
      </c>
    </row>
    <row r="97" spans="1:4" x14ac:dyDescent="0.3">
      <c r="A97" s="58">
        <v>5.25</v>
      </c>
      <c r="B97" s="54">
        <f t="shared" si="4"/>
        <v>10.147462255844944</v>
      </c>
      <c r="C97" s="77">
        <f t="shared" si="5"/>
        <v>9.7305032114161065</v>
      </c>
      <c r="D97" s="37"/>
    </row>
    <row r="98" spans="1:4" x14ac:dyDescent="0.3">
      <c r="A98" s="50">
        <v>5.5</v>
      </c>
      <c r="B98" s="54">
        <f t="shared" si="4"/>
        <v>9.9156061163796263</v>
      </c>
      <c r="C98" s="77">
        <f t="shared" si="5"/>
        <v>9.432470947230124</v>
      </c>
      <c r="D98" s="37"/>
    </row>
    <row r="99" spans="1:4" s="37" customFormat="1" x14ac:dyDescent="0.3">
      <c r="A99" s="50">
        <v>5.75</v>
      </c>
      <c r="B99" s="54">
        <f t="shared" si="4"/>
        <v>9.6889622248776544</v>
      </c>
      <c r="C99" s="77">
        <f t="shared" si="5"/>
        <v>9.143567011617284</v>
      </c>
    </row>
    <row r="100" spans="1:4" x14ac:dyDescent="0.3">
      <c r="A100" s="61">
        <v>6</v>
      </c>
      <c r="B100" s="54">
        <f t="shared" si="4"/>
        <v>9.4671941060323359</v>
      </c>
      <c r="C100" s="77">
        <f t="shared" si="5"/>
        <v>8.8635118161150164</v>
      </c>
      <c r="D100" s="37"/>
    </row>
    <row r="101" spans="1:4" x14ac:dyDescent="0.3">
      <c r="A101" s="58">
        <v>6.25</v>
      </c>
      <c r="B101" s="54">
        <f t="shared" si="4"/>
        <v>9.25</v>
      </c>
      <c r="C101" s="77">
        <f t="shared" si="5"/>
        <v>8.5920343356804239</v>
      </c>
      <c r="D101" s="37"/>
    </row>
    <row r="102" spans="1:4" x14ac:dyDescent="0.3">
      <c r="A102" s="58">
        <v>6.5</v>
      </c>
      <c r="B102" s="54">
        <f t="shared" si="4"/>
        <v>9.0371080457755131</v>
      </c>
      <c r="C102" s="77">
        <f t="shared" si="5"/>
        <v>8.3288718464041995</v>
      </c>
      <c r="D102" s="37"/>
    </row>
    <row r="103" spans="1:4" x14ac:dyDescent="0.3">
      <c r="A103" s="50">
        <v>6.75</v>
      </c>
      <c r="B103" s="54">
        <f t="shared" si="4"/>
        <v>8.8282722911807419</v>
      </c>
      <c r="C103" s="77">
        <f t="shared" si="5"/>
        <v>8.0737696712580611</v>
      </c>
      <c r="D103" s="37"/>
    </row>
    <row r="104" spans="1:4" x14ac:dyDescent="0.3">
      <c r="A104" s="61">
        <v>7</v>
      </c>
      <c r="B104" s="54">
        <f t="shared" si="4"/>
        <v>8.6232693624222598</v>
      </c>
      <c r="C104" s="77">
        <f t="shared" si="5"/>
        <v>7.8264809336295595</v>
      </c>
      <c r="D104" s="37"/>
    </row>
    <row r="105" spans="1:4" x14ac:dyDescent="0.3">
      <c r="A105" s="58"/>
      <c r="B105" s="62"/>
    </row>
  </sheetData>
  <hyperlinks>
    <hyperlink ref="B15" r:id="rId1" xr:uid="{00000000-0004-0000-0100-000000000000}"/>
    <hyperlink ref="B14" r:id="rId2" xr:uid="{00000000-0004-0000-0100-000001000000}"/>
    <hyperlink ref="B21" r:id="rId3" xr:uid="{00000000-0004-0000-0100-000002000000}"/>
    <hyperlink ref="B22" r:id="rId4" xr:uid="{00000000-0004-0000-0100-000003000000}"/>
    <hyperlink ref="B61" r:id="rId5" xr:uid="{00000000-0004-0000-0100-000004000000}"/>
    <hyperlink ref="B64" r:id="rId6" xr:uid="{00000000-0004-0000-0100-000005000000}"/>
  </hyperlinks>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
  <sheetViews>
    <sheetView topLeftCell="A13" zoomScale="70" zoomScaleNormal="70" workbookViewId="0">
      <selection activeCell="B37" sqref="B37:B40"/>
    </sheetView>
  </sheetViews>
  <sheetFormatPr defaultRowHeight="14.4" x14ac:dyDescent="0.3"/>
  <cols>
    <col min="2" max="2" width="28.88671875" customWidth="1"/>
    <col min="3" max="3" width="20.88671875" customWidth="1"/>
    <col min="4" max="4" width="20.109375" customWidth="1"/>
  </cols>
  <sheetData>
    <row r="1" spans="1:3" x14ac:dyDescent="0.3">
      <c r="A1" s="5" t="s">
        <v>110</v>
      </c>
    </row>
    <row r="3" spans="1:3" x14ac:dyDescent="0.3">
      <c r="A3" s="5" t="s">
        <v>111</v>
      </c>
    </row>
    <row r="4" spans="1:3" x14ac:dyDescent="0.3">
      <c r="B4" t="s">
        <v>114</v>
      </c>
    </row>
    <row r="5" spans="1:3" x14ac:dyDescent="0.3">
      <c r="B5" s="16" t="s">
        <v>112</v>
      </c>
    </row>
    <row r="6" spans="1:3" x14ac:dyDescent="0.3">
      <c r="B6" s="37" t="s">
        <v>113</v>
      </c>
    </row>
    <row r="7" spans="1:3" x14ac:dyDescent="0.3">
      <c r="B7" t="s">
        <v>115</v>
      </c>
    </row>
    <row r="8" spans="1:3" x14ac:dyDescent="0.3">
      <c r="B8" s="37"/>
      <c r="C8" s="37"/>
    </row>
    <row r="9" spans="1:3" x14ac:dyDescent="0.3">
      <c r="B9" s="37" t="s">
        <v>116</v>
      </c>
      <c r="C9" s="37"/>
    </row>
    <row r="10" spans="1:3" x14ac:dyDescent="0.3">
      <c r="B10" s="37"/>
      <c r="C10" s="37"/>
    </row>
    <row r="11" spans="1:3" x14ac:dyDescent="0.3">
      <c r="B11" s="37" t="s">
        <v>117</v>
      </c>
      <c r="C11" s="37"/>
    </row>
    <row r="12" spans="1:3" x14ac:dyDescent="0.3">
      <c r="B12" s="37" t="s">
        <v>119</v>
      </c>
      <c r="C12" s="37"/>
    </row>
    <row r="13" spans="1:3" x14ac:dyDescent="0.3">
      <c r="B13" s="37" t="s">
        <v>118</v>
      </c>
      <c r="C13" s="37"/>
    </row>
    <row r="14" spans="1:3" x14ac:dyDescent="0.3">
      <c r="B14" s="37"/>
      <c r="C14" s="37"/>
    </row>
    <row r="15" spans="1:3" x14ac:dyDescent="0.3">
      <c r="B15" s="37" t="s">
        <v>120</v>
      </c>
      <c r="C15" s="37"/>
    </row>
    <row r="16" spans="1:3" x14ac:dyDescent="0.3">
      <c r="B16" s="37"/>
      <c r="C16" s="37"/>
    </row>
    <row r="17" spans="1:9" x14ac:dyDescent="0.3">
      <c r="B17" s="37" t="s">
        <v>121</v>
      </c>
      <c r="C17" s="37"/>
    </row>
    <row r="18" spans="1:9" x14ac:dyDescent="0.3">
      <c r="B18" t="s">
        <v>122</v>
      </c>
    </row>
    <row r="20" spans="1:9" x14ac:dyDescent="0.3">
      <c r="A20" s="5" t="s">
        <v>123</v>
      </c>
      <c r="B20" s="8"/>
      <c r="C20" s="8"/>
      <c r="D20" s="8"/>
    </row>
    <row r="21" spans="1:9" x14ac:dyDescent="0.3">
      <c r="B21" s="7" t="s">
        <v>17</v>
      </c>
      <c r="C21" s="7">
        <v>7.0000000000000001E-3</v>
      </c>
      <c r="D21" s="7" t="s">
        <v>18</v>
      </c>
      <c r="E21" s="72" t="s">
        <v>172</v>
      </c>
      <c r="F21" s="7"/>
      <c r="G21" s="7"/>
      <c r="H21" s="7"/>
      <c r="I21" s="7"/>
    </row>
    <row r="22" spans="1:9" x14ac:dyDescent="0.3">
      <c r="B22" s="7"/>
      <c r="C22" s="7"/>
      <c r="D22" s="7"/>
      <c r="E22" s="19" t="s">
        <v>127</v>
      </c>
      <c r="F22" s="7"/>
      <c r="G22" s="7"/>
      <c r="H22" s="7"/>
      <c r="I22" s="7"/>
    </row>
    <row r="23" spans="1:9" x14ac:dyDescent="0.3">
      <c r="B23" s="7" t="s">
        <v>26</v>
      </c>
      <c r="C23" s="7">
        <f>(83.6+70.2)/2</f>
        <v>76.900000000000006</v>
      </c>
      <c r="D23" s="7" t="s">
        <v>19</v>
      </c>
      <c r="E23" s="49" t="s">
        <v>125</v>
      </c>
      <c r="F23" s="7"/>
      <c r="G23" s="7"/>
      <c r="I23" s="7"/>
    </row>
    <row r="24" spans="1:9" x14ac:dyDescent="0.3">
      <c r="E24" s="73" t="s">
        <v>124</v>
      </c>
      <c r="F24" s="7"/>
      <c r="G24" s="7"/>
      <c r="H24" s="7"/>
      <c r="I24" s="7"/>
    </row>
    <row r="25" spans="1:9" x14ac:dyDescent="0.3">
      <c r="B25" s="7" t="s">
        <v>27</v>
      </c>
      <c r="C25" s="7">
        <v>16</v>
      </c>
      <c r="D25" s="7" t="s">
        <v>19</v>
      </c>
      <c r="E25" s="72" t="s">
        <v>165</v>
      </c>
      <c r="F25" s="7"/>
      <c r="G25" s="7"/>
      <c r="H25" s="7"/>
      <c r="I25" s="7"/>
    </row>
    <row r="26" spans="1:9" s="37" customFormat="1" x14ac:dyDescent="0.3">
      <c r="B26" s="7"/>
      <c r="C26" s="7"/>
      <c r="D26" s="7"/>
      <c r="E26" s="73" t="s">
        <v>126</v>
      </c>
      <c r="F26" s="7"/>
      <c r="G26" s="7"/>
      <c r="H26" s="7"/>
      <c r="I26" s="7"/>
    </row>
    <row r="27" spans="1:9" x14ac:dyDescent="0.3">
      <c r="B27" s="7" t="s">
        <v>20</v>
      </c>
      <c r="C27" s="7">
        <v>0.5</v>
      </c>
      <c r="D27" s="7" t="s">
        <v>18</v>
      </c>
      <c r="E27" s="72" t="s">
        <v>16</v>
      </c>
      <c r="F27" s="7"/>
      <c r="G27" s="7"/>
      <c r="I27" s="7"/>
    </row>
    <row r="28" spans="1:9" s="37" customFormat="1" x14ac:dyDescent="0.3">
      <c r="B28" s="7"/>
      <c r="C28" s="7"/>
      <c r="D28" s="7"/>
      <c r="E28" s="74" t="s">
        <v>128</v>
      </c>
      <c r="F28" s="7"/>
      <c r="G28" s="7"/>
      <c r="H28" s="7"/>
      <c r="I28" s="7"/>
    </row>
    <row r="29" spans="1:9" x14ac:dyDescent="0.3">
      <c r="B29" s="7" t="s">
        <v>14</v>
      </c>
      <c r="C29" s="7">
        <v>0.7</v>
      </c>
      <c r="D29" s="7" t="s">
        <v>21</v>
      </c>
      <c r="E29" s="72" t="s">
        <v>173</v>
      </c>
      <c r="F29" s="7"/>
      <c r="G29" s="7"/>
      <c r="H29" s="19"/>
      <c r="I29" s="7"/>
    </row>
    <row r="30" spans="1:9" s="37" customFormat="1" x14ac:dyDescent="0.3">
      <c r="B30" s="7"/>
      <c r="C30" s="7"/>
      <c r="D30" s="7"/>
      <c r="E30" s="74" t="s">
        <v>129</v>
      </c>
      <c r="F30" s="7"/>
      <c r="G30" s="7"/>
      <c r="H30" s="19"/>
      <c r="I30" s="7"/>
    </row>
    <row r="31" spans="1:9" s="37" customFormat="1" x14ac:dyDescent="0.3">
      <c r="B31" s="7"/>
      <c r="C31" s="7"/>
      <c r="D31" s="7"/>
      <c r="E31" s="72" t="s">
        <v>130</v>
      </c>
      <c r="F31" s="7"/>
      <c r="G31" s="7"/>
      <c r="H31" s="19"/>
      <c r="I31" s="7"/>
    </row>
    <row r="32" spans="1:9" x14ac:dyDescent="0.3">
      <c r="B32" s="7" t="s">
        <v>15</v>
      </c>
      <c r="C32" s="7">
        <v>1.2250000000000001</v>
      </c>
      <c r="D32" s="7" t="s">
        <v>22</v>
      </c>
      <c r="E32" s="72" t="s">
        <v>30</v>
      </c>
      <c r="F32" s="7"/>
      <c r="G32" s="7"/>
      <c r="H32" s="7"/>
      <c r="I32" s="7"/>
    </row>
    <row r="33" spans="1:9" x14ac:dyDescent="0.3">
      <c r="B33" s="7" t="s">
        <v>0</v>
      </c>
      <c r="C33" s="7">
        <v>9.8000000000000007</v>
      </c>
      <c r="D33" s="7" t="s">
        <v>23</v>
      </c>
      <c r="E33" s="7"/>
      <c r="F33" s="7"/>
      <c r="G33" s="7"/>
      <c r="H33" s="7"/>
      <c r="I33" s="7"/>
    </row>
    <row r="34" spans="1:9" s="37" customFormat="1" x14ac:dyDescent="0.3">
      <c r="B34" s="7"/>
      <c r="C34" s="7"/>
      <c r="D34" s="7"/>
      <c r="E34" s="7"/>
      <c r="F34" s="7"/>
      <c r="G34" s="7"/>
      <c r="H34" s="7"/>
      <c r="I34" s="7"/>
    </row>
    <row r="35" spans="1:9" s="37" customFormat="1" x14ac:dyDescent="0.3">
      <c r="A35" s="5" t="s">
        <v>166</v>
      </c>
      <c r="B35" s="7"/>
      <c r="C35" s="7"/>
      <c r="D35" s="7"/>
      <c r="E35" s="7"/>
      <c r="F35" s="7"/>
      <c r="G35" s="7"/>
      <c r="H35" s="7"/>
      <c r="I35" s="7"/>
    </row>
    <row r="36" spans="1:9" s="37" customFormat="1" x14ac:dyDescent="0.3">
      <c r="A36" s="5"/>
      <c r="B36" s="7" t="s">
        <v>167</v>
      </c>
      <c r="C36" s="7"/>
      <c r="D36" s="7"/>
      <c r="E36" s="7"/>
      <c r="F36" s="7"/>
      <c r="G36" s="7"/>
      <c r="H36" s="7"/>
      <c r="I36" s="7"/>
    </row>
    <row r="37" spans="1:9" s="37" customFormat="1" x14ac:dyDescent="0.3">
      <c r="A37" s="5"/>
      <c r="B37" s="22" t="s">
        <v>168</v>
      </c>
      <c r="C37" s="7"/>
      <c r="D37" s="7"/>
      <c r="E37" s="7"/>
      <c r="F37" s="7"/>
      <c r="G37" s="7"/>
      <c r="H37" s="7"/>
      <c r="I37" s="7"/>
    </row>
    <row r="38" spans="1:9" s="37" customFormat="1" x14ac:dyDescent="0.3">
      <c r="A38" s="5"/>
      <c r="B38" s="88" t="s">
        <v>127</v>
      </c>
      <c r="C38" s="7"/>
      <c r="D38" s="7"/>
      <c r="E38" s="7"/>
      <c r="F38" s="7"/>
      <c r="G38" s="7"/>
      <c r="H38" s="7"/>
      <c r="I38" s="7"/>
    </row>
    <row r="39" spans="1:9" x14ac:dyDescent="0.3">
      <c r="B39" s="22" t="s">
        <v>170</v>
      </c>
      <c r="C39" s="7"/>
      <c r="D39" s="7"/>
      <c r="E39" s="7"/>
      <c r="F39" s="7"/>
      <c r="G39" s="7"/>
      <c r="H39" s="7"/>
      <c r="I39" s="7"/>
    </row>
    <row r="40" spans="1:9" s="37" customFormat="1" x14ac:dyDescent="0.3">
      <c r="B40" s="16" t="s">
        <v>169</v>
      </c>
      <c r="C40" s="7"/>
      <c r="D40" s="7"/>
      <c r="E40" s="7"/>
      <c r="F40" s="7"/>
      <c r="G40" s="7"/>
      <c r="H40" s="7"/>
      <c r="I40" s="7"/>
    </row>
    <row r="41" spans="1:9" s="37" customFormat="1" x14ac:dyDescent="0.3">
      <c r="B41" s="22"/>
      <c r="C41" s="7"/>
      <c r="D41" s="7"/>
      <c r="E41" s="7"/>
      <c r="F41" s="7"/>
      <c r="G41" s="7"/>
      <c r="H41" s="7"/>
      <c r="I41" s="7"/>
    </row>
    <row r="42" spans="1:9" x14ac:dyDescent="0.3">
      <c r="A42" s="5" t="s">
        <v>131</v>
      </c>
      <c r="B42" s="7"/>
      <c r="C42" s="22"/>
      <c r="D42" s="7"/>
      <c r="E42" s="7"/>
      <c r="F42" s="7"/>
      <c r="G42" s="7"/>
      <c r="H42" s="7"/>
      <c r="I42" s="7"/>
    </row>
    <row r="43" spans="1:9" x14ac:dyDescent="0.3">
      <c r="B43" s="22" t="s">
        <v>132</v>
      </c>
      <c r="C43" s="22"/>
      <c r="D43" s="22"/>
      <c r="E43" s="7"/>
      <c r="F43" s="7"/>
      <c r="G43" s="7"/>
      <c r="H43" s="7"/>
      <c r="I43" s="7"/>
    </row>
    <row r="44" spans="1:9" x14ac:dyDescent="0.3">
      <c r="B44" s="22" t="s">
        <v>133</v>
      </c>
    </row>
    <row r="45" spans="1:9" x14ac:dyDescent="0.3">
      <c r="B45" s="16" t="s">
        <v>134</v>
      </c>
    </row>
    <row r="47" spans="1:9" x14ac:dyDescent="0.3">
      <c r="B47" s="37" t="s">
        <v>135</v>
      </c>
    </row>
    <row r="49" spans="1:2" x14ac:dyDescent="0.3">
      <c r="A49" s="5" t="s">
        <v>136</v>
      </c>
    </row>
    <row r="50" spans="1:2" x14ac:dyDescent="0.3">
      <c r="B50" t="s">
        <v>137</v>
      </c>
    </row>
    <row r="51" spans="1:2" x14ac:dyDescent="0.3">
      <c r="B51" s="73" t="s">
        <v>138</v>
      </c>
    </row>
    <row r="53" spans="1:2" x14ac:dyDescent="0.3">
      <c r="A53" s="5" t="s">
        <v>139</v>
      </c>
    </row>
    <row r="54" spans="1:2" x14ac:dyDescent="0.3">
      <c r="B54" t="s">
        <v>143</v>
      </c>
    </row>
    <row r="55" spans="1:2" x14ac:dyDescent="0.3">
      <c r="B55" s="48" t="s">
        <v>140</v>
      </c>
    </row>
    <row r="57" spans="1:2" x14ac:dyDescent="0.3">
      <c r="A57" s="5" t="s">
        <v>162</v>
      </c>
    </row>
    <row r="58" spans="1:2" x14ac:dyDescent="0.3">
      <c r="B58" t="s">
        <v>163</v>
      </c>
    </row>
    <row r="59" spans="1:2" x14ac:dyDescent="0.3">
      <c r="B59" s="73" t="s">
        <v>164</v>
      </c>
    </row>
    <row r="60" spans="1:2" x14ac:dyDescent="0.3">
      <c r="B60" t="s">
        <v>171</v>
      </c>
    </row>
    <row r="62" spans="1:2" x14ac:dyDescent="0.3">
      <c r="A62" s="5" t="s">
        <v>144</v>
      </c>
    </row>
    <row r="63" spans="1:2" x14ac:dyDescent="0.3">
      <c r="B63" t="s">
        <v>145</v>
      </c>
    </row>
    <row r="64" spans="1:2" x14ac:dyDescent="0.3">
      <c r="B64" t="s">
        <v>146</v>
      </c>
    </row>
    <row r="65" spans="2:2" x14ac:dyDescent="0.3">
      <c r="B65" t="s">
        <v>147</v>
      </c>
    </row>
  </sheetData>
  <hyperlinks>
    <hyperlink ref="B5" r:id="rId1" xr:uid="{00000000-0004-0000-0200-000000000000}"/>
    <hyperlink ref="E24" r:id="rId2" xr:uid="{00000000-0004-0000-0200-000001000000}"/>
    <hyperlink ref="E26" r:id="rId3" xr:uid="{00000000-0004-0000-0200-000002000000}"/>
    <hyperlink ref="E22" r:id="rId4" xr:uid="{00000000-0004-0000-0200-000003000000}"/>
    <hyperlink ref="E28" r:id="rId5" xr:uid="{00000000-0004-0000-0200-000004000000}"/>
    <hyperlink ref="E30" r:id="rId6" xr:uid="{00000000-0004-0000-0200-000005000000}"/>
    <hyperlink ref="B45" r:id="rId7" xr:uid="{00000000-0004-0000-0200-000006000000}"/>
    <hyperlink ref="B51" r:id="rId8" xr:uid="{00000000-0004-0000-0200-000007000000}"/>
    <hyperlink ref="B59" r:id="rId9" xr:uid="{00000000-0004-0000-0200-000008000000}"/>
    <hyperlink ref="B40" r:id="rId10" xr:uid="{00000000-0004-0000-0200-000009000000}"/>
    <hyperlink ref="B38" r:id="rId11" xr:uid="{00000000-0004-0000-0200-00000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8"/>
  <sheetViews>
    <sheetView workbookViewId="0">
      <selection activeCell="C1" sqref="C1"/>
    </sheetView>
  </sheetViews>
  <sheetFormatPr defaultColWidth="9.33203125" defaultRowHeight="14.4" x14ac:dyDescent="0.3"/>
  <cols>
    <col min="1" max="16384" width="9.33203125" style="37"/>
  </cols>
  <sheetData>
    <row r="1" spans="1:15" x14ac:dyDescent="0.3">
      <c r="B1" s="37" t="s">
        <v>44</v>
      </c>
      <c r="F1" s="37" t="s">
        <v>42</v>
      </c>
      <c r="I1" s="37" t="s">
        <v>43</v>
      </c>
    </row>
    <row r="2" spans="1:15" x14ac:dyDescent="0.3">
      <c r="A2" s="37" t="s">
        <v>40</v>
      </c>
      <c r="B2" s="37" t="s">
        <v>36</v>
      </c>
      <c r="C2" s="37" t="s">
        <v>37</v>
      </c>
      <c r="D2" s="37" t="s">
        <v>38</v>
      </c>
      <c r="F2" s="37" t="s">
        <v>41</v>
      </c>
      <c r="G2" s="37" t="s">
        <v>34</v>
      </c>
      <c r="H2" s="37" t="s">
        <v>35</v>
      </c>
    </row>
    <row r="3" spans="1:15" x14ac:dyDescent="0.3">
      <c r="A3" s="37">
        <v>0</v>
      </c>
      <c r="B3" s="37">
        <v>0.72</v>
      </c>
      <c r="C3" s="37">
        <v>0.66</v>
      </c>
      <c r="D3" s="37">
        <v>0.49</v>
      </c>
      <c r="F3" s="37">
        <f>Hilliness_detailedCalc!$X4*B3/100</f>
        <v>3.1598227229060784E-2</v>
      </c>
      <c r="G3" s="37">
        <f>Hilliness_detailedCalc!$X4*C3/100</f>
        <v>2.8965041626639057E-2</v>
      </c>
      <c r="H3" s="37">
        <f>Hilliness_detailedCalc!$X4*D3/100</f>
        <v>2.1504349086444146E-2</v>
      </c>
    </row>
    <row r="4" spans="1:15" x14ac:dyDescent="0.3">
      <c r="A4" s="37">
        <v>0.25</v>
      </c>
      <c r="B4" s="37">
        <v>5.15</v>
      </c>
      <c r="C4" s="37">
        <v>4.8099999999999996</v>
      </c>
      <c r="D4" s="37">
        <v>3.8</v>
      </c>
      <c r="F4" s="37">
        <f>Hilliness_detailedCalc!$X5*B4/100</f>
        <v>0.24475218460044548</v>
      </c>
      <c r="G4" s="37">
        <f>Hilliness_detailedCalc!$X5*C4/100</f>
        <v>0.22859378794721213</v>
      </c>
      <c r="H4" s="37">
        <f>Hilliness_detailedCalc!$X5*D4/100</f>
        <v>0.18059384494790148</v>
      </c>
    </row>
    <row r="5" spans="1:15" x14ac:dyDescent="0.3">
      <c r="A5" s="37">
        <v>0.5</v>
      </c>
      <c r="B5" s="37">
        <v>10.7</v>
      </c>
      <c r="C5" s="37">
        <v>9.5399999999999991</v>
      </c>
      <c r="D5" s="37">
        <v>7.97</v>
      </c>
      <c r="F5" s="37">
        <f>Hilliness_detailedCalc!$X6*B5/100</f>
        <v>0.51670689077241982</v>
      </c>
      <c r="G5" s="37">
        <f>Hilliness_detailedCalc!$X6*C5/100</f>
        <v>0.46069006896905462</v>
      </c>
      <c r="H5" s="37">
        <f>Hilliness_detailedCalc!$X6*D5/100</f>
        <v>0.38487419808001738</v>
      </c>
    </row>
    <row r="6" spans="1:15" x14ac:dyDescent="0.3">
      <c r="A6" s="37">
        <v>0.75</v>
      </c>
      <c r="B6" s="37">
        <v>13.37</v>
      </c>
      <c r="C6" s="37">
        <v>11.35</v>
      </c>
      <c r="D6" s="37">
        <v>10.09</v>
      </c>
      <c r="F6" s="37">
        <f>Hilliness_detailedCalc!$X7*B6/100</f>
        <v>0.66203883996517821</v>
      </c>
      <c r="G6" s="37">
        <f>Hilliness_detailedCalc!$X7*C6/100</f>
        <v>0.56201502121202485</v>
      </c>
      <c r="H6" s="37">
        <f>Hilliness_detailedCalc!$X7*D6/100</f>
        <v>0.49962392634619657</v>
      </c>
    </row>
    <row r="7" spans="1:15" x14ac:dyDescent="0.3">
      <c r="A7" s="37">
        <v>1</v>
      </c>
      <c r="B7" s="37">
        <v>13.48</v>
      </c>
      <c r="C7" s="37">
        <v>12.02</v>
      </c>
      <c r="D7" s="37">
        <v>11.1</v>
      </c>
      <c r="F7" s="37">
        <f>Hilliness_detailedCalc!$X8*B7/100</f>
        <v>0.68631383171199356</v>
      </c>
      <c r="G7" s="37">
        <f>Hilliness_detailedCalc!$X8*C7/100</f>
        <v>0.61198013777286075</v>
      </c>
      <c r="H7" s="37">
        <f>Hilliness_detailedCalc!$X8*D7/100</f>
        <v>0.56513972789340716</v>
      </c>
    </row>
    <row r="8" spans="1:15" x14ac:dyDescent="0.3">
      <c r="A8" s="37">
        <v>1.25</v>
      </c>
      <c r="B8" s="37">
        <v>12.08</v>
      </c>
      <c r="C8" s="37">
        <v>11.67</v>
      </c>
      <c r="D8" s="37">
        <v>11.13</v>
      </c>
      <c r="F8" s="37">
        <f>Hilliness_detailedCalc!$X9*B8/100</f>
        <v>0.63271025881282172</v>
      </c>
      <c r="G8" s="37">
        <f>Hilliness_detailedCalc!$X9*C8/100</f>
        <v>0.61123582122066478</v>
      </c>
      <c r="H8" s="37">
        <f>Hilliness_detailedCalc!$X9*D8/100</f>
        <v>0.58295241561148237</v>
      </c>
    </row>
    <row r="9" spans="1:15" x14ac:dyDescent="0.3">
      <c r="A9" s="37">
        <v>1.5</v>
      </c>
      <c r="B9" s="37">
        <v>9.8699999999999992</v>
      </c>
      <c r="C9" s="37">
        <v>10.47</v>
      </c>
      <c r="D9" s="37">
        <v>10.34</v>
      </c>
      <c r="F9" s="37">
        <f>Hilliness_detailedCalc!$X10*B9/100</f>
        <v>0.53157050494501479</v>
      </c>
      <c r="G9" s="37">
        <f>Hilliness_detailedCalc!$X10*C9/100</f>
        <v>0.56388482135504625</v>
      </c>
      <c r="H9" s="37">
        <f>Hilliness_detailedCalc!$X10*D9/100</f>
        <v>0.55688338613287269</v>
      </c>
    </row>
    <row r="10" spans="1:15" x14ac:dyDescent="0.3">
      <c r="A10" s="37">
        <v>1.75</v>
      </c>
      <c r="B10" s="37">
        <v>7.95</v>
      </c>
      <c r="C10" s="37">
        <v>8.85</v>
      </c>
      <c r="D10" s="37">
        <v>9.06</v>
      </c>
      <c r="F10" s="37">
        <f>Hilliness_detailedCalc!$X11*B10/100</f>
        <v>0.43986007030009766</v>
      </c>
      <c r="G10" s="37">
        <f>Hilliness_detailedCalc!$X11*C10/100</f>
        <v>0.4896555499567124</v>
      </c>
      <c r="H10" s="37">
        <f>Hilliness_detailedCalc!$X11*D10/100</f>
        <v>0.50127449520992262</v>
      </c>
      <c r="O10" s="42"/>
    </row>
    <row r="11" spans="1:15" x14ac:dyDescent="0.3">
      <c r="A11" s="37">
        <v>2</v>
      </c>
      <c r="B11" s="37">
        <v>6.43</v>
      </c>
      <c r="C11" s="37">
        <v>7.28</v>
      </c>
      <c r="D11" s="37">
        <v>7.71</v>
      </c>
      <c r="F11" s="37">
        <f>Hilliness_detailedCalc!$X12*B11/100</f>
        <v>0.36505805066187996</v>
      </c>
      <c r="G11" s="37">
        <f>Hilliness_detailedCalc!$X12*C11/100</f>
        <v>0.41331611334657642</v>
      </c>
      <c r="H11" s="37">
        <f>Hilliness_detailedCalc!$X12*D11/100</f>
        <v>0.43772901564589345</v>
      </c>
      <c r="O11" s="42"/>
    </row>
    <row r="12" spans="1:15" x14ac:dyDescent="0.3">
      <c r="A12" s="37">
        <v>2.25</v>
      </c>
      <c r="B12" s="37">
        <v>4.78</v>
      </c>
      <c r="C12" s="37">
        <v>5.61</v>
      </c>
      <c r="D12" s="37">
        <v>6.11</v>
      </c>
      <c r="F12" s="37">
        <f>Hilliness_detailedCalc!$X13*B12/100</f>
        <v>0.2781239567749752</v>
      </c>
      <c r="G12" s="37">
        <f>Hilliness_detailedCalc!$X13*C12/100</f>
        <v>0.32641744717732446</v>
      </c>
      <c r="H12" s="37">
        <f>Hilliness_detailedCalc!$X13*D12/100</f>
        <v>0.35550991127512516</v>
      </c>
      <c r="O12" s="42"/>
    </row>
    <row r="13" spans="1:15" x14ac:dyDescent="0.3">
      <c r="A13" s="37">
        <v>2.5</v>
      </c>
      <c r="B13" s="37">
        <v>3.7</v>
      </c>
      <c r="C13" s="37">
        <v>4.37</v>
      </c>
      <c r="D13" s="37">
        <v>4.9000000000000004</v>
      </c>
      <c r="F13" s="37">
        <f>Hilliness_detailedCalc!$X14*B13/100</f>
        <v>0.22035016886332331</v>
      </c>
      <c r="G13" s="37">
        <f>Hilliness_detailedCalc!$X14*C13/100</f>
        <v>0.26025141565749271</v>
      </c>
      <c r="H13" s="37">
        <f>Hilliness_detailedCalc!$X14*D13/100</f>
        <v>0.29181508849467142</v>
      </c>
      <c r="O13" s="42"/>
    </row>
    <row r="14" spans="1:15" x14ac:dyDescent="0.3">
      <c r="A14" s="37">
        <v>2.75</v>
      </c>
      <c r="B14" s="37">
        <v>2.78</v>
      </c>
      <c r="C14" s="37">
        <v>3.36</v>
      </c>
      <c r="D14" s="37">
        <v>3.9</v>
      </c>
      <c r="F14" s="37">
        <f>Hilliness_detailedCalc!$X15*B14/100</f>
        <v>0.16923932519684834</v>
      </c>
      <c r="G14" s="37">
        <f>Hilliness_detailedCalc!$X15*C14/100</f>
        <v>0.2045482491587807</v>
      </c>
      <c r="H14" s="37">
        <f>Hilliness_detailedCalc!$X15*D14/100</f>
        <v>0.23742207491644191</v>
      </c>
      <c r="O14" s="42"/>
    </row>
    <row r="15" spans="1:15" x14ac:dyDescent="0.3">
      <c r="A15" s="37">
        <v>3</v>
      </c>
      <c r="B15" s="37">
        <v>2.15</v>
      </c>
      <c r="C15" s="37">
        <v>2.5299999999999998</v>
      </c>
      <c r="D15" s="37">
        <v>3.04</v>
      </c>
      <c r="F15" s="37">
        <f>Hilliness_detailedCalc!$X16*B15/100</f>
        <v>0.13362713330075468</v>
      </c>
      <c r="G15" s="37">
        <f>Hilliness_detailedCalc!$X16*C15/100</f>
        <v>0.15724495220972529</v>
      </c>
      <c r="H15" s="37">
        <f>Hilliness_detailedCalc!$X16*D15/100</f>
        <v>0.18894255127176479</v>
      </c>
      <c r="O15" s="42"/>
    </row>
    <row r="16" spans="1:15" x14ac:dyDescent="0.3">
      <c r="A16" s="37">
        <v>3.25</v>
      </c>
      <c r="B16" s="37">
        <v>1.64</v>
      </c>
      <c r="C16" s="37">
        <v>1.93</v>
      </c>
      <c r="D16" s="37">
        <v>2.41</v>
      </c>
      <c r="F16" s="37">
        <f>Hilliness_detailedCalc!$X17*B16/100</f>
        <v>0.10393714710090818</v>
      </c>
      <c r="G16" s="37">
        <f>Hilliness_detailedCalc!$X17*C16/100</f>
        <v>0.12231627677119074</v>
      </c>
      <c r="H16" s="37">
        <f>Hilliness_detailedCalc!$X17*D16/100</f>
        <v>0.15273690519096875</v>
      </c>
      <c r="O16" s="42"/>
    </row>
    <row r="17" spans="1:15" x14ac:dyDescent="0.3">
      <c r="A17" s="37">
        <v>3.5</v>
      </c>
      <c r="B17" s="37">
        <v>1.27</v>
      </c>
      <c r="C17" s="37">
        <v>1.48</v>
      </c>
      <c r="D17" s="37">
        <v>1.9</v>
      </c>
      <c r="F17" s="37">
        <f>Hilliness_detailedCalc!$X18*B17/100</f>
        <v>8.1976827439530511E-2</v>
      </c>
      <c r="G17" s="37">
        <f>Hilliness_detailedCalc!$X18*C17/100</f>
        <v>9.5532050874413507E-2</v>
      </c>
      <c r="H17" s="37">
        <f>Hilliness_detailedCalc!$X18*D17/100</f>
        <v>0.12264249774417949</v>
      </c>
      <c r="O17" s="42"/>
    </row>
    <row r="18" spans="1:15" x14ac:dyDescent="0.3">
      <c r="A18" s="37">
        <v>3.75</v>
      </c>
      <c r="B18" s="37">
        <v>0.94</v>
      </c>
      <c r="C18" s="37">
        <v>1.07</v>
      </c>
      <c r="D18" s="37">
        <v>1.43</v>
      </c>
      <c r="F18" s="37">
        <f>Hilliness_detailedCalc!$X19*B18/100</f>
        <v>6.1728394091138367E-2</v>
      </c>
      <c r="G18" s="37">
        <f>Hilliness_detailedCalc!$X19*C18/100</f>
        <v>7.0265299656934108E-2</v>
      </c>
      <c r="H18" s="37">
        <f>Hilliness_detailedCalc!$X19*D18/100</f>
        <v>9.3905961223753054E-2</v>
      </c>
      <c r="O18" s="42"/>
    </row>
    <row r="19" spans="1:15" x14ac:dyDescent="0.3">
      <c r="A19" s="37">
        <v>4</v>
      </c>
      <c r="B19" s="37">
        <v>0.75</v>
      </c>
      <c r="C19" s="37">
        <v>0.84</v>
      </c>
      <c r="D19" s="37">
        <v>1.1499999999999999</v>
      </c>
      <c r="F19" s="37">
        <f>Hilliness_detailedCalc!$X20*B19/100</f>
        <v>5.0051499672185959E-2</v>
      </c>
      <c r="G19" s="37">
        <f>Hilliness_detailedCalc!$X20*C19/100</f>
        <v>5.6057679632848273E-2</v>
      </c>
      <c r="H19" s="37">
        <f>Hilliness_detailedCalc!$X20*D19/100</f>
        <v>7.6745632830685126E-2</v>
      </c>
      <c r="O19" s="42"/>
    </row>
    <row r="20" spans="1:15" x14ac:dyDescent="0.3">
      <c r="A20" s="37">
        <v>4.25</v>
      </c>
      <c r="B20" s="37">
        <v>0.56000000000000005</v>
      </c>
      <c r="C20" s="37">
        <v>0.61</v>
      </c>
      <c r="D20" s="37">
        <v>0.88</v>
      </c>
      <c r="F20" s="37">
        <f>Hilliness_detailedCalc!$X21*B20/100</f>
        <v>3.7939422938454891E-2</v>
      </c>
      <c r="G20" s="37">
        <f>Hilliness_detailedCalc!$X21*C20/100</f>
        <v>4.1326871415102648E-2</v>
      </c>
      <c r="H20" s="37">
        <f>Hilliness_detailedCalc!$X21*D20/100</f>
        <v>5.9619093189000535E-2</v>
      </c>
      <c r="O20" s="42"/>
    </row>
    <row r="21" spans="1:15" x14ac:dyDescent="0.3">
      <c r="A21" s="37">
        <v>4.5</v>
      </c>
      <c r="B21" s="37">
        <v>0.42</v>
      </c>
      <c r="C21" s="37">
        <v>0.43</v>
      </c>
      <c r="D21" s="37">
        <v>0.65</v>
      </c>
      <c r="F21" s="37">
        <f>Hilliness_detailedCalc!$X22*B21/100</f>
        <v>2.8857944703605951E-2</v>
      </c>
      <c r="G21" s="37">
        <f>Hilliness_detailedCalc!$X22*C21/100</f>
        <v>2.9545038625120378E-2</v>
      </c>
      <c r="H21" s="37">
        <f>Hilliness_detailedCalc!$X22*D21/100</f>
        <v>4.4661104898437783E-2</v>
      </c>
      <c r="O21" s="42"/>
    </row>
    <row r="22" spans="1:15" x14ac:dyDescent="0.3">
      <c r="A22" s="37">
        <v>4.75</v>
      </c>
      <c r="B22" s="37">
        <v>0.32</v>
      </c>
      <c r="C22" s="37">
        <v>0.32</v>
      </c>
      <c r="D22" s="37">
        <v>0.5</v>
      </c>
      <c r="F22" s="37">
        <f>Hilliness_detailedCalc!$X23*B22/100</f>
        <v>2.2277347016777607E-2</v>
      </c>
      <c r="G22" s="37">
        <f>Hilliness_detailedCalc!$X23*C22/100</f>
        <v>2.2277347016777607E-2</v>
      </c>
      <c r="H22" s="37">
        <f>Hilliness_detailedCalc!$X23*D22/100</f>
        <v>3.480835471371501E-2</v>
      </c>
      <c r="O22" s="42"/>
    </row>
    <row r="23" spans="1:15" x14ac:dyDescent="0.3">
      <c r="A23" s="37">
        <v>5</v>
      </c>
      <c r="B23" s="37">
        <v>0.24</v>
      </c>
      <c r="C23" s="37">
        <v>0.23</v>
      </c>
      <c r="D23" s="37">
        <v>0.37</v>
      </c>
      <c r="F23" s="37">
        <f>Hilliness_detailedCalc!$X24*B23/100</f>
        <v>1.6913070484754714E-2</v>
      </c>
      <c r="G23" s="37">
        <f>Hilliness_detailedCalc!$X24*C23/100</f>
        <v>1.6208359214556604E-2</v>
      </c>
      <c r="H23" s="37">
        <f>Hilliness_detailedCalc!$X24*D23/100</f>
        <v>2.6074316997330187E-2</v>
      </c>
      <c r="O23" s="42"/>
    </row>
    <row r="24" spans="1:15" x14ac:dyDescent="0.3">
      <c r="A24" s="37">
        <v>5.25</v>
      </c>
      <c r="B24" s="37">
        <v>0.16</v>
      </c>
      <c r="C24" s="37">
        <v>0.15</v>
      </c>
      <c r="D24" s="37">
        <v>0.26</v>
      </c>
      <c r="F24" s="37">
        <f>Hilliness_detailedCalc!$X25*B24/100</f>
        <v>1.1403667604850469E-2</v>
      </c>
      <c r="G24" s="37">
        <f>Hilliness_detailedCalc!$X25*C24/100</f>
        <v>1.0690938379547314E-2</v>
      </c>
      <c r="H24" s="37">
        <f>Hilliness_detailedCalc!$X25*D24/100</f>
        <v>1.8530959857882012E-2</v>
      </c>
      <c r="O24" s="42"/>
    </row>
    <row r="25" spans="1:15" x14ac:dyDescent="0.3">
      <c r="A25" s="37">
        <v>5.5</v>
      </c>
      <c r="B25" s="37">
        <v>0.13</v>
      </c>
      <c r="C25" s="37">
        <v>0.12</v>
      </c>
      <c r="D25" s="37">
        <v>0.21</v>
      </c>
      <c r="F25" s="37">
        <f>Hilliness_detailedCalc!$X26*B25/100</f>
        <v>9.3629154773582357E-3</v>
      </c>
      <c r="G25" s="37">
        <f>Hilliness_detailedCalc!$X26*C25/100</f>
        <v>8.6426912098691404E-3</v>
      </c>
      <c r="H25" s="37">
        <f>Hilliness_detailedCalc!$X26*D25/100</f>
        <v>1.5124709617270995E-2</v>
      </c>
      <c r="O25" s="42"/>
    </row>
    <row r="26" spans="1:15" x14ac:dyDescent="0.3">
      <c r="A26" s="37">
        <v>5.75</v>
      </c>
      <c r="B26" s="37">
        <v>0.12</v>
      </c>
      <c r="C26" s="37">
        <v>0.09</v>
      </c>
      <c r="D26" s="37">
        <v>0.16</v>
      </c>
      <c r="F26" s="37">
        <f>Hilliness_detailedCalc!$X27*B26/100</f>
        <v>8.7264011369347257E-3</v>
      </c>
      <c r="G26" s="37">
        <f>Hilliness_detailedCalc!$X27*C26/100</f>
        <v>6.5448008527010434E-3</v>
      </c>
      <c r="H26" s="37">
        <f>Hilliness_detailedCalc!$X27*D26/100</f>
        <v>1.1635201515912968E-2</v>
      </c>
      <c r="O26" s="42"/>
    </row>
    <row r="27" spans="1:15" x14ac:dyDescent="0.3">
      <c r="A27" s="37">
        <v>6</v>
      </c>
      <c r="B27" s="37">
        <v>7.0000000000000007E-2</v>
      </c>
      <c r="C27" s="37">
        <v>0.06</v>
      </c>
      <c r="D27" s="37">
        <v>0.11</v>
      </c>
      <c r="F27" s="37">
        <f>Hilliness_detailedCalc!$X28*B27/100</f>
        <v>5.1356248096435918E-3</v>
      </c>
      <c r="G27" s="37">
        <f>Hilliness_detailedCalc!$X28*C27/100</f>
        <v>4.4019641225516498E-3</v>
      </c>
      <c r="H27" s="37">
        <f>Hilliness_detailedCalc!$X28*D27/100</f>
        <v>8.0702675580113584E-3</v>
      </c>
      <c r="O27" s="42"/>
    </row>
    <row r="28" spans="1:15" x14ac:dyDescent="0.3">
      <c r="A28" s="37">
        <v>6.25</v>
      </c>
      <c r="B28" s="37">
        <v>0.05</v>
      </c>
      <c r="C28" s="37">
        <v>0.04</v>
      </c>
      <c r="D28" s="37">
        <v>0.08</v>
      </c>
      <c r="F28" s="37">
        <f>Hilliness_detailedCalc!$X29*B28/100</f>
        <v>3.6980511185042792E-3</v>
      </c>
      <c r="G28" s="37">
        <f>Hilliness_detailedCalc!$X29*C28/100</f>
        <v>2.9584408948034229E-3</v>
      </c>
      <c r="H28" s="37">
        <f>Hilliness_detailedCalc!$X29*D28/100</f>
        <v>5.9168817896068458E-3</v>
      </c>
      <c r="O28" s="42"/>
    </row>
    <row r="29" spans="1:15" x14ac:dyDescent="0.3">
      <c r="A29" s="37">
        <v>6.5</v>
      </c>
      <c r="B29" s="37">
        <v>0.04</v>
      </c>
      <c r="C29" s="37">
        <v>0.03</v>
      </c>
      <c r="D29" s="37">
        <v>0.06</v>
      </c>
      <c r="F29" s="37">
        <f>Hilliness_detailedCalc!$X30*B29/100</f>
        <v>2.9802120758896187E-3</v>
      </c>
      <c r="G29" s="37">
        <f>Hilliness_detailedCalc!$X30*C29/100</f>
        <v>2.235159056917214E-3</v>
      </c>
      <c r="H29" s="37">
        <f>Hilliness_detailedCalc!$X30*D29/100</f>
        <v>4.470318113834428E-3</v>
      </c>
      <c r="O29" s="42"/>
    </row>
    <row r="30" spans="1:15" x14ac:dyDescent="0.3">
      <c r="A30" s="37">
        <v>6.75</v>
      </c>
      <c r="B30" s="37">
        <v>0.02</v>
      </c>
      <c r="C30" s="37">
        <v>0.02</v>
      </c>
      <c r="D30" s="37">
        <v>0.04</v>
      </c>
      <c r="F30" s="37">
        <f>Hilliness_detailedCalc!$X31*B30/100</f>
        <v>1.4999869461103572E-3</v>
      </c>
      <c r="G30" s="37">
        <f>Hilliness_detailedCalc!$X31*C30/100</f>
        <v>1.4999869461103572E-3</v>
      </c>
      <c r="H30" s="37">
        <f>Hilliness_detailedCalc!$X31*D30/100</f>
        <v>2.9999738922207144E-3</v>
      </c>
      <c r="O30" s="42"/>
    </row>
    <row r="31" spans="1:15" x14ac:dyDescent="0.3">
      <c r="A31" s="37" t="s">
        <v>39</v>
      </c>
      <c r="B31" s="37">
        <v>0.09</v>
      </c>
      <c r="C31" s="37">
        <v>0.05</v>
      </c>
      <c r="D31" s="37">
        <v>0.14000000000000001</v>
      </c>
      <c r="F31" s="37">
        <f>Hilliness_detailedCalc!$X32*B31/100</f>
        <v>6.7899243008771861E-3</v>
      </c>
      <c r="G31" s="37">
        <f>Hilliness_detailedCalc!$X32*C31/100</f>
        <v>3.7721801671539929E-3</v>
      </c>
      <c r="H31" s="37">
        <f>Hilliness_detailedCalc!$X32*D31/100</f>
        <v>1.0562104468031179E-2</v>
      </c>
      <c r="O31" s="42"/>
    </row>
    <row r="32" spans="1:15" x14ac:dyDescent="0.3">
      <c r="O32" s="42"/>
    </row>
    <row r="33" spans="15:15" x14ac:dyDescent="0.3">
      <c r="O33" s="42"/>
    </row>
    <row r="34" spans="15:15" x14ac:dyDescent="0.3">
      <c r="O34" s="42"/>
    </row>
    <row r="35" spans="15:15" x14ac:dyDescent="0.3">
      <c r="O35" s="42"/>
    </row>
    <row r="36" spans="15:15" x14ac:dyDescent="0.3">
      <c r="O36" s="42"/>
    </row>
    <row r="37" spans="15:15" x14ac:dyDescent="0.3">
      <c r="O37" s="42"/>
    </row>
    <row r="38" spans="15:15" x14ac:dyDescent="0.3">
      <c r="O38"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7"/>
  <sheetViews>
    <sheetView workbookViewId="0">
      <selection activeCell="L1" sqref="L1:W1048576"/>
    </sheetView>
  </sheetViews>
  <sheetFormatPr defaultColWidth="9.33203125" defaultRowHeight="14.4" x14ac:dyDescent="0.3"/>
  <cols>
    <col min="1" max="16384" width="9.33203125" style="37"/>
  </cols>
  <sheetData>
    <row r="1" spans="1:18" x14ac:dyDescent="0.3">
      <c r="B1" s="37" t="s">
        <v>44</v>
      </c>
      <c r="F1" s="37" t="s">
        <v>51</v>
      </c>
    </row>
    <row r="2" spans="1:18" x14ac:dyDescent="0.3">
      <c r="A2" s="37" t="s">
        <v>40</v>
      </c>
      <c r="B2" s="37" t="s">
        <v>50</v>
      </c>
      <c r="C2" s="37" t="s">
        <v>37</v>
      </c>
      <c r="D2" s="37" t="s">
        <v>38</v>
      </c>
      <c r="F2" s="37" t="s">
        <v>41</v>
      </c>
      <c r="G2" s="37" t="s">
        <v>34</v>
      </c>
      <c r="H2" s="37" t="s">
        <v>35</v>
      </c>
    </row>
    <row r="3" spans="1:18" x14ac:dyDescent="0.3">
      <c r="A3" s="37">
        <v>0</v>
      </c>
      <c r="B3" s="37">
        <v>0.84</v>
      </c>
      <c r="C3" s="37">
        <v>0.64</v>
      </c>
      <c r="D3" s="37">
        <v>0.74</v>
      </c>
      <c r="F3" s="37">
        <f>Hilliness_detailedCalc!$Y4*B3/100</f>
        <v>2.3335290808661386E-2</v>
      </c>
      <c r="G3" s="37">
        <f>Hilliness_detailedCalc!$Y4*C3/100</f>
        <v>1.7779269187551534E-2</v>
      </c>
      <c r="H3" s="37">
        <f>Hilliness_detailedCalc!$Y4*D3/100</f>
        <v>2.0557279998106463E-2</v>
      </c>
    </row>
    <row r="4" spans="1:18" x14ac:dyDescent="0.3">
      <c r="A4" s="37">
        <v>0.25</v>
      </c>
      <c r="B4" s="37">
        <v>4.3600000000000003</v>
      </c>
      <c r="C4" s="37">
        <v>3.4</v>
      </c>
      <c r="D4" s="37">
        <v>3.76</v>
      </c>
      <c r="F4" s="37">
        <f>Hilliness_detailedCalc!$Y5*B4/100</f>
        <v>0.13116245810389854</v>
      </c>
      <c r="G4" s="37">
        <f>Hilliness_detailedCalc!$Y5*C4/100</f>
        <v>0.10228265081496674</v>
      </c>
      <c r="H4" s="37">
        <f>Hilliness_detailedCalc!$Y5*D4/100</f>
        <v>0.11311257854831615</v>
      </c>
      <c r="R4" s="42"/>
    </row>
    <row r="5" spans="1:18" x14ac:dyDescent="0.3">
      <c r="A5" s="37">
        <v>0.5</v>
      </c>
      <c r="B5" s="37">
        <v>7.62</v>
      </c>
      <c r="C5" s="37">
        <v>6.31</v>
      </c>
      <c r="D5" s="37">
        <v>6.72</v>
      </c>
      <c r="F5" s="37">
        <f>Hilliness_detailedCalc!$Y6*B5/100</f>
        <v>0.2329266373238445</v>
      </c>
      <c r="G5" s="37">
        <f>Hilliness_detailedCalc!$Y6*C5/100</f>
        <v>0.19288281909625443</v>
      </c>
      <c r="H5" s="37">
        <f>Hilliness_detailedCalc!$Y6*D5/100</f>
        <v>0.20541561716748494</v>
      </c>
      <c r="R5" s="42"/>
    </row>
    <row r="6" spans="1:18" x14ac:dyDescent="0.3">
      <c r="A6" s="37">
        <v>0.75</v>
      </c>
      <c r="B6" s="37">
        <v>8.5</v>
      </c>
      <c r="C6" s="37">
        <v>7.55</v>
      </c>
      <c r="D6" s="37">
        <v>7.72</v>
      </c>
      <c r="F6" s="37">
        <f>Hilliness_detailedCalc!$Y7*B6/100</f>
        <v>0.26642483009967399</v>
      </c>
      <c r="G6" s="37">
        <f>Hilliness_detailedCalc!$Y7*C6/100</f>
        <v>0.23664793732382808</v>
      </c>
      <c r="H6" s="37">
        <f>Hilliness_detailedCalc!$Y7*D6/100</f>
        <v>0.24197643392582155</v>
      </c>
      <c r="R6" s="42"/>
    </row>
    <row r="7" spans="1:18" x14ac:dyDescent="0.3">
      <c r="A7" s="37">
        <v>1</v>
      </c>
      <c r="B7" s="37">
        <v>8.81</v>
      </c>
      <c r="C7" s="37">
        <v>8.09</v>
      </c>
      <c r="D7" s="37">
        <v>8.32</v>
      </c>
      <c r="F7" s="37">
        <f>Hilliness_detailedCalc!$Y8*B7/100</f>
        <v>0.28393078150765771</v>
      </c>
      <c r="G7" s="37">
        <f>Hilliness_detailedCalc!$Y8*C7/100</f>
        <v>0.26072644976128845</v>
      </c>
      <c r="H7" s="37">
        <f>Hilliness_detailedCalc!$Y8*D7/100</f>
        <v>0.26813894462471199</v>
      </c>
      <c r="R7" s="42"/>
    </row>
    <row r="8" spans="1:18" x14ac:dyDescent="0.3">
      <c r="A8" s="37">
        <v>1.25</v>
      </c>
      <c r="B8" s="37">
        <v>8.93</v>
      </c>
      <c r="C8" s="37">
        <v>8.43</v>
      </c>
      <c r="D8" s="37">
        <v>8.7799999999999994</v>
      </c>
      <c r="F8" s="37">
        <f>Hilliness_detailedCalc!$Y9*B8/100</f>
        <v>0.29606911861661006</v>
      </c>
      <c r="G8" s="37">
        <f>Hilliness_detailedCalc!$Y9*C8/100</f>
        <v>0.27949190032900595</v>
      </c>
      <c r="H8" s="37">
        <f>Hilliness_detailedCalc!$Y9*D8/100</f>
        <v>0.29109595313032882</v>
      </c>
      <c r="R8" s="42"/>
    </row>
    <row r="9" spans="1:18" x14ac:dyDescent="0.3">
      <c r="A9" s="37">
        <v>1.5</v>
      </c>
      <c r="B9" s="37">
        <v>8.68</v>
      </c>
      <c r="C9" s="37">
        <v>8.41</v>
      </c>
      <c r="D9" s="37">
        <v>8.6300000000000008</v>
      </c>
      <c r="F9" s="37">
        <f>Hilliness_detailedCalc!$Y10*B9/100</f>
        <v>0.29591512109322066</v>
      </c>
      <c r="G9" s="37">
        <f>Hilliness_detailedCalc!$Y10*C9/100</f>
        <v>0.28671038806382326</v>
      </c>
      <c r="H9" s="37">
        <f>Hilliness_detailedCalc!$Y10*D9/100</f>
        <v>0.29421054090259152</v>
      </c>
      <c r="N9" s="42"/>
      <c r="R9" s="42"/>
    </row>
    <row r="10" spans="1:18" x14ac:dyDescent="0.3">
      <c r="A10" s="37">
        <v>1.75</v>
      </c>
      <c r="B10" s="37">
        <v>7.84</v>
      </c>
      <c r="C10" s="37">
        <v>7.8</v>
      </c>
      <c r="D10" s="37">
        <v>7.9</v>
      </c>
      <c r="F10" s="37">
        <f>Hilliness_detailedCalc!$Y11*B10/100</f>
        <v>0.27457891422386171</v>
      </c>
      <c r="G10" s="37">
        <f>Hilliness_detailedCalc!$Y11*C10/100</f>
        <v>0.27317800139618892</v>
      </c>
      <c r="H10" s="37">
        <f>Hilliness_detailedCalc!$Y11*D10/100</f>
        <v>0.27668028346537082</v>
      </c>
      <c r="N10" s="42"/>
      <c r="R10" s="42"/>
    </row>
    <row r="11" spans="1:18" x14ac:dyDescent="0.3">
      <c r="A11" s="37">
        <v>2</v>
      </c>
      <c r="B11" s="37">
        <v>7.23</v>
      </c>
      <c r="C11" s="37">
        <v>7.37</v>
      </c>
      <c r="D11" s="37">
        <v>7.34</v>
      </c>
      <c r="F11" s="37">
        <f>Hilliness_detailedCalc!$Y12*B11/100</f>
        <v>0.25983219659077039</v>
      </c>
      <c r="G11" s="37">
        <f>Hilliness_detailedCalc!$Y12*C11/100</f>
        <v>0.26486352543208541</v>
      </c>
      <c r="H11" s="37">
        <f>Hilliness_detailedCalc!$Y12*D11/100</f>
        <v>0.2637853835375179</v>
      </c>
      <c r="N11" s="42"/>
      <c r="R11" s="42"/>
    </row>
    <row r="12" spans="1:18" x14ac:dyDescent="0.3">
      <c r="A12" s="37">
        <v>2.25</v>
      </c>
      <c r="B12" s="37">
        <v>6.18</v>
      </c>
      <c r="C12" s="37">
        <v>6.42</v>
      </c>
      <c r="D12" s="37">
        <v>6.33</v>
      </c>
      <c r="F12" s="37">
        <f>Hilliness_detailedCalc!$Y13*B12/100</f>
        <v>0.22761594800550136</v>
      </c>
      <c r="G12" s="37">
        <f>Hilliness_detailedCalc!$Y13*C12/100</f>
        <v>0.23645540229697715</v>
      </c>
      <c r="H12" s="37">
        <f>Hilliness_detailedCalc!$Y13*D12/100</f>
        <v>0.23314060693767374</v>
      </c>
      <c r="N12" s="42"/>
      <c r="R12" s="42"/>
    </row>
    <row r="13" spans="1:18" x14ac:dyDescent="0.3">
      <c r="A13" s="37">
        <v>2.5</v>
      </c>
      <c r="B13" s="37">
        <v>5.39</v>
      </c>
      <c r="C13" s="37">
        <v>5.72</v>
      </c>
      <c r="D13" s="37">
        <v>5.59</v>
      </c>
      <c r="F13" s="37">
        <f>Hilliness_detailedCalc!$Y14*B13/100</f>
        <v>0.2031908461188397</v>
      </c>
      <c r="G13" s="37">
        <f>Hilliness_detailedCalc!$Y14*C13/100</f>
        <v>0.21563110200366661</v>
      </c>
      <c r="H13" s="37">
        <f>Hilliness_detailedCalc!$Y14*D13/100</f>
        <v>0.21073039513994693</v>
      </c>
      <c r="N13" s="42"/>
      <c r="R13" s="42"/>
    </row>
    <row r="14" spans="1:18" x14ac:dyDescent="0.3">
      <c r="A14" s="37">
        <v>2.75</v>
      </c>
      <c r="B14" s="37">
        <v>4.51</v>
      </c>
      <c r="C14" s="37">
        <v>4.88</v>
      </c>
      <c r="D14" s="37">
        <v>4.7300000000000004</v>
      </c>
      <c r="F14" s="37">
        <f>Hilliness_detailedCalc!$Y15*B14/100</f>
        <v>0.17379478516248867</v>
      </c>
      <c r="G14" s="37">
        <f>Hilliness_detailedCalc!$Y15*C14/100</f>
        <v>0.18805289392304761</v>
      </c>
      <c r="H14" s="37">
        <f>Hilliness_detailedCalc!$Y15*D14/100</f>
        <v>0.18227257956065887</v>
      </c>
      <c r="N14" s="42"/>
      <c r="R14" s="42"/>
    </row>
    <row r="15" spans="1:18" x14ac:dyDescent="0.3">
      <c r="A15" s="37">
        <v>3</v>
      </c>
      <c r="B15" s="37">
        <v>3.83</v>
      </c>
      <c r="C15" s="37">
        <v>4.24</v>
      </c>
      <c r="D15" s="37">
        <v>4.07</v>
      </c>
      <c r="F15" s="37">
        <f>Hilliness_detailedCalc!$Y16*B15/100</f>
        <v>0.15068106311768217</v>
      </c>
      <c r="G15" s="37">
        <f>Hilliness_detailedCalc!$Y16*C15/100</f>
        <v>0.16681141191095886</v>
      </c>
      <c r="H15" s="37">
        <f>Hilliness_detailedCalc!$Y16*D15/100</f>
        <v>0.16012321850886851</v>
      </c>
      <c r="N15" s="42"/>
      <c r="R15" s="42"/>
    </row>
    <row r="16" spans="1:18" x14ac:dyDescent="0.3">
      <c r="A16" s="37">
        <v>3.25</v>
      </c>
      <c r="B16" s="37">
        <v>3.17</v>
      </c>
      <c r="C16" s="37">
        <v>3.58</v>
      </c>
      <c r="D16" s="37">
        <v>3.4</v>
      </c>
      <c r="F16" s="37">
        <f>Hilliness_detailedCalc!$Y17*B16/100</f>
        <v>0.12717153581960572</v>
      </c>
      <c r="G16" s="37">
        <f>Hilliness_detailedCalc!$Y17*C16/100</f>
        <v>0.14361958934832444</v>
      </c>
      <c r="H16" s="37">
        <f>Hilliness_detailedCalc!$Y17*D16/100</f>
        <v>0.13639849267717963</v>
      </c>
      <c r="N16" s="42"/>
      <c r="R16" s="42"/>
    </row>
    <row r="17" spans="1:18" x14ac:dyDescent="0.3">
      <c r="A17" s="37">
        <v>3.5</v>
      </c>
      <c r="B17" s="37">
        <v>2.7</v>
      </c>
      <c r="C17" s="37">
        <v>3.12</v>
      </c>
      <c r="D17" s="37">
        <v>2.93</v>
      </c>
      <c r="F17" s="37">
        <f>Hilliness_detailedCalc!$Y18*B17/100</f>
        <v>0.11032015415504062</v>
      </c>
      <c r="G17" s="37">
        <f>Hilliness_detailedCalc!$Y18*C17/100</f>
        <v>0.12748106702360251</v>
      </c>
      <c r="H17" s="37">
        <f>Hilliness_detailedCalc!$Y18*D17/100</f>
        <v>0.11971779691639593</v>
      </c>
      <c r="N17" s="42"/>
      <c r="R17" s="42"/>
    </row>
    <row r="18" spans="1:18" x14ac:dyDescent="0.3">
      <c r="A18" s="37">
        <v>3.75</v>
      </c>
      <c r="B18" s="37">
        <v>2.12</v>
      </c>
      <c r="C18" s="37">
        <v>2.4900000000000002</v>
      </c>
      <c r="D18" s="37">
        <v>2.33</v>
      </c>
      <c r="F18" s="37">
        <f>Hilliness_detailedCalc!$Y19*B18/100</f>
        <v>8.8124506100578801E-2</v>
      </c>
      <c r="G18" s="37">
        <f>Hilliness_detailedCalc!$Y19*C18/100</f>
        <v>0.10350472650492509</v>
      </c>
      <c r="H18" s="37">
        <f>Hilliness_detailedCalc!$Y19*D18/100</f>
        <v>9.6853820384126696E-2</v>
      </c>
      <c r="N18" s="42"/>
      <c r="R18" s="42"/>
    </row>
    <row r="19" spans="1:18" x14ac:dyDescent="0.3">
      <c r="A19" s="37">
        <v>4</v>
      </c>
      <c r="B19" s="37">
        <v>1.84</v>
      </c>
      <c r="C19" s="37">
        <v>2.19</v>
      </c>
      <c r="D19" s="37">
        <v>2.04</v>
      </c>
      <c r="F19" s="37">
        <f>Hilliness_detailedCalc!$Y20*B19/100</f>
        <v>7.7727976930917902E-2</v>
      </c>
      <c r="G19" s="37">
        <f>Hilliness_detailedCalc!$Y20*C19/100</f>
        <v>9.2513189934081641E-2</v>
      </c>
      <c r="H19" s="37">
        <f>Hilliness_detailedCalc!$Y20*D19/100</f>
        <v>8.6176670075582884E-2</v>
      </c>
      <c r="N19" s="42"/>
      <c r="R19" s="42"/>
    </row>
    <row r="20" spans="1:18" x14ac:dyDescent="0.3">
      <c r="A20" s="37">
        <v>4.25</v>
      </c>
      <c r="B20" s="37">
        <v>1.52</v>
      </c>
      <c r="C20" s="37">
        <v>1.83</v>
      </c>
      <c r="D20" s="37">
        <v>1.7</v>
      </c>
      <c r="F20" s="37">
        <f>Hilliness_detailedCalc!$Y21*B20/100</f>
        <v>6.5185348525828135E-2</v>
      </c>
      <c r="G20" s="37">
        <f>Hilliness_detailedCalc!$Y21*C20/100</f>
        <v>7.8479728817279923E-2</v>
      </c>
      <c r="H20" s="37">
        <f>Hilliness_detailedCalc!$Y21*D20/100</f>
        <v>7.2904666114413041E-2</v>
      </c>
      <c r="N20" s="42"/>
      <c r="R20" s="42"/>
    </row>
    <row r="21" spans="1:18" x14ac:dyDescent="0.3">
      <c r="A21" s="37">
        <v>4.5</v>
      </c>
      <c r="B21" s="37">
        <v>1.18</v>
      </c>
      <c r="C21" s="37">
        <v>1.45</v>
      </c>
      <c r="D21" s="37">
        <v>1.35</v>
      </c>
      <c r="F21" s="37">
        <f>Hilliness_detailedCalc!$Y22*B21/100</f>
        <v>5.1321793373598636E-2</v>
      </c>
      <c r="G21" s="37">
        <f>Hilliness_detailedCalc!$Y22*C21/100</f>
        <v>6.3064915586201711E-2</v>
      </c>
      <c r="H21" s="37">
        <f>Hilliness_detailedCalc!$Y22*D21/100</f>
        <v>5.8715611063015399E-2</v>
      </c>
      <c r="N21" s="42"/>
      <c r="R21" s="42"/>
    </row>
    <row r="22" spans="1:18" x14ac:dyDescent="0.3">
      <c r="A22" s="37">
        <v>4.75</v>
      </c>
      <c r="B22" s="37">
        <v>0.96</v>
      </c>
      <c r="C22" s="37">
        <v>1.19</v>
      </c>
      <c r="D22" s="37">
        <v>1.1100000000000001</v>
      </c>
      <c r="F22" s="37">
        <f>Hilliness_detailedCalc!$Y23*B22/100</f>
        <v>4.2304681984860669E-2</v>
      </c>
      <c r="G22" s="37">
        <f>Hilliness_detailedCalc!$Y23*C22/100</f>
        <v>5.2440178710400201E-2</v>
      </c>
      <c r="H22" s="37">
        <f>Hilliness_detailedCalc!$Y23*D22/100</f>
        <v>4.8914788544995161E-2</v>
      </c>
      <c r="N22" s="42"/>
      <c r="R22" s="42"/>
    </row>
    <row r="23" spans="1:18" x14ac:dyDescent="0.3">
      <c r="A23" s="37">
        <v>5</v>
      </c>
      <c r="B23" s="37">
        <v>0.75</v>
      </c>
      <c r="C23" s="37">
        <v>0.95</v>
      </c>
      <c r="D23" s="37">
        <v>0.87</v>
      </c>
      <c r="F23" s="37">
        <f>Hilliness_detailedCalc!$Y24*B23/100</f>
        <v>3.3456167552655423E-2</v>
      </c>
      <c r="G23" s="37">
        <f>Hilliness_detailedCalc!$Y24*C23/100</f>
        <v>4.2377812233363531E-2</v>
      </c>
      <c r="H23" s="37">
        <f>Hilliness_detailedCalc!$Y24*D23/100</f>
        <v>3.8809154361080289E-2</v>
      </c>
      <c r="N23" s="42"/>
      <c r="R23" s="42"/>
    </row>
    <row r="24" spans="1:18" x14ac:dyDescent="0.3">
      <c r="A24" s="37">
        <v>5.25</v>
      </c>
      <c r="B24" s="37">
        <v>0.59</v>
      </c>
      <c r="C24" s="37">
        <v>0.74</v>
      </c>
      <c r="D24" s="37">
        <v>0.69</v>
      </c>
      <c r="F24" s="37">
        <f>Hilliness_detailedCalc!$Y25*B24/100</f>
        <v>2.66182983773969E-2</v>
      </c>
      <c r="G24" s="37">
        <f>Hilliness_detailedCalc!$Y25*C24/100</f>
        <v>3.3385662371650353E-2</v>
      </c>
      <c r="H24" s="37">
        <f>Hilliness_detailedCalc!$Y25*D24/100</f>
        <v>3.1129874373565864E-2</v>
      </c>
      <c r="N24" s="42"/>
      <c r="R24" s="42"/>
    </row>
    <row r="25" spans="1:18" x14ac:dyDescent="0.3">
      <c r="A25" s="37">
        <v>5.5</v>
      </c>
      <c r="B25" s="37">
        <v>0.5</v>
      </c>
      <c r="C25" s="37">
        <v>0.63</v>
      </c>
      <c r="D25" s="37">
        <v>0.57999999999999996</v>
      </c>
      <c r="F25" s="37">
        <f>Hilliness_detailedCalc!$Y26*B25/100</f>
        <v>2.2795098066029858E-2</v>
      </c>
      <c r="G25" s="37">
        <f>Hilliness_detailedCalc!$Y26*C25/100</f>
        <v>2.8721823563197621E-2</v>
      </c>
      <c r="H25" s="37">
        <f>Hilliness_detailedCalc!$Y26*D25/100</f>
        <v>2.6442313756594629E-2</v>
      </c>
      <c r="N25" s="42"/>
      <c r="R25" s="42"/>
    </row>
    <row r="26" spans="1:18" x14ac:dyDescent="0.3">
      <c r="A26" s="37">
        <v>5.75</v>
      </c>
      <c r="B26" s="37">
        <v>0.42</v>
      </c>
      <c r="C26" s="37">
        <v>0.54</v>
      </c>
      <c r="D26" s="37">
        <v>0.49</v>
      </c>
      <c r="F26" s="37">
        <f>Hilliness_detailedCalc!$Y27*B26/100</f>
        <v>1.9333341718878884E-2</v>
      </c>
      <c r="G26" s="37">
        <f>Hilliness_detailedCalc!$Y27*C26/100</f>
        <v>2.485715363855857E-2</v>
      </c>
      <c r="H26" s="37">
        <f>Hilliness_detailedCalc!$Y27*D26/100</f>
        <v>2.2555565338692032E-2</v>
      </c>
      <c r="N26" s="42"/>
      <c r="R26" s="42"/>
    </row>
    <row r="27" spans="1:18" x14ac:dyDescent="0.3">
      <c r="A27" s="37">
        <v>6</v>
      </c>
      <c r="B27" s="37">
        <v>0.3</v>
      </c>
      <c r="C27" s="37">
        <v>0.39</v>
      </c>
      <c r="D27" s="37">
        <v>0.36</v>
      </c>
      <c r="F27" s="37">
        <f>Hilliness_detailedCalc!$Y28*B27/100</f>
        <v>1.3932216447875971E-2</v>
      </c>
      <c r="G27" s="37">
        <f>Hilliness_detailedCalc!$Y28*C27/100</f>
        <v>1.8111881382238765E-2</v>
      </c>
      <c r="H27" s="37">
        <f>Hilliness_detailedCalc!$Y28*D27/100</f>
        <v>1.6718659737451166E-2</v>
      </c>
      <c r="N27" s="42"/>
      <c r="R27" s="42"/>
    </row>
    <row r="28" spans="1:18" x14ac:dyDescent="0.3">
      <c r="A28" s="37">
        <v>6.25</v>
      </c>
      <c r="B28" s="37">
        <v>0.26</v>
      </c>
      <c r="C28" s="37">
        <v>0.34</v>
      </c>
      <c r="D28" s="37">
        <v>0.32</v>
      </c>
      <c r="F28" s="37">
        <f>Hilliness_detailedCalc!$Y29*B28/100</f>
        <v>1.2172505061668686E-2</v>
      </c>
      <c r="G28" s="37">
        <f>Hilliness_detailedCalc!$Y29*C28/100</f>
        <v>1.591789123448982E-2</v>
      </c>
      <c r="H28" s="37">
        <f>Hilliness_detailedCalc!$Y29*D28/100</f>
        <v>1.4981544691284534E-2</v>
      </c>
      <c r="N28" s="42"/>
      <c r="R28" s="42"/>
    </row>
    <row r="29" spans="1:18" x14ac:dyDescent="0.3">
      <c r="A29" s="37">
        <v>6.5</v>
      </c>
      <c r="B29" s="37">
        <v>0.21</v>
      </c>
      <c r="C29" s="37">
        <v>0.28000000000000003</v>
      </c>
      <c r="D29" s="37">
        <v>0.26</v>
      </c>
      <c r="F29" s="37">
        <f>Hilliness_detailedCalc!$Y30*B29/100</f>
        <v>9.9039897812001759E-3</v>
      </c>
      <c r="G29" s="37">
        <f>Hilliness_detailedCalc!$Y30*C29/100</f>
        <v>1.3205319708266904E-2</v>
      </c>
      <c r="H29" s="37">
        <f>Hilliness_detailedCalc!$Y30*D29/100</f>
        <v>1.2262082586247837E-2</v>
      </c>
      <c r="N29" s="42"/>
      <c r="R29" s="42"/>
    </row>
    <row r="30" spans="1:18" x14ac:dyDescent="0.3">
      <c r="A30" s="37">
        <v>6.75</v>
      </c>
      <c r="B30" s="37">
        <v>0.15</v>
      </c>
      <c r="C30" s="37">
        <v>0.2</v>
      </c>
      <c r="D30" s="37">
        <v>0.19</v>
      </c>
      <c r="F30" s="37">
        <f>Hilliness_detailedCalc!$Y31*B30/100</f>
        <v>7.1211880266589204E-3</v>
      </c>
      <c r="G30" s="37">
        <f>Hilliness_detailedCalc!$Y31*C30/100</f>
        <v>9.4949173688785617E-3</v>
      </c>
      <c r="H30" s="37">
        <f>Hilliness_detailedCalc!$Y31*D30/100</f>
        <v>9.0201715004346334E-3</v>
      </c>
      <c r="N30" s="42"/>
      <c r="R30" s="42"/>
    </row>
    <row r="31" spans="1:18" x14ac:dyDescent="0.3">
      <c r="A31" s="37" t="s">
        <v>39</v>
      </c>
      <c r="B31" s="37">
        <v>0.6</v>
      </c>
      <c r="C31" s="37">
        <v>0.81</v>
      </c>
      <c r="D31" s="37">
        <v>0.77</v>
      </c>
      <c r="F31" s="37">
        <f>Hilliness_detailedCalc!$Y32*B31/100</f>
        <v>2.8653480549701727E-2</v>
      </c>
      <c r="G31" s="37">
        <f>Hilliness_detailedCalc!$Y32*C31/100</f>
        <v>3.8682198742097336E-2</v>
      </c>
      <c r="H31" s="37">
        <f>Hilliness_detailedCalc!$Y32*D31/100</f>
        <v>3.6771966705450548E-2</v>
      </c>
      <c r="N31" s="42"/>
      <c r="R31" s="42"/>
    </row>
    <row r="32" spans="1:18" x14ac:dyDescent="0.3">
      <c r="N32" s="42"/>
      <c r="R32" s="42"/>
    </row>
    <row r="33" spans="14:14" x14ac:dyDescent="0.3">
      <c r="N33" s="42"/>
    </row>
    <row r="34" spans="14:14" x14ac:dyDescent="0.3">
      <c r="N34" s="42"/>
    </row>
    <row r="35" spans="14:14" x14ac:dyDescent="0.3">
      <c r="N35" s="42"/>
    </row>
    <row r="36" spans="14:14" x14ac:dyDescent="0.3">
      <c r="N36" s="42"/>
    </row>
    <row r="37" spans="14:14" x14ac:dyDescent="0.3">
      <c r="N3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8"/>
  <sheetViews>
    <sheetView workbookViewId="0">
      <selection activeCell="J3" sqref="J3:L3"/>
    </sheetView>
  </sheetViews>
  <sheetFormatPr defaultColWidth="9.33203125" defaultRowHeight="14.4" x14ac:dyDescent="0.3"/>
  <cols>
    <col min="1" max="16384" width="9.33203125" style="37"/>
  </cols>
  <sheetData>
    <row r="1" spans="1:15" x14ac:dyDescent="0.3">
      <c r="B1" s="37" t="s">
        <v>44</v>
      </c>
      <c r="F1" s="37" t="s">
        <v>52</v>
      </c>
    </row>
    <row r="2" spans="1:15" x14ac:dyDescent="0.3">
      <c r="A2" s="37" t="s">
        <v>40</v>
      </c>
      <c r="B2" s="37" t="s">
        <v>36</v>
      </c>
      <c r="C2" s="37" t="s">
        <v>37</v>
      </c>
      <c r="D2" s="37" t="s">
        <v>38</v>
      </c>
      <c r="F2" s="37" t="s">
        <v>41</v>
      </c>
      <c r="G2" s="37" t="s">
        <v>34</v>
      </c>
      <c r="H2" s="37" t="s">
        <v>35</v>
      </c>
    </row>
    <row r="3" spans="1:15" x14ac:dyDescent="0.3">
      <c r="A3" s="37">
        <v>0</v>
      </c>
      <c r="B3" s="37">
        <v>0.72</v>
      </c>
      <c r="C3" s="37">
        <v>0.66</v>
      </c>
      <c r="D3" s="37">
        <v>0.49</v>
      </c>
      <c r="F3" s="37">
        <f>Hilliness_detailedCalc!$Z4*B3/100</f>
        <v>1.8638227229060788E-2</v>
      </c>
      <c r="G3" s="37">
        <f>Hilliness_detailedCalc!$Z4*C3/100</f>
        <v>1.7085041626639055E-2</v>
      </c>
      <c r="H3" s="37">
        <f>Hilliness_detailedCalc!$Z4*D3/100</f>
        <v>1.2684349086444146E-2</v>
      </c>
    </row>
    <row r="4" spans="1:15" x14ac:dyDescent="0.3">
      <c r="A4" s="37">
        <v>0.25</v>
      </c>
      <c r="B4" s="37">
        <v>5.15</v>
      </c>
      <c r="C4" s="37">
        <v>4.8099999999999996</v>
      </c>
      <c r="D4" s="37">
        <v>3.8</v>
      </c>
      <c r="F4" s="37">
        <f>Hilliness_detailedCalc!$Z5*B4/100</f>
        <v>0.15205218460044548</v>
      </c>
      <c r="G4" s="37">
        <f>Hilliness_detailedCalc!$Z5*C4/100</f>
        <v>0.14201378794721217</v>
      </c>
      <c r="H4" s="37">
        <f>Hilliness_detailedCalc!$Z5*D4/100</f>
        <v>0.11219384494790149</v>
      </c>
    </row>
    <row r="5" spans="1:15" x14ac:dyDescent="0.3">
      <c r="A5" s="37">
        <v>0.5</v>
      </c>
      <c r="B5" s="37">
        <v>10.7</v>
      </c>
      <c r="C5" s="37">
        <v>9.5399999999999991</v>
      </c>
      <c r="D5" s="37">
        <v>7.97</v>
      </c>
      <c r="F5" s="37">
        <f>Hilliness_detailedCalc!$Z6*B5/100</f>
        <v>0.32410689077241983</v>
      </c>
      <c r="G5" s="37">
        <f>Hilliness_detailedCalc!$Z6*C5/100</f>
        <v>0.28897006896905469</v>
      </c>
      <c r="H5" s="37">
        <f>Hilliness_detailedCalc!$Z6*D5/100</f>
        <v>0.24141419808001741</v>
      </c>
    </row>
    <row r="6" spans="1:15" x14ac:dyDescent="0.3">
      <c r="A6" s="37">
        <v>0.75</v>
      </c>
      <c r="B6" s="37">
        <v>13.37</v>
      </c>
      <c r="C6" s="37">
        <v>11.35</v>
      </c>
      <c r="D6" s="37">
        <v>10.09</v>
      </c>
      <c r="F6" s="37">
        <f>Hilliness_detailedCalc!$Z7*B6/100</f>
        <v>0.42137883996517822</v>
      </c>
      <c r="G6" s="37">
        <f>Hilliness_detailedCalc!$Z7*C6/100</f>
        <v>0.35771502121202486</v>
      </c>
      <c r="H6" s="37">
        <f>Hilliness_detailedCalc!$Z7*D6/100</f>
        <v>0.31800392634619656</v>
      </c>
    </row>
    <row r="7" spans="1:15" x14ac:dyDescent="0.3">
      <c r="A7" s="37">
        <v>1</v>
      </c>
      <c r="B7" s="37">
        <v>13.48</v>
      </c>
      <c r="C7" s="37">
        <v>12.02</v>
      </c>
      <c r="D7" s="37">
        <v>11.1</v>
      </c>
      <c r="F7" s="37">
        <f>Hilliness_detailedCalc!$Z8*B7/100</f>
        <v>0.44367383171199365</v>
      </c>
      <c r="G7" s="37">
        <f>Hilliness_detailedCalc!$Z8*C7/100</f>
        <v>0.39562013777286081</v>
      </c>
      <c r="H7" s="37">
        <f>Hilliness_detailedCalc!$Z8*D7/100</f>
        <v>0.36533972789340724</v>
      </c>
    </row>
    <row r="8" spans="1:15" x14ac:dyDescent="0.3">
      <c r="A8" s="37">
        <v>1.25</v>
      </c>
      <c r="B8" s="37">
        <v>12.08</v>
      </c>
      <c r="C8" s="37">
        <v>11.67</v>
      </c>
      <c r="D8" s="37">
        <v>11.13</v>
      </c>
      <c r="F8" s="37">
        <f>Hilliness_detailedCalc!$Z9*B8/100</f>
        <v>0.41527025881282176</v>
      </c>
      <c r="G8" s="37">
        <f>Hilliness_detailedCalc!$Z9*C8/100</f>
        <v>0.40117582122066481</v>
      </c>
      <c r="H8" s="37">
        <f>Hilliness_detailedCalc!$Z9*D8/100</f>
        <v>0.3826124156114824</v>
      </c>
    </row>
    <row r="9" spans="1:15" x14ac:dyDescent="0.3">
      <c r="A9" s="37">
        <v>1.5</v>
      </c>
      <c r="B9" s="37">
        <v>9.8699999999999992</v>
      </c>
      <c r="C9" s="37">
        <v>10.47</v>
      </c>
      <c r="D9" s="37">
        <v>10.34</v>
      </c>
      <c r="F9" s="37">
        <f>Hilliness_detailedCalc!$Z10*B9/100</f>
        <v>0.35391050494501486</v>
      </c>
      <c r="G9" s="37">
        <f>Hilliness_detailedCalc!$Z10*C9/100</f>
        <v>0.37542482135504618</v>
      </c>
      <c r="H9" s="37">
        <f>Hilliness_detailedCalc!$Z10*D9/100</f>
        <v>0.37076338613287274</v>
      </c>
    </row>
    <row r="10" spans="1:15" x14ac:dyDescent="0.3">
      <c r="A10" s="37">
        <v>1.75</v>
      </c>
      <c r="B10" s="37">
        <v>7.95</v>
      </c>
      <c r="C10" s="37">
        <v>8.85</v>
      </c>
      <c r="D10" s="37">
        <v>9.06</v>
      </c>
      <c r="F10" s="37">
        <f>Hilliness_detailedCalc!$Z11*B10/100</f>
        <v>0.29676007030009766</v>
      </c>
      <c r="G10" s="37">
        <f>Hilliness_detailedCalc!$Z11*C10/100</f>
        <v>0.33035554995671246</v>
      </c>
      <c r="H10" s="37">
        <f>Hilliness_detailedCalc!$Z11*D10/100</f>
        <v>0.33819449520992256</v>
      </c>
      <c r="O10" s="42"/>
    </row>
    <row r="11" spans="1:15" x14ac:dyDescent="0.3">
      <c r="A11" s="37">
        <v>2</v>
      </c>
      <c r="B11" s="37">
        <v>6.43</v>
      </c>
      <c r="C11" s="37">
        <v>7.28</v>
      </c>
      <c r="D11" s="37">
        <v>7.71</v>
      </c>
      <c r="F11" s="37">
        <f>Hilliness_detailedCalc!$Z12*B11/100</f>
        <v>0.24931805066188001</v>
      </c>
      <c r="G11" s="37">
        <f>Hilliness_detailedCalc!$Z12*C11/100</f>
        <v>0.28227611334657643</v>
      </c>
      <c r="H11" s="37">
        <f>Hilliness_detailedCalc!$Z12*D11/100</f>
        <v>0.29894901564589349</v>
      </c>
      <c r="O11" s="42"/>
    </row>
    <row r="12" spans="1:15" x14ac:dyDescent="0.3">
      <c r="A12" s="37">
        <v>2.25</v>
      </c>
      <c r="B12" s="37">
        <v>4.78</v>
      </c>
      <c r="C12" s="37">
        <v>5.61</v>
      </c>
      <c r="D12" s="37">
        <v>6.11</v>
      </c>
      <c r="F12" s="37">
        <f>Hilliness_detailedCalc!$Z13*B12/100</f>
        <v>0.1920839567749752</v>
      </c>
      <c r="G12" s="37">
        <f>Hilliness_detailedCalc!$Z13*C12/100</f>
        <v>0.22543744717732445</v>
      </c>
      <c r="H12" s="37">
        <f>Hilliness_detailedCalc!$Z13*D12/100</f>
        <v>0.24552991127512519</v>
      </c>
      <c r="O12" s="42"/>
    </row>
    <row r="13" spans="1:15" x14ac:dyDescent="0.3">
      <c r="A13" s="37">
        <v>2.5</v>
      </c>
      <c r="B13" s="37">
        <v>3.7</v>
      </c>
      <c r="C13" s="37">
        <v>4.37</v>
      </c>
      <c r="D13" s="37">
        <v>4.9000000000000004</v>
      </c>
      <c r="F13" s="37">
        <f>Hilliness_detailedCalc!$Z14*B13/100</f>
        <v>0.15375016886332332</v>
      </c>
      <c r="G13" s="37">
        <f>Hilliness_detailedCalc!$Z14*C13/100</f>
        <v>0.18159141565749271</v>
      </c>
      <c r="H13" s="37">
        <f>Hilliness_detailedCalc!$Z14*D13/100</f>
        <v>0.20361508849467141</v>
      </c>
      <c r="O13" s="42"/>
    </row>
    <row r="14" spans="1:15" x14ac:dyDescent="0.3">
      <c r="A14" s="37">
        <v>2.75</v>
      </c>
      <c r="B14" s="37">
        <v>2.78</v>
      </c>
      <c r="C14" s="37">
        <v>3.36</v>
      </c>
      <c r="D14" s="37">
        <v>3.9</v>
      </c>
      <c r="F14" s="37">
        <f>Hilliness_detailedCalc!$Z15*B14/100</f>
        <v>0.11919932519684834</v>
      </c>
      <c r="G14" s="37">
        <f>Hilliness_detailedCalc!$Z15*C14/100</f>
        <v>0.14406824915878072</v>
      </c>
      <c r="H14" s="37">
        <f>Hilliness_detailedCalc!$Z15*D14/100</f>
        <v>0.16722207491644192</v>
      </c>
      <c r="O14" s="42"/>
    </row>
    <row r="15" spans="1:15" x14ac:dyDescent="0.3">
      <c r="A15" s="37">
        <v>3</v>
      </c>
      <c r="B15" s="37">
        <v>2.15</v>
      </c>
      <c r="C15" s="37">
        <v>2.5299999999999998</v>
      </c>
      <c r="D15" s="37">
        <v>3.04</v>
      </c>
      <c r="F15" s="37">
        <f>Hilliness_detailedCalc!$Z16*B15/100</f>
        <v>9.4927133300754696E-2</v>
      </c>
      <c r="G15" s="37">
        <f>Hilliness_detailedCalc!$Z16*C15/100</f>
        <v>0.11170495220972528</v>
      </c>
      <c r="H15" s="37">
        <f>Hilliness_detailedCalc!$Z16*D15/100</f>
        <v>0.1342225512717648</v>
      </c>
      <c r="O15" s="42"/>
    </row>
    <row r="16" spans="1:15" x14ac:dyDescent="0.3">
      <c r="A16" s="37">
        <v>3.25</v>
      </c>
      <c r="B16" s="37">
        <v>1.64</v>
      </c>
      <c r="C16" s="37">
        <v>1.93</v>
      </c>
      <c r="D16" s="37">
        <v>2.41</v>
      </c>
      <c r="F16" s="37">
        <f>Hilliness_detailedCalc!$Z17*B16/100</f>
        <v>7.4417147100908188E-2</v>
      </c>
      <c r="G16" s="37">
        <f>Hilliness_detailedCalc!$Z17*C16/100</f>
        <v>8.7576276771190731E-2</v>
      </c>
      <c r="H16" s="37">
        <f>Hilliness_detailedCalc!$Z17*D16/100</f>
        <v>0.10935690519096875</v>
      </c>
      <c r="O16" s="42"/>
    </row>
    <row r="17" spans="1:15" x14ac:dyDescent="0.3">
      <c r="A17" s="37">
        <v>3.5</v>
      </c>
      <c r="B17" s="37">
        <v>1.27</v>
      </c>
      <c r="C17" s="37">
        <v>1.48</v>
      </c>
      <c r="D17" s="37">
        <v>1.9</v>
      </c>
      <c r="F17" s="37">
        <f>Hilliness_detailedCalc!$Z18*B17/100</f>
        <v>5.9116827439530499E-2</v>
      </c>
      <c r="G17" s="37">
        <f>Hilliness_detailedCalc!$Z18*C17/100</f>
        <v>6.8892050874413496E-2</v>
      </c>
      <c r="H17" s="37">
        <f>Hilliness_detailedCalc!$Z18*D17/100</f>
        <v>8.8442497744179477E-2</v>
      </c>
      <c r="O17" s="42"/>
    </row>
    <row r="18" spans="1:15" x14ac:dyDescent="0.3">
      <c r="A18" s="37">
        <v>3.75</v>
      </c>
      <c r="B18" s="37">
        <v>0.94</v>
      </c>
      <c r="C18" s="37">
        <v>1.07</v>
      </c>
      <c r="D18" s="37">
        <v>1.43</v>
      </c>
      <c r="F18" s="37">
        <f>Hilliness_detailedCalc!$Z19*B18/100</f>
        <v>4.4808394091138376E-2</v>
      </c>
      <c r="G18" s="37">
        <f>Hilliness_detailedCalc!$Z19*C18/100</f>
        <v>5.1005299656934115E-2</v>
      </c>
      <c r="H18" s="37">
        <f>Hilliness_detailedCalc!$Z19*D18/100</f>
        <v>6.8165961223753055E-2</v>
      </c>
      <c r="O18" s="42"/>
    </row>
    <row r="19" spans="1:15" x14ac:dyDescent="0.3">
      <c r="A19" s="37">
        <v>4</v>
      </c>
      <c r="B19" s="37">
        <v>0.75</v>
      </c>
      <c r="C19" s="37">
        <v>0.84</v>
      </c>
      <c r="D19" s="37">
        <v>1.1499999999999999</v>
      </c>
      <c r="F19" s="37">
        <f>Hilliness_detailedCalc!$Z20*B19/100</f>
        <v>3.6551499672185954E-2</v>
      </c>
      <c r="G19" s="37">
        <f>Hilliness_detailedCalc!$Z20*C19/100</f>
        <v>4.0937679632848278E-2</v>
      </c>
      <c r="H19" s="37">
        <f>Hilliness_detailedCalc!$Z20*D19/100</f>
        <v>5.604563283068513E-2</v>
      </c>
      <c r="O19" s="42"/>
    </row>
    <row r="20" spans="1:15" x14ac:dyDescent="0.3">
      <c r="A20" s="37">
        <v>4.25</v>
      </c>
      <c r="B20" s="37">
        <v>0.56000000000000005</v>
      </c>
      <c r="C20" s="37">
        <v>0.61</v>
      </c>
      <c r="D20" s="37">
        <v>0.88</v>
      </c>
      <c r="F20" s="37">
        <f>Hilliness_detailedCalc!$Z21*B20/100</f>
        <v>2.7859422938454892E-2</v>
      </c>
      <c r="G20" s="37">
        <f>Hilliness_detailedCalc!$Z21*C20/100</f>
        <v>3.0346871415102644E-2</v>
      </c>
      <c r="H20" s="37">
        <f>Hilliness_detailedCalc!$Z21*D20/100</f>
        <v>4.3779093189000536E-2</v>
      </c>
      <c r="O20" s="42"/>
    </row>
    <row r="21" spans="1:15" x14ac:dyDescent="0.3">
      <c r="A21" s="37">
        <v>4.5</v>
      </c>
      <c r="B21" s="37">
        <v>0.42</v>
      </c>
      <c r="C21" s="37">
        <v>0.43</v>
      </c>
      <c r="D21" s="37">
        <v>0.65</v>
      </c>
      <c r="F21" s="37">
        <f>Hilliness_detailedCalc!$Z22*B21/100</f>
        <v>2.129794470360595E-2</v>
      </c>
      <c r="G21" s="37">
        <f>Hilliness_detailedCalc!$Z22*C21/100</f>
        <v>2.1805038625120378E-2</v>
      </c>
      <c r="H21" s="37">
        <f>Hilliness_detailedCalc!$Z22*D21/100</f>
        <v>3.2961104898437781E-2</v>
      </c>
      <c r="O21" s="42"/>
    </row>
    <row r="22" spans="1:15" x14ac:dyDescent="0.3">
      <c r="A22" s="37">
        <v>4.75</v>
      </c>
      <c r="B22" s="37">
        <v>0.32</v>
      </c>
      <c r="C22" s="37">
        <v>0.32</v>
      </c>
      <c r="D22" s="37">
        <v>0.5</v>
      </c>
      <c r="F22" s="37">
        <f>Hilliness_detailedCalc!$Z23*B22/100</f>
        <v>1.6517347016777605E-2</v>
      </c>
      <c r="G22" s="37">
        <f>Hilliness_detailedCalc!$Z23*C22/100</f>
        <v>1.6517347016777605E-2</v>
      </c>
      <c r="H22" s="37">
        <f>Hilliness_detailedCalc!$Z23*D22/100</f>
        <v>2.5808354713715009E-2</v>
      </c>
      <c r="O22" s="42"/>
    </row>
    <row r="23" spans="1:15" x14ac:dyDescent="0.3">
      <c r="A23" s="37">
        <v>5</v>
      </c>
      <c r="B23" s="37">
        <v>0.24</v>
      </c>
      <c r="C23" s="37">
        <v>0.23</v>
      </c>
      <c r="D23" s="37">
        <v>0.37</v>
      </c>
      <c r="F23" s="37">
        <f>Hilliness_detailedCalc!$Z24*B23/100</f>
        <v>1.2593070484754715E-2</v>
      </c>
      <c r="G23" s="37">
        <f>Hilliness_detailedCalc!$Z24*C23/100</f>
        <v>1.2068359214556602E-2</v>
      </c>
      <c r="H23" s="37">
        <f>Hilliness_detailedCalc!$Z24*D23/100</f>
        <v>1.9414316997330185E-2</v>
      </c>
      <c r="O23" s="42"/>
    </row>
    <row r="24" spans="1:15" x14ac:dyDescent="0.3">
      <c r="A24" s="37">
        <v>5.25</v>
      </c>
      <c r="B24" s="37">
        <v>0.16</v>
      </c>
      <c r="C24" s="37">
        <v>0.15</v>
      </c>
      <c r="D24" s="37">
        <v>0.26</v>
      </c>
      <c r="F24" s="37">
        <f>Hilliness_detailedCalc!$Z25*B24/100</f>
        <v>8.5236676048504687E-3</v>
      </c>
      <c r="G24" s="37">
        <f>Hilliness_detailedCalc!$Z25*C24/100</f>
        <v>7.990938379547315E-3</v>
      </c>
      <c r="H24" s="37">
        <f>Hilliness_detailedCalc!$Z25*D24/100</f>
        <v>1.3850959857882013E-2</v>
      </c>
      <c r="O24" s="42"/>
    </row>
    <row r="25" spans="1:15" x14ac:dyDescent="0.3">
      <c r="A25" s="37">
        <v>5.5</v>
      </c>
      <c r="B25" s="37">
        <v>0.13</v>
      </c>
      <c r="C25" s="37">
        <v>0.12</v>
      </c>
      <c r="D25" s="37">
        <v>0.21</v>
      </c>
      <c r="F25" s="37">
        <f>Hilliness_detailedCalc!$Z26*B25/100</f>
        <v>7.0229154773582356E-3</v>
      </c>
      <c r="G25" s="37">
        <f>Hilliness_detailedCalc!$Z26*C25/100</f>
        <v>6.4826912098691399E-3</v>
      </c>
      <c r="H25" s="37">
        <f>Hilliness_detailedCalc!$Z26*D25/100</f>
        <v>1.1344709617270996E-2</v>
      </c>
      <c r="O25" s="42"/>
    </row>
    <row r="26" spans="1:15" x14ac:dyDescent="0.3">
      <c r="A26" s="37">
        <v>5.75</v>
      </c>
      <c r="B26" s="37">
        <v>0.12</v>
      </c>
      <c r="C26" s="37">
        <v>0.09</v>
      </c>
      <c r="D26" s="37">
        <v>0.16</v>
      </c>
      <c r="F26" s="37">
        <f>Hilliness_detailedCalc!$Z27*B26/100</f>
        <v>6.5664011369347261E-3</v>
      </c>
      <c r="G26" s="37">
        <f>Hilliness_detailedCalc!$Z27*C26/100</f>
        <v>4.9248008527010443E-3</v>
      </c>
      <c r="H26" s="37">
        <f>Hilliness_detailedCalc!$Z27*D26/100</f>
        <v>8.7552015159129675E-3</v>
      </c>
      <c r="O26" s="42"/>
    </row>
    <row r="27" spans="1:15" x14ac:dyDescent="0.3">
      <c r="A27" s="37">
        <v>6</v>
      </c>
      <c r="B27" s="37">
        <v>7.0000000000000007E-2</v>
      </c>
      <c r="C27" s="37">
        <v>0.06</v>
      </c>
      <c r="D27" s="37">
        <v>0.11</v>
      </c>
      <c r="F27" s="37">
        <f>Hilliness_detailedCalc!$Z28*B27/100</f>
        <v>3.875624809643592E-3</v>
      </c>
      <c r="G27" s="37">
        <f>Hilliness_detailedCalc!$Z28*C27/100</f>
        <v>3.32196412255165E-3</v>
      </c>
      <c r="H27" s="37">
        <f>Hilliness_detailedCalc!$Z28*D27/100</f>
        <v>6.0902675580113584E-3</v>
      </c>
      <c r="O27" s="42"/>
    </row>
    <row r="28" spans="1:15" x14ac:dyDescent="0.3">
      <c r="A28" s="37">
        <v>6.25</v>
      </c>
      <c r="B28" s="37">
        <v>0.05</v>
      </c>
      <c r="C28" s="37">
        <v>0.04</v>
      </c>
      <c r="D28" s="37">
        <v>0.08</v>
      </c>
      <c r="F28" s="37">
        <f>Hilliness_detailedCalc!$Z29*B28/100</f>
        <v>2.7980511185042791E-3</v>
      </c>
      <c r="G28" s="37">
        <f>Hilliness_detailedCalc!$Z29*C28/100</f>
        <v>2.2384408948034232E-3</v>
      </c>
      <c r="H28" s="37">
        <f>Hilliness_detailedCalc!$Z29*D28/100</f>
        <v>4.4768817896068463E-3</v>
      </c>
      <c r="O28" s="42"/>
    </row>
    <row r="29" spans="1:15" x14ac:dyDescent="0.3">
      <c r="A29" s="37">
        <v>6.5</v>
      </c>
      <c r="B29" s="37">
        <v>0.04</v>
      </c>
      <c r="C29" s="37">
        <v>0.03</v>
      </c>
      <c r="D29" s="37">
        <v>0.06</v>
      </c>
      <c r="F29" s="37">
        <f>Hilliness_detailedCalc!$Z30*B29/100</f>
        <v>2.260212075889619E-3</v>
      </c>
      <c r="G29" s="37">
        <f>Hilliness_detailedCalc!$Z30*C29/100</f>
        <v>1.6951590569172139E-3</v>
      </c>
      <c r="H29" s="37">
        <f>Hilliness_detailedCalc!$Z30*D29/100</f>
        <v>3.3903181138344278E-3</v>
      </c>
      <c r="O29" s="42"/>
    </row>
    <row r="30" spans="1:15" x14ac:dyDescent="0.3">
      <c r="A30" s="37">
        <v>6.75</v>
      </c>
      <c r="B30" s="37">
        <v>0.02</v>
      </c>
      <c r="C30" s="37">
        <v>0.02</v>
      </c>
      <c r="D30" s="37">
        <v>0.04</v>
      </c>
      <c r="F30" s="37">
        <f>Hilliness_detailedCalc!$Z31*B30/100</f>
        <v>1.1399869461103571E-3</v>
      </c>
      <c r="G30" s="37">
        <f>Hilliness_detailedCalc!$Z31*C30/100</f>
        <v>1.1399869461103571E-3</v>
      </c>
      <c r="H30" s="37">
        <f>Hilliness_detailedCalc!$Z31*D30/100</f>
        <v>2.2799738922207142E-3</v>
      </c>
      <c r="O30" s="42"/>
    </row>
    <row r="31" spans="1:15" x14ac:dyDescent="0.3">
      <c r="A31" s="37" t="s">
        <v>39</v>
      </c>
      <c r="B31" s="37">
        <v>0.09</v>
      </c>
      <c r="C31" s="37">
        <v>0.05</v>
      </c>
      <c r="D31" s="37">
        <v>0.14000000000000001</v>
      </c>
      <c r="F31" s="37">
        <f>Hilliness_detailedCalc!$Z32*B31/100</f>
        <v>5.1699243008771871E-3</v>
      </c>
      <c r="G31" s="37">
        <f>Hilliness_detailedCalc!$Z32*C31/100</f>
        <v>2.8721801671539927E-3</v>
      </c>
      <c r="H31" s="37">
        <f>Hilliness_detailedCalc!$Z32*D31/100</f>
        <v>8.0421044680311811E-3</v>
      </c>
      <c r="O31" s="42"/>
    </row>
    <row r="32" spans="1:15" x14ac:dyDescent="0.3">
      <c r="O32" s="42"/>
    </row>
    <row r="33" spans="15:15" x14ac:dyDescent="0.3">
      <c r="O33" s="42"/>
    </row>
    <row r="34" spans="15:15" x14ac:dyDescent="0.3">
      <c r="O34" s="42"/>
    </row>
    <row r="35" spans="15:15" x14ac:dyDescent="0.3">
      <c r="O35" s="42"/>
    </row>
    <row r="36" spans="15:15" x14ac:dyDescent="0.3">
      <c r="O36" s="42"/>
    </row>
    <row r="37" spans="15:15" x14ac:dyDescent="0.3">
      <c r="O37" s="42"/>
    </row>
    <row r="38" spans="15:15" x14ac:dyDescent="0.3">
      <c r="O38"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Hilliness_detailedCalc</vt:lpstr>
      <vt:lpstr>Hilliness_pct-scripts_input</vt:lpstr>
      <vt:lpstr>Speed assumptions</vt:lpstr>
      <vt:lpstr>Power calculations</vt:lpstr>
      <vt:lpstr>CycleAverage</vt:lpstr>
      <vt:lpstr>WalkAverage</vt:lpstr>
      <vt:lpstr>EbikeAverage</vt:lpstr>
    </vt:vector>
  </TitlesOfParts>
  <Company>MRC Epidemiology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Strain</dc:creator>
  <cp:lastModifiedBy>Anna Goodman</cp:lastModifiedBy>
  <dcterms:created xsi:type="dcterms:W3CDTF">2019-07-29T09:57:25Z</dcterms:created>
  <dcterms:modified xsi:type="dcterms:W3CDTF">2019-08-24T09:29:02Z</dcterms:modified>
</cp:coreProperties>
</file>