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ar\Documents\CFG Degree\DATA\Project\APIs\Rocket Atmospheric Impact\"/>
    </mc:Choice>
  </mc:AlternateContent>
  <xr:revisionPtr revIDLastSave="0" documentId="13_ncr:1_{056C6DE0-5F39-480C-BD74-C8A079D2C3CF}" xr6:coauthVersionLast="47" xr6:coauthVersionMax="47" xr10:uidLastSave="{00000000-0000-0000-0000-000000000000}"/>
  <bookViews>
    <workbookView xWindow="28680" yWindow="-120" windowWidth="29040" windowHeight="15720" activeTab="1" xr2:uid="{762C6FD2-285E-4F5B-BD4F-A35ACD76A315}"/>
  </bookViews>
  <sheets>
    <sheet name="2019 launches" sheetId="3" r:id="rId1"/>
    <sheet name="2019 re-entries" sheetId="2" r:id="rId2"/>
    <sheet name="Historical" sheetId="1" r:id="rId3"/>
    <sheet name="Referenc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O7" i="3" s="1"/>
  <c r="W7" i="3" s="1"/>
  <c r="N9" i="3"/>
  <c r="N11" i="3"/>
  <c r="N14" i="3"/>
  <c r="O14" i="3" s="1"/>
  <c r="N19" i="3"/>
  <c r="O19" i="3" s="1"/>
  <c r="W19" i="3" s="1"/>
  <c r="N20" i="3"/>
  <c r="N21" i="3"/>
  <c r="N22" i="3"/>
  <c r="O22" i="3" s="1"/>
  <c r="N31" i="3"/>
  <c r="O31" i="3" s="1"/>
  <c r="N37" i="3"/>
  <c r="O37" i="3" s="1"/>
  <c r="N39" i="3"/>
  <c r="N42" i="3"/>
  <c r="N47" i="3"/>
  <c r="O47" i="3" s="1"/>
  <c r="N48" i="3"/>
  <c r="N56" i="3"/>
  <c r="O56" i="3" s="1"/>
  <c r="N65" i="3"/>
  <c r="O65" i="3" s="1"/>
  <c r="N66" i="3"/>
  <c r="O66" i="3" s="1"/>
  <c r="N82" i="3"/>
  <c r="O82" i="3" s="1"/>
  <c r="W82" i="3" s="1"/>
  <c r="N86" i="3"/>
  <c r="N89" i="3"/>
  <c r="O89" i="3" s="1"/>
  <c r="N90" i="3"/>
  <c r="O90" i="3" s="1"/>
  <c r="W90" i="3" s="1"/>
  <c r="N93" i="3"/>
  <c r="O93" i="3" s="1"/>
  <c r="W104" i="3"/>
  <c r="V104" i="3"/>
  <c r="V103" i="3"/>
  <c r="W102" i="3"/>
  <c r="V101" i="3"/>
  <c r="W100" i="3"/>
  <c r="V100" i="3"/>
  <c r="V99" i="3"/>
  <c r="U98" i="3"/>
  <c r="O98" i="3"/>
  <c r="T98" i="3" s="1"/>
  <c r="V97" i="3"/>
  <c r="V96" i="3"/>
  <c r="T96" i="3"/>
  <c r="U95" i="3"/>
  <c r="T95" i="3"/>
  <c r="O95" i="3"/>
  <c r="W95" i="3" s="1"/>
  <c r="V94" i="3"/>
  <c r="V93" i="3"/>
  <c r="R93" i="3"/>
  <c r="Q93" i="3"/>
  <c r="T92" i="3"/>
  <c r="U91" i="3"/>
  <c r="O91" i="3"/>
  <c r="V91" i="3" s="1"/>
  <c r="V90" i="3"/>
  <c r="V89" i="3"/>
  <c r="R89" i="3"/>
  <c r="Q89" i="3"/>
  <c r="W88" i="3"/>
  <c r="V88" i="3"/>
  <c r="W87" i="3"/>
  <c r="V87" i="3"/>
  <c r="V86" i="3"/>
  <c r="R86" i="3"/>
  <c r="Q86" i="3"/>
  <c r="O86" i="3"/>
  <c r="Q85" i="3"/>
  <c r="P85" i="3"/>
  <c r="T85" i="3" s="1"/>
  <c r="T84" i="3"/>
  <c r="V83" i="3"/>
  <c r="V82" i="3"/>
  <c r="U81" i="3"/>
  <c r="O81" i="3"/>
  <c r="W81" i="3" s="1"/>
  <c r="V80" i="3"/>
  <c r="T80" i="3"/>
  <c r="U79" i="3"/>
  <c r="O79" i="3"/>
  <c r="V79" i="3" s="1"/>
  <c r="W78" i="3"/>
  <c r="V78" i="3"/>
  <c r="T77" i="3"/>
  <c r="T75" i="3"/>
  <c r="U74" i="3"/>
  <c r="O74" i="3"/>
  <c r="V74" i="3" s="1"/>
  <c r="V73" i="3"/>
  <c r="W72" i="3"/>
  <c r="T72" i="3"/>
  <c r="U71" i="3"/>
  <c r="O71" i="3"/>
  <c r="V71" i="3" s="1"/>
  <c r="Q70" i="3"/>
  <c r="P70" i="3"/>
  <c r="W69" i="3"/>
  <c r="V68" i="3"/>
  <c r="V67" i="3"/>
  <c r="V66" i="3"/>
  <c r="R66" i="3"/>
  <c r="Q66" i="3"/>
  <c r="V65" i="3"/>
  <c r="R65" i="3"/>
  <c r="Q65" i="3"/>
  <c r="V64" i="3"/>
  <c r="U63" i="3"/>
  <c r="O63" i="3"/>
  <c r="W63" i="3" s="1"/>
  <c r="U62" i="3"/>
  <c r="O62" i="3"/>
  <c r="V62" i="3" s="1"/>
  <c r="W61" i="3"/>
  <c r="V60" i="3"/>
  <c r="V58" i="3"/>
  <c r="U57" i="3"/>
  <c r="O57" i="3"/>
  <c r="W57" i="3" s="1"/>
  <c r="V56" i="3"/>
  <c r="R56" i="3"/>
  <c r="Q56" i="3"/>
  <c r="Q55" i="3"/>
  <c r="P55" i="3"/>
  <c r="U54" i="3"/>
  <c r="O54" i="3"/>
  <c r="V54" i="3" s="1"/>
  <c r="W53" i="3"/>
  <c r="U52" i="3"/>
  <c r="T52" i="3"/>
  <c r="O52" i="3"/>
  <c r="W52" i="3" s="1"/>
  <c r="T51" i="3"/>
  <c r="U50" i="3"/>
  <c r="O50" i="3"/>
  <c r="W50" i="3" s="1"/>
  <c r="V49" i="3"/>
  <c r="V48" i="3"/>
  <c r="R48" i="3"/>
  <c r="Q48" i="3"/>
  <c r="O48" i="3"/>
  <c r="V47" i="3"/>
  <c r="R47" i="3"/>
  <c r="Q47" i="3"/>
  <c r="V46" i="3"/>
  <c r="T45" i="3"/>
  <c r="W44" i="3"/>
  <c r="V43" i="3"/>
  <c r="U43" i="3"/>
  <c r="O43" i="3"/>
  <c r="W43" i="3" s="1"/>
  <c r="V42" i="3"/>
  <c r="R42" i="3"/>
  <c r="Q42" i="3"/>
  <c r="O42" i="3"/>
  <c r="V41" i="3"/>
  <c r="T41" i="3"/>
  <c r="V40" i="3"/>
  <c r="T40" i="3"/>
  <c r="V39" i="3"/>
  <c r="R39" i="3"/>
  <c r="Q39" i="3"/>
  <c r="O39" i="3"/>
  <c r="Q38" i="3"/>
  <c r="P38" i="3"/>
  <c r="Q37" i="3"/>
  <c r="P37" i="3"/>
  <c r="U36" i="3"/>
  <c r="O36" i="3"/>
  <c r="V36" i="3" s="1"/>
  <c r="U35" i="3"/>
  <c r="O35" i="3"/>
  <c r="W35" i="3" s="1"/>
  <c r="T34" i="3"/>
  <c r="W33" i="3"/>
  <c r="V32" i="3"/>
  <c r="V31" i="3"/>
  <c r="R31" i="3"/>
  <c r="Q31" i="3"/>
  <c r="T30" i="3"/>
  <c r="W29" i="3"/>
  <c r="V29" i="3"/>
  <c r="U28" i="3"/>
  <c r="O28" i="3"/>
  <c r="V28" i="3" s="1"/>
  <c r="Q27" i="3"/>
  <c r="P27" i="3"/>
  <c r="T26" i="3"/>
  <c r="V25" i="3"/>
  <c r="U24" i="3"/>
  <c r="O24" i="3"/>
  <c r="V24" i="3" s="1"/>
  <c r="W23" i="3"/>
  <c r="T23" i="3"/>
  <c r="Q22" i="3"/>
  <c r="P22" i="3"/>
  <c r="V21" i="3"/>
  <c r="R21" i="3"/>
  <c r="Q21" i="3"/>
  <c r="O21" i="3"/>
  <c r="V20" i="3"/>
  <c r="R20" i="3"/>
  <c r="Q20" i="3"/>
  <c r="O20" i="3"/>
  <c r="V19" i="3"/>
  <c r="U18" i="3"/>
  <c r="O18" i="3"/>
  <c r="V18" i="3" s="1"/>
  <c r="Q17" i="3"/>
  <c r="P17" i="3"/>
  <c r="W16" i="3"/>
  <c r="V16" i="3"/>
  <c r="U15" i="3"/>
  <c r="O15" i="3"/>
  <c r="W15" i="3" s="1"/>
  <c r="V14" i="3"/>
  <c r="R14" i="3"/>
  <c r="Q14" i="3"/>
  <c r="U13" i="3"/>
  <c r="O13" i="3"/>
  <c r="V13" i="3" s="1"/>
  <c r="T12" i="3"/>
  <c r="V11" i="3"/>
  <c r="R11" i="3"/>
  <c r="Q11" i="3"/>
  <c r="O11" i="3"/>
  <c r="T10" i="3"/>
  <c r="V9" i="3"/>
  <c r="R9" i="3"/>
  <c r="Q9" i="3"/>
  <c r="O9" i="3"/>
  <c r="U8" i="3"/>
  <c r="O8" i="3"/>
  <c r="W8" i="3" s="1"/>
  <c r="V7" i="3"/>
  <c r="W6" i="3"/>
  <c r="O5" i="3"/>
  <c r="U5" i="3" s="1"/>
  <c r="W4" i="3"/>
  <c r="V4" i="3"/>
  <c r="T3" i="3"/>
  <c r="U2" i="3"/>
  <c r="O2" i="3"/>
  <c r="V2" i="3" s="1"/>
  <c r="A104" i="3"/>
  <c r="A103" i="3"/>
  <c r="A102" i="3"/>
  <c r="A100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P46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P19" i="2"/>
  <c r="O19" i="2"/>
  <c r="B19" i="2"/>
  <c r="B18" i="2"/>
  <c r="B17" i="2"/>
  <c r="B16" i="2"/>
  <c r="B15" i="2"/>
  <c r="B14" i="2"/>
  <c r="B13" i="2"/>
  <c r="B12" i="2"/>
  <c r="B11" i="2"/>
  <c r="B10" i="2"/>
  <c r="B9" i="2"/>
  <c r="B8" i="2"/>
  <c r="N7" i="2"/>
  <c r="O7" i="2" s="1"/>
  <c r="P7" i="2" s="1"/>
  <c r="P187" i="2" s="1"/>
  <c r="B6" i="2"/>
  <c r="B5" i="2"/>
  <c r="B4" i="2"/>
  <c r="B3" i="2"/>
  <c r="B2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T17" i="3" l="1"/>
  <c r="T48" i="3"/>
  <c r="T38" i="3"/>
  <c r="T70" i="3"/>
  <c r="T93" i="3"/>
  <c r="T37" i="3"/>
  <c r="T22" i="3"/>
  <c r="T66" i="3"/>
  <c r="T9" i="3"/>
  <c r="T39" i="3"/>
  <c r="T42" i="3"/>
  <c r="T21" i="3"/>
  <c r="T27" i="3"/>
  <c r="T55" i="3"/>
  <c r="T56" i="3"/>
  <c r="T86" i="3"/>
  <c r="T31" i="3"/>
  <c r="T47" i="3"/>
  <c r="T89" i="3"/>
  <c r="T14" i="3"/>
  <c r="T20" i="3"/>
  <c r="T65" i="3"/>
  <c r="T11" i="3"/>
</calcChain>
</file>

<file path=xl/sharedStrings.xml><?xml version="1.0" encoding="utf-8"?>
<sst xmlns="http://schemas.openxmlformats.org/spreadsheetml/2006/main" count="1449" uniqueCount="217">
  <si>
    <t>Successful</t>
  </si>
  <si>
    <t>Unsuccessful</t>
  </si>
  <si>
    <t xml:space="preserve">Historical launches: Data compiled by Ed Kyle at https://www.spacelaunchreport.com/ </t>
  </si>
  <si>
    <t>Controlled?</t>
  </si>
  <si>
    <t>Time (UTC)</t>
  </si>
  <si>
    <t>Day</t>
  </si>
  <si>
    <t xml:space="preserve">Month </t>
  </si>
  <si>
    <t>Year</t>
  </si>
  <si>
    <t>Latitude</t>
  </si>
  <si>
    <t xml:space="preserve">Longitude </t>
  </si>
  <si>
    <t>Name</t>
  </si>
  <si>
    <t>Type</t>
  </si>
  <si>
    <t>Part</t>
  </si>
  <si>
    <t>N</t>
  </si>
  <si>
    <t>CZ-2D</t>
  </si>
  <si>
    <t>Rocket body</t>
  </si>
  <si>
    <t>Cosmos 2430</t>
  </si>
  <si>
    <t>Payload</t>
  </si>
  <si>
    <t>Faclon 9</t>
  </si>
  <si>
    <t>Second stage</t>
  </si>
  <si>
    <t>CZ-3B/G3</t>
  </si>
  <si>
    <t>First stage &amp; boosters</t>
  </si>
  <si>
    <t>Y</t>
  </si>
  <si>
    <t>Falcon-9 v1.2 (Block 5)</t>
  </si>
  <si>
    <t>First stage</t>
  </si>
  <si>
    <t>Simorgh</t>
  </si>
  <si>
    <t xml:space="preserve">Prognoz 6 </t>
  </si>
  <si>
    <t>PSLV</t>
  </si>
  <si>
    <t>Epsilon (2) CLPS</t>
  </si>
  <si>
    <t>Delta-4H (upg.)</t>
  </si>
  <si>
    <t>CZ-3B</t>
  </si>
  <si>
    <t>CZ-11</t>
  </si>
  <si>
    <t>Iridium 90</t>
  </si>
  <si>
    <t>PSLV-DL</t>
  </si>
  <si>
    <t>Electron</t>
  </si>
  <si>
    <t>CZ-2C</t>
  </si>
  <si>
    <t>Safir-1B</t>
  </si>
  <si>
    <t>SL-6 (2)</t>
  </si>
  <si>
    <t>Ariane-5ECA</t>
  </si>
  <si>
    <t>Soyuz-2-1b Fregat-M</t>
  </si>
  <si>
    <t>Ariane 44L</t>
  </si>
  <si>
    <t>Soyuz-ST-B Fregat-M</t>
  </si>
  <si>
    <t>RemDeb NET</t>
  </si>
  <si>
    <t>IRNSS 1H/PSLV</t>
  </si>
  <si>
    <t xml:space="preserve">Electon </t>
  </si>
  <si>
    <t>Crew Dragon</t>
  </si>
  <si>
    <t>Ariane 5 Deb (SYLDA)</t>
  </si>
  <si>
    <t>Debris</t>
  </si>
  <si>
    <t>Iridium 32</t>
  </si>
  <si>
    <t>Iridium 59</t>
  </si>
  <si>
    <t>Iridium 91</t>
  </si>
  <si>
    <t>Soyuz-FG</t>
  </si>
  <si>
    <t>Iridium 14</t>
  </si>
  <si>
    <t>Delta-4M+(5,4) (upg.)</t>
  </si>
  <si>
    <t>Iridium 60</t>
  </si>
  <si>
    <t>SL-4</t>
  </si>
  <si>
    <t>Vega</t>
  </si>
  <si>
    <t>SL-6</t>
  </si>
  <si>
    <t>Iridium 95</t>
  </si>
  <si>
    <t>OS-M1</t>
  </si>
  <si>
    <t>Electron KS</t>
  </si>
  <si>
    <t>Iridium 55</t>
  </si>
  <si>
    <t>PSLV-QL</t>
  </si>
  <si>
    <t>Iridium 64</t>
  </si>
  <si>
    <t>Soyuz-2-1a</t>
  </si>
  <si>
    <t>Soyuz-ST-B Fregat-MT</t>
  </si>
  <si>
    <t>GSLV Mk II</t>
  </si>
  <si>
    <t>H-1</t>
  </si>
  <si>
    <t>Iridium 58</t>
  </si>
  <si>
    <t>Breeze-M</t>
  </si>
  <si>
    <t>Falcon-Heavy (Block 5)</t>
  </si>
  <si>
    <t>Falcon 9</t>
  </si>
  <si>
    <t>Antares-230</t>
  </si>
  <si>
    <t>Antares</t>
  </si>
  <si>
    <t>CZ-4B</t>
  </si>
  <si>
    <t>Iridium 54</t>
  </si>
  <si>
    <t>Iridium 24</t>
  </si>
  <si>
    <t>GSLV Mk III</t>
  </si>
  <si>
    <t>CZ-3C/G2</t>
  </si>
  <si>
    <t>PSLV-CA</t>
  </si>
  <si>
    <t>CZ-4C</t>
  </si>
  <si>
    <t xml:space="preserve">Delta 1 </t>
  </si>
  <si>
    <t>Proton-M Briz-M (Ph.3)</t>
  </si>
  <si>
    <t>CZ-11H</t>
  </si>
  <si>
    <t>Soyuz MS</t>
  </si>
  <si>
    <t>Breeze-M (TANK)</t>
  </si>
  <si>
    <t>Soyuz-2-1v Volga</t>
  </si>
  <si>
    <t>Proton-M Blok-DM-03</t>
  </si>
  <si>
    <t>GSLV Mk.3 (2)</t>
  </si>
  <si>
    <t>Iridium 61</t>
  </si>
  <si>
    <t>Hyperbola-1 (Shian Quxian-1)</t>
  </si>
  <si>
    <t>CZ-2C (3)</t>
  </si>
  <si>
    <t>Soyuz-2-1a Fregat-M</t>
  </si>
  <si>
    <t>Dragon-CRS-18</t>
  </si>
  <si>
    <t>Ariane-5ECA+</t>
  </si>
  <si>
    <t>Epsilon</t>
  </si>
  <si>
    <t>Molniya 3-7</t>
  </si>
  <si>
    <t>Atlas-5(551)</t>
  </si>
  <si>
    <t>Jielong-1</t>
  </si>
  <si>
    <t>CZ-3B/G2</t>
  </si>
  <si>
    <t>Delta-4M+(4,2) (upg.)</t>
  </si>
  <si>
    <t>Rokot-KM</t>
  </si>
  <si>
    <t>Kuaizhou-1A</t>
  </si>
  <si>
    <t>Delta 2 (PAM-D)</t>
  </si>
  <si>
    <t>CZ-3B/G3Z</t>
  </si>
  <si>
    <t>H-2B-304</t>
  </si>
  <si>
    <t>CZ-2D (2)</t>
  </si>
  <si>
    <t>CZ-3C</t>
  </si>
  <si>
    <t>Proton-M Briz-M (Ph.4)</t>
  </si>
  <si>
    <t>Pegasus-XL</t>
  </si>
  <si>
    <t>Antares-230+</t>
  </si>
  <si>
    <t>CZ-6</t>
  </si>
  <si>
    <t>KZ-1A</t>
  </si>
  <si>
    <t>Atlas 5 Centaur</t>
  </si>
  <si>
    <t>Cosmos 2422</t>
  </si>
  <si>
    <t>PSLV-XL</t>
  </si>
  <si>
    <t>CZ-3A</t>
  </si>
  <si>
    <t>Soyuz-ST-A Fregat-M</t>
  </si>
  <si>
    <t>Atlas-5(N22)</t>
  </si>
  <si>
    <t>Starliner</t>
  </si>
  <si>
    <t>CZ-5</t>
  </si>
  <si>
    <t>Iridium 97</t>
  </si>
  <si>
    <t>DM-F3</t>
  </si>
  <si>
    <t>Rocket Type</t>
  </si>
  <si>
    <t>Xichang</t>
  </si>
  <si>
    <t>Vandenberg</t>
  </si>
  <si>
    <t>Kagoshima</t>
  </si>
  <si>
    <t>Jiuquan</t>
  </si>
  <si>
    <t>Sriharikota</t>
  </si>
  <si>
    <t>Kourou</t>
  </si>
  <si>
    <t>Baikonur</t>
  </si>
  <si>
    <t>Cape Canaveral</t>
  </si>
  <si>
    <t>Mahia</t>
  </si>
  <si>
    <t>Wallops Island</t>
  </si>
  <si>
    <t>Taiyuan</t>
  </si>
  <si>
    <t>Plesetsk</t>
  </si>
  <si>
    <t>Yellow Sea</t>
  </si>
  <si>
    <t>Vostochny</t>
  </si>
  <si>
    <t>Tanegashima</t>
  </si>
  <si>
    <t>Wenchang</t>
  </si>
  <si>
    <t>Semnan</t>
  </si>
  <si>
    <t>Launch location</t>
  </si>
  <si>
    <t>Hydrogen</t>
  </si>
  <si>
    <t xml:space="preserve">Solid </t>
  </si>
  <si>
    <t>Solid</t>
  </si>
  <si>
    <t>Liquid</t>
  </si>
  <si>
    <t>Hypergolic</t>
  </si>
  <si>
    <t>4 x Hypergolic</t>
  </si>
  <si>
    <t>2 x Hypergolic</t>
  </si>
  <si>
    <t>4 x Kerosene</t>
  </si>
  <si>
    <t>Kerosene</t>
  </si>
  <si>
    <t>2 x Kerosene</t>
  </si>
  <si>
    <t>TP-H8299Al</t>
  </si>
  <si>
    <t>MMHN2O4</t>
  </si>
  <si>
    <t>H2O2Kerosene</t>
  </si>
  <si>
    <t>RFNA  UDMH</t>
  </si>
  <si>
    <t xml:space="preserve">2 x Hydrogen  </t>
  </si>
  <si>
    <t xml:space="preserve">Hydrogen  </t>
  </si>
  <si>
    <t>Solid (HTPB)</t>
  </si>
  <si>
    <t>2 x Solid (HTPB)</t>
  </si>
  <si>
    <t>2 x AP, Al, Solid (HTPB)</t>
  </si>
  <si>
    <t>4 x Solid (HTPB)</t>
  </si>
  <si>
    <t>5 x Solid (HTPB)</t>
  </si>
  <si>
    <t>6 x Solid (HTPB)</t>
  </si>
  <si>
    <t>n/a</t>
  </si>
  <si>
    <t>Booster fuel type</t>
  </si>
  <si>
    <t>Stage 1 fuel type</t>
  </si>
  <si>
    <t>Stage 2 fuel type</t>
  </si>
  <si>
    <t>Stage 3 fuel type</t>
  </si>
  <si>
    <t>Stage 4 fuel type</t>
  </si>
  <si>
    <t xml:space="preserve">Boosters mass (each, kg) </t>
  </si>
  <si>
    <t>Boosters mass (total, kg)</t>
  </si>
  <si>
    <t>Stage 1 mass (kg)</t>
  </si>
  <si>
    <t>Stage 2 mass (kg)</t>
  </si>
  <si>
    <t>Stage 3 mass (kg)</t>
  </si>
  <si>
    <t>Stage 4 mass (kg)</t>
  </si>
  <si>
    <t>Kerosene mass (kg)</t>
  </si>
  <si>
    <t>Hydrogen mass (kg)</t>
  </si>
  <si>
    <t>Hypergolic mass (kg)</t>
  </si>
  <si>
    <t>Solid fuel mass (kg)</t>
  </si>
  <si>
    <t xml:space="preserve">Booster separation altitude (km) </t>
  </si>
  <si>
    <t>Booster mass (km)</t>
  </si>
  <si>
    <t>First stage mass (km)</t>
  </si>
  <si>
    <t xml:space="preserve">Second stage mass (km) </t>
  </si>
  <si>
    <t>Total Mass (km)</t>
  </si>
  <si>
    <t>NOx from re-entry (km)</t>
  </si>
  <si>
    <t>ARIANESPACE. 2014. Vega User’s Manual: www.arianespace.com/wp-content/uploads/2015/09/Vega-Users-Manual_Issue-04_April-2014.pdf [Accessed 1-10-2020].</t>
  </si>
  <si>
    <t>ARIANESPACE. 2018. Soyuz User’s Manual: www.arianespace.com/wp-content/uploads/2015/10/Soyuz-UsersManuel-issue2-Revision1-May18.pdf [Accessed 1-10-2020].</t>
  </si>
  <si>
    <t>ARIANESPACE. 2020. Ariane 5 User’s Manual. Arianespace: www.arianespace.com/wp-content/uploads/2016/10/Ariane5-users-manual-Jun2020.pdf [Accessed 30-9-2020].</t>
  </si>
  <si>
    <t>BRINK, L. J. B. 2020. Modeling the Impact of Fuel Composition on Aircraft Engine NO, CO and Soot Emissions. Master of Science, Massachusetts Institute of Technology.</t>
  </si>
  <si>
    <t>CHINA GREAT WALL INDUSTRY CORPORATION. 2020. Space Transportation: cgwic.com/Launchservice/ [Accessed 5-10-2020].</t>
  </si>
  <si>
    <t>CHINA SPACE REPORT. 2020. Launch Vehicles. China Space Report: chinaspacereport.wordpress.com/launch-vehicles/ [Accessed 5-10-2020].</t>
  </si>
  <si>
    <t>ESA 2021. Database and information system characterizing objects in space. European Space Agency.</t>
  </si>
  <si>
    <t>EUROCKET. 2011. Rockot User’s Guide, Eurocket GMBH: www.eurockot.com/wp-content/uploads/2012/10/UsersGuideIss5Rev0web.pdf [Accessed 1-10-2020].</t>
  </si>
  <si>
    <t>GORMAN, S. 2021. Billionaire Branson soars to space aboard Virgin Galactic flight: www.reuters.com/lifestyle/science/virgin-galactics-branson-ready-space-launch-aboard-rocket-plane-2021-07-11/ [Accessed 20/8/2021].</t>
  </si>
  <si>
    <t>I-SPACE. 2020. Hypebola-1 User Manual: www.i-space.com.cn/statics/ispace/doc/Hyperbola-1 User Manual.pdf [Accessed 5-10-2020].</t>
  </si>
  <si>
    <t>INDIAN SPACE RESEARCH ORGANISATION. 2020a. GSLV Mk III: www.isro.gov.in/launchers/gslv-mk-iii [Accessed 1-10-2020].</t>
  </si>
  <si>
    <t>INDIAN SPACE RESEARCH ORGANISATION. 2020b. Polar Satellite Launch Vehicle: www.isro.gov.in/launchers/pslv [Accessed 1-10-2020].</t>
  </si>
  <si>
    <t>JAPAN AEROSPACE EXPLORATION AGENCY. 2018. Epsilon Launch Vehicle User’s Manual: global.jaxa.jp/projects/rockets/epsilon/pdf/EpsilonUsersManual_e.pdf [Accessed 30-9-2020].</t>
  </si>
  <si>
    <t>JAPAN AEROSPACE EXPLORATION AGENCY. 2020. About H-IIB Launch Vehicle [Online]. Available: https://global.jaxa.jp/projects/rockets/h2b/ [Accessed 5-10-2020].</t>
  </si>
  <si>
    <t>JOHNSON, E. 2021. 'Road to space': billionaire Bezos has successful suborbital jaunt: www.reuters.com/technology/jeff-bezos-worlds-richest-man-set-inaugural-space-voyage-2021-07-20/ [Accessed 20/8/2021].</t>
  </si>
  <si>
    <t>KORDINA, F. 2021. New Shepard vs Spaceship two: everydayastronaut.com/new-shepard-vs-spaceshiptwo/ [Accessed 01/09/2021].</t>
  </si>
  <si>
    <t>KYLE, E. 2020. Space Launch Report: www.spacelaunchreport.com/index.html [Accessed 1-10-2020].</t>
  </si>
  <si>
    <t>LIA, X. 2019. China's commercial carrier rocket Smart Dragon-1 makes maiden flight: www.xinhuanet.com/english/2019-08/17/c_138316300.htm [Accessed 5-10-2020].</t>
  </si>
  <si>
    <t>MOSIER, M. &amp; RUTKOWSKI, E. 1993. Pegasus XL Development and L-1011 Pegasus Carrier Aircraft. Oribital Sciences Corporation.</t>
  </si>
  <si>
    <t>NASA. 2011. Space Shuttle: www.nasa.gov/mission_pages/shuttle/shuttlemissions/shuttle_google_earth.html [Accessed 27/10/2020].</t>
  </si>
  <si>
    <t>NASA 2014. Final Environmental Impact Statement for the Mars 2020 Mission. Washington DC, USA.</t>
  </si>
  <si>
    <t>NORTHROP GRUMMAN. 2020. Antares Fact Sheet: www.northropgrumman.com/wp-content/uploads/DS18012_Antares_081120.pdf [Accessed 1-10-2020].</t>
  </si>
  <si>
    <t>ROCKET LAB USA. 2020. Launch: Payload User’s Guide: www.rocketlabusa.com/assets/Uploads/Rocket-Lab-Launch-Payload-Users-Guide-6.5.pdf [Accessed 1-10-2020].</t>
  </si>
  <si>
    <t>SONG-AN, G. &amp; JUN, G. 1999. LM-4 &amp;LM-2D Launch Vehicles. Cooperation in Space, 430, 499.</t>
  </si>
  <si>
    <t>SPACEX. 2020. Falcon User’s Guide: sma.nasa.gov/LaunchVehicle/assets/spacex-falcon-9-data-sheet.pdf [Accessed 30-9-2020].</t>
  </si>
  <si>
    <t>STARSEM. 2001. Soyuz User’s Manual: www.starsem.com/services/images/soyuz_users_manual_190401.pdf [Accessed 5-10-2020].</t>
  </si>
  <si>
    <t>THE AEROSPACE CORPORATION. 2020. Reentries: aerospace.org/reentries [Accessed 26/10/2020].</t>
  </si>
  <si>
    <t>UNITED LAUNCH ALLIANCE. 2020a. Atlas V: www.ulalaunch.com/rockets/atlas-v [Accessed 1-10-2020].</t>
  </si>
  <si>
    <t>UNITED LAUNCH ALLIANCE. 2020b. Delta IV: www.ulalaunch.com/rockets/delta-iv [Accessed 30-9-2020].</t>
  </si>
  <si>
    <t>WATTLES, J. 2021. SpaceX just brought the first all-tourist crew back from space. Here's what's next. CNN Business: edition.cnn.com/2021/09/20/tech/spacex-inspiration4-space-tourism-whats-next-scn/index.html [Accessed 10/10/2021].</t>
  </si>
  <si>
    <t>Resources for compilation of the 2019 rockets emission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</si>
</sst>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  "/>
    </font>
    <font>
      <sz val="11"/>
      <color rgb="FF0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rgb="FF252525"/>
      <name val="Arial"/>
      <family val="2"/>
    </font>
    <font>
      <u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0" fillId="0" borderId="2" xfId="0" applyBorder="1"/>
    <xf numFmtId="11" fontId="0" fillId="0" borderId="0" xfId="0" applyNumberFormat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4" fillId="0" borderId="0" xfId="2" applyNumberFormat="1" applyFont="1" applyFill="1" applyBorder="1"/>
    <xf numFmtId="165" fontId="4" fillId="0" borderId="0" xfId="2" applyNumberFormat="1" applyFont="1" applyFill="1" applyBorder="1"/>
    <xf numFmtId="1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6" fillId="0" borderId="0" xfId="0" applyFont="1"/>
    <xf numFmtId="165" fontId="0" fillId="0" borderId="3" xfId="0" applyNumberFormat="1" applyBorder="1"/>
    <xf numFmtId="1" fontId="0" fillId="0" borderId="3" xfId="0" applyNumberFormat="1" applyBorder="1"/>
    <xf numFmtId="0" fontId="7" fillId="0" borderId="4" xfId="0" applyFont="1" applyBorder="1"/>
    <xf numFmtId="164" fontId="6" fillId="0" borderId="0" xfId="0" applyNumberFormat="1" applyFont="1"/>
    <xf numFmtId="0" fontId="7" fillId="0" borderId="4" xfId="1" applyFont="1" applyBorder="1"/>
    <xf numFmtId="0" fontId="8" fillId="0" borderId="0" xfId="0" applyFont="1" applyAlignment="1">
      <alignment horizontal="left" vertical="center" wrapText="1"/>
    </xf>
    <xf numFmtId="0" fontId="2" fillId="3" borderId="0" xfId="3"/>
    <xf numFmtId="0" fontId="9" fillId="3" borderId="0" xfId="3" applyFont="1"/>
  </cellXfs>
  <cellStyles count="4">
    <cellStyle name="Accent1" xfId="3" builtinId="29"/>
    <cellStyle name="Hyperlink" xfId="2" builtinId="8"/>
    <cellStyle name="Linked Cell" xfId="1" builtinId="2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52525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52525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/>
        <vertAlign val="baseline"/>
        <sz val="16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4088D8-13D8-4374-B668-C3C6F10AAF59}" name="Table2" displayName="Table2" ref="B1:B31" totalsRowShown="0" headerRowDxfId="2" dataDxfId="1" headerRowCellStyle="Accent1">
  <autoFilter ref="B1:B31" xr:uid="{0C4088D8-13D8-4374-B668-C3C6F10AAF59}"/>
  <tableColumns count="1">
    <tableColumn id="1" xr3:uid="{A7F5FE56-5690-4BF6-8D27-07E7CDE50C2F}" name="Resources for compilation of the 2019 rockets emission invento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318E-CD97-4682-975D-4D48F923F9A4}">
  <dimension ref="A1:Y105"/>
  <sheetViews>
    <sheetView workbookViewId="0">
      <selection activeCell="G6" sqref="G6"/>
    </sheetView>
  </sheetViews>
  <sheetFormatPr defaultRowHeight="14.4"/>
  <cols>
    <col min="1" max="1" width="10" bestFit="1" customWidth="1"/>
    <col min="2" max="2" width="4.109375" bestFit="1" customWidth="1"/>
    <col min="3" max="3" width="6.88671875" bestFit="1" customWidth="1"/>
    <col min="4" max="4" width="5" bestFit="1" customWidth="1"/>
    <col min="5" max="5" width="7.6640625" bestFit="1" customWidth="1"/>
    <col min="6" max="6" width="9.44140625" bestFit="1" customWidth="1"/>
    <col min="7" max="7" width="14" bestFit="1" customWidth="1"/>
    <col min="8" max="8" width="25" bestFit="1" customWidth="1"/>
    <col min="9" max="9" width="22.21875" customWidth="1"/>
    <col min="10" max="10" width="27" customWidth="1"/>
    <col min="11" max="11" width="18.21875" customWidth="1"/>
    <col min="12" max="12" width="14.5546875" bestFit="1" customWidth="1"/>
    <col min="13" max="13" width="14.77734375" customWidth="1"/>
    <col min="14" max="14" width="21.6640625" bestFit="1" customWidth="1"/>
    <col min="15" max="15" width="21.109375" bestFit="1" customWidth="1"/>
    <col min="16" max="19" width="15.6640625" bestFit="1" customWidth="1"/>
    <col min="20" max="20" width="17.44140625" bestFit="1" customWidth="1"/>
    <col min="21" max="21" width="17.88671875" bestFit="1" customWidth="1"/>
    <col min="22" max="22" width="18.5546875" bestFit="1" customWidth="1"/>
    <col min="23" max="23" width="17.44140625" bestFit="1" customWidth="1"/>
    <col min="24" max="24" width="15.77734375" bestFit="1" customWidth="1"/>
    <col min="25" max="25" width="10.6640625" bestFit="1" customWidth="1"/>
  </cols>
  <sheetData>
    <row r="1" spans="1:25" ht="15" thickBot="1">
      <c r="A1" s="18" t="s">
        <v>4</v>
      </c>
      <c r="B1" s="18" t="s">
        <v>5</v>
      </c>
      <c r="C1" s="18" t="s">
        <v>6</v>
      </c>
      <c r="D1" s="18" t="s">
        <v>7</v>
      </c>
      <c r="E1" s="18" t="s">
        <v>8</v>
      </c>
      <c r="F1" s="18" t="s">
        <v>9</v>
      </c>
      <c r="G1" s="18" t="s">
        <v>141</v>
      </c>
      <c r="H1" s="18" t="s">
        <v>123</v>
      </c>
      <c r="I1" s="18" t="s">
        <v>165</v>
      </c>
      <c r="J1" s="18" t="s">
        <v>166</v>
      </c>
      <c r="K1" s="18" t="s">
        <v>167</v>
      </c>
      <c r="L1" s="18" t="s">
        <v>168</v>
      </c>
      <c r="M1" s="18" t="s">
        <v>169</v>
      </c>
      <c r="N1" s="18" t="s">
        <v>170</v>
      </c>
      <c r="O1" s="18" t="s">
        <v>171</v>
      </c>
      <c r="P1" s="18" t="s">
        <v>172</v>
      </c>
      <c r="Q1" s="18" t="s">
        <v>173</v>
      </c>
      <c r="R1" s="18" t="s">
        <v>174</v>
      </c>
      <c r="S1" s="18" t="s">
        <v>175</v>
      </c>
      <c r="T1" s="18" t="s">
        <v>176</v>
      </c>
      <c r="U1" s="18" t="s">
        <v>177</v>
      </c>
      <c r="V1" s="18" t="s">
        <v>178</v>
      </c>
      <c r="W1" s="18" t="s">
        <v>179</v>
      </c>
      <c r="X1" s="18"/>
    </row>
    <row r="2" spans="1:25" ht="15" thickTop="1">
      <c r="A2" s="6">
        <f>17+5/60</f>
        <v>17.083333333333332</v>
      </c>
      <c r="B2">
        <v>10</v>
      </c>
      <c r="C2">
        <v>1</v>
      </c>
      <c r="D2">
        <v>2019</v>
      </c>
      <c r="E2" s="7">
        <v>28.245999999999999</v>
      </c>
      <c r="F2" s="7">
        <v>102.027</v>
      </c>
      <c r="G2" s="8" t="s">
        <v>124</v>
      </c>
      <c r="H2" t="s">
        <v>20</v>
      </c>
      <c r="I2" t="s">
        <v>147</v>
      </c>
      <c r="J2" t="s">
        <v>146</v>
      </c>
      <c r="K2" t="s">
        <v>146</v>
      </c>
      <c r="L2" t="s">
        <v>142</v>
      </c>
      <c r="N2">
        <v>41100</v>
      </c>
      <c r="O2">
        <f>N2*4</f>
        <v>164400</v>
      </c>
      <c r="P2">
        <v>186200</v>
      </c>
      <c r="Q2">
        <v>32600</v>
      </c>
      <c r="R2">
        <v>18200</v>
      </c>
      <c r="S2">
        <v>0</v>
      </c>
      <c r="T2">
        <v>0</v>
      </c>
      <c r="U2">
        <f>R2</f>
        <v>18200</v>
      </c>
      <c r="V2">
        <f>O2+P2+Q2</f>
        <v>383200</v>
      </c>
      <c r="W2">
        <v>0</v>
      </c>
      <c r="Y2" s="9"/>
    </row>
    <row r="3" spans="1:25">
      <c r="A3" s="6">
        <f>15+31/60</f>
        <v>15.516666666666667</v>
      </c>
      <c r="B3">
        <v>11</v>
      </c>
      <c r="C3">
        <v>1</v>
      </c>
      <c r="D3">
        <v>2019</v>
      </c>
      <c r="E3" s="6">
        <v>34.631999999999998</v>
      </c>
      <c r="F3" s="6">
        <v>-120.611</v>
      </c>
      <c r="G3" s="10" t="s">
        <v>125</v>
      </c>
      <c r="H3" t="s">
        <v>23</v>
      </c>
      <c r="I3" t="s">
        <v>164</v>
      </c>
      <c r="J3" t="s">
        <v>150</v>
      </c>
      <c r="K3" t="s">
        <v>150</v>
      </c>
      <c r="L3" t="s">
        <v>164</v>
      </c>
      <c r="M3" t="s">
        <v>164</v>
      </c>
      <c r="N3">
        <v>0</v>
      </c>
      <c r="O3">
        <v>0</v>
      </c>
      <c r="P3" s="9">
        <v>418700</v>
      </c>
      <c r="Q3" s="9">
        <v>111500</v>
      </c>
      <c r="R3" s="9">
        <v>0</v>
      </c>
      <c r="S3" s="9">
        <v>0</v>
      </c>
      <c r="T3" s="9">
        <f>P3+Q3</f>
        <v>530200</v>
      </c>
      <c r="U3">
        <v>0</v>
      </c>
      <c r="V3">
        <v>0</v>
      </c>
      <c r="W3">
        <v>0</v>
      </c>
      <c r="Y3" s="9"/>
    </row>
    <row r="4" spans="1:25">
      <c r="A4" s="6">
        <f>50/60</f>
        <v>0.83333333333333337</v>
      </c>
      <c r="B4">
        <v>18</v>
      </c>
      <c r="C4">
        <v>1</v>
      </c>
      <c r="D4">
        <v>2019</v>
      </c>
      <c r="E4" s="6">
        <v>31.251000000000001</v>
      </c>
      <c r="F4" s="6">
        <v>131.08199999999999</v>
      </c>
      <c r="G4" s="10" t="s">
        <v>126</v>
      </c>
      <c r="H4" t="s">
        <v>28</v>
      </c>
      <c r="I4" t="s">
        <v>164</v>
      </c>
      <c r="J4" t="s">
        <v>158</v>
      </c>
      <c r="K4" t="s">
        <v>158</v>
      </c>
      <c r="L4" t="s">
        <v>158</v>
      </c>
      <c r="M4" t="s">
        <v>146</v>
      </c>
      <c r="N4">
        <v>0</v>
      </c>
      <c r="O4">
        <v>0</v>
      </c>
      <c r="P4">
        <v>66000</v>
      </c>
      <c r="Q4">
        <v>15000</v>
      </c>
      <c r="R4">
        <v>2500</v>
      </c>
      <c r="S4">
        <v>145</v>
      </c>
      <c r="T4">
        <v>0</v>
      </c>
      <c r="U4">
        <v>0</v>
      </c>
      <c r="V4">
        <f>S4</f>
        <v>145</v>
      </c>
      <c r="W4">
        <f>P4+Q4+R4</f>
        <v>83500</v>
      </c>
      <c r="Y4" s="9"/>
    </row>
    <row r="5" spans="1:25">
      <c r="A5" s="6">
        <f>19+5/60</f>
        <v>19.083333333333332</v>
      </c>
      <c r="B5">
        <v>19</v>
      </c>
      <c r="C5">
        <v>1</v>
      </c>
      <c r="D5">
        <v>2019</v>
      </c>
      <c r="E5" s="6">
        <v>34.582000000000001</v>
      </c>
      <c r="F5" s="6">
        <v>-120.626</v>
      </c>
      <c r="G5" s="10" t="s">
        <v>125</v>
      </c>
      <c r="H5" t="s">
        <v>29</v>
      </c>
      <c r="I5" t="s">
        <v>156</v>
      </c>
      <c r="J5" t="s">
        <v>157</v>
      </c>
      <c r="K5" t="s">
        <v>157</v>
      </c>
      <c r="L5" t="s">
        <v>164</v>
      </c>
      <c r="M5" t="s">
        <v>164</v>
      </c>
      <c r="N5" s="9">
        <v>204000</v>
      </c>
      <c r="O5" s="9">
        <f>2*N5</f>
        <v>408000</v>
      </c>
      <c r="P5" s="9">
        <v>204000</v>
      </c>
      <c r="Q5" s="9">
        <v>27200</v>
      </c>
      <c r="R5" s="9">
        <v>0</v>
      </c>
      <c r="S5">
        <v>0</v>
      </c>
      <c r="T5">
        <v>0</v>
      </c>
      <c r="U5" s="9">
        <f>O5+P5+Q5</f>
        <v>639200</v>
      </c>
      <c r="V5">
        <v>0</v>
      </c>
      <c r="W5">
        <v>0</v>
      </c>
      <c r="Y5" s="9"/>
    </row>
    <row r="6" spans="1:25">
      <c r="A6" s="6">
        <f>5+42/60</f>
        <v>5.7</v>
      </c>
      <c r="B6">
        <v>21</v>
      </c>
      <c r="C6">
        <v>1</v>
      </c>
      <c r="D6">
        <v>2019</v>
      </c>
      <c r="E6" s="11">
        <v>40.960999999999999</v>
      </c>
      <c r="F6" s="11">
        <v>100.298</v>
      </c>
      <c r="G6" s="12" t="s">
        <v>127</v>
      </c>
      <c r="H6" t="s">
        <v>31</v>
      </c>
      <c r="I6" t="s">
        <v>164</v>
      </c>
      <c r="J6" t="s">
        <v>144</v>
      </c>
      <c r="K6" t="s">
        <v>144</v>
      </c>
      <c r="L6" t="s">
        <v>144</v>
      </c>
      <c r="M6" t="s">
        <v>143</v>
      </c>
      <c r="N6">
        <v>0</v>
      </c>
      <c r="O6">
        <v>0</v>
      </c>
      <c r="P6">
        <v>35000</v>
      </c>
      <c r="Q6">
        <v>10000</v>
      </c>
      <c r="R6">
        <v>4050</v>
      </c>
      <c r="S6">
        <v>220</v>
      </c>
      <c r="T6">
        <v>0</v>
      </c>
      <c r="U6">
        <v>0</v>
      </c>
      <c r="V6">
        <v>0</v>
      </c>
      <c r="W6">
        <f>SUM(P6:S6)</f>
        <v>49270</v>
      </c>
      <c r="Y6" s="9"/>
    </row>
    <row r="7" spans="1:25">
      <c r="A7" s="6">
        <f>18+7/60</f>
        <v>18.116666666666667</v>
      </c>
      <c r="B7">
        <v>24</v>
      </c>
      <c r="C7">
        <v>1</v>
      </c>
      <c r="D7">
        <v>2019</v>
      </c>
      <c r="E7" s="6">
        <v>13.72</v>
      </c>
      <c r="F7" s="6">
        <v>80.23</v>
      </c>
      <c r="G7" s="10" t="s">
        <v>128</v>
      </c>
      <c r="H7" t="s">
        <v>33</v>
      </c>
      <c r="I7" t="s">
        <v>159</v>
      </c>
      <c r="J7" t="s">
        <v>158</v>
      </c>
      <c r="K7" t="s">
        <v>146</v>
      </c>
      <c r="L7" t="s">
        <v>158</v>
      </c>
      <c r="M7" t="s">
        <v>146</v>
      </c>
      <c r="N7">
        <f>12000</f>
        <v>12000</v>
      </c>
      <c r="O7">
        <f>2*N7</f>
        <v>24000</v>
      </c>
      <c r="P7">
        <v>138000</v>
      </c>
      <c r="Q7">
        <v>41500</v>
      </c>
      <c r="R7">
        <v>7600</v>
      </c>
      <c r="S7">
        <v>2500</v>
      </c>
      <c r="T7">
        <v>0</v>
      </c>
      <c r="U7">
        <v>0</v>
      </c>
      <c r="V7">
        <f>S7+Q7</f>
        <v>44000</v>
      </c>
      <c r="W7">
        <f>O7+P7+R7</f>
        <v>169600</v>
      </c>
      <c r="Y7" s="9"/>
    </row>
    <row r="8" spans="1:25">
      <c r="A8" s="6">
        <f>21+1/60</f>
        <v>21.016666666666666</v>
      </c>
      <c r="B8">
        <v>5</v>
      </c>
      <c r="C8">
        <v>2</v>
      </c>
      <c r="D8">
        <v>2019</v>
      </c>
      <c r="E8" s="6">
        <v>5.2389999999999999</v>
      </c>
      <c r="F8" s="6">
        <v>-52.768999999999998</v>
      </c>
      <c r="G8" s="10" t="s">
        <v>129</v>
      </c>
      <c r="H8" t="s">
        <v>38</v>
      </c>
      <c r="I8" t="s">
        <v>159</v>
      </c>
      <c r="J8" t="s">
        <v>142</v>
      </c>
      <c r="K8" t="s">
        <v>142</v>
      </c>
      <c r="L8" t="s">
        <v>164</v>
      </c>
      <c r="M8" t="s">
        <v>164</v>
      </c>
      <c r="N8">
        <v>240000</v>
      </c>
      <c r="O8">
        <f>2*N8</f>
        <v>480000</v>
      </c>
      <c r="P8">
        <v>175000</v>
      </c>
      <c r="Q8">
        <v>14900</v>
      </c>
      <c r="R8">
        <v>0</v>
      </c>
      <c r="S8">
        <v>0</v>
      </c>
      <c r="T8">
        <v>0</v>
      </c>
      <c r="U8">
        <f>P8+Q8</f>
        <v>189900</v>
      </c>
      <c r="V8">
        <v>0</v>
      </c>
      <c r="W8">
        <f>O8</f>
        <v>480000</v>
      </c>
      <c r="Y8" s="9"/>
    </row>
    <row r="9" spans="1:25">
      <c r="A9" s="6">
        <f>16+47/60</f>
        <v>16.783333333333335</v>
      </c>
      <c r="B9">
        <v>21</v>
      </c>
      <c r="C9">
        <v>2</v>
      </c>
      <c r="D9">
        <v>2019</v>
      </c>
      <c r="E9" s="6">
        <v>45.996000000000002</v>
      </c>
      <c r="F9" s="6">
        <v>63.564</v>
      </c>
      <c r="G9" s="10" t="s">
        <v>130</v>
      </c>
      <c r="H9" t="s">
        <v>39</v>
      </c>
      <c r="I9" t="s">
        <v>149</v>
      </c>
      <c r="J9" t="s">
        <v>164</v>
      </c>
      <c r="K9" t="s">
        <v>150</v>
      </c>
      <c r="L9" t="s">
        <v>150</v>
      </c>
      <c r="M9" t="s">
        <v>146</v>
      </c>
      <c r="N9" s="9">
        <f>39600</f>
        <v>39600</v>
      </c>
      <c r="O9" s="9">
        <f>N9*4</f>
        <v>158400</v>
      </c>
      <c r="P9" s="9">
        <v>0</v>
      </c>
      <c r="Q9" s="9">
        <f>92950</f>
        <v>92950</v>
      </c>
      <c r="R9" s="9">
        <f>22830</f>
        <v>22830</v>
      </c>
      <c r="S9" s="9">
        <v>5350</v>
      </c>
      <c r="T9" s="9">
        <f>O9+Q9+R9</f>
        <v>274180</v>
      </c>
      <c r="U9">
        <v>0</v>
      </c>
      <c r="V9" s="9">
        <f>S9</f>
        <v>5350</v>
      </c>
      <c r="W9">
        <v>0</v>
      </c>
      <c r="Y9" s="9"/>
    </row>
    <row r="10" spans="1:25">
      <c r="A10" s="6">
        <f>1+45/60</f>
        <v>1.75</v>
      </c>
      <c r="B10">
        <v>22</v>
      </c>
      <c r="C10">
        <v>2</v>
      </c>
      <c r="D10">
        <v>2019</v>
      </c>
      <c r="E10" s="6">
        <v>28.562000000000001</v>
      </c>
      <c r="F10" s="6">
        <v>-80.576999999999998</v>
      </c>
      <c r="G10" s="10" t="s">
        <v>131</v>
      </c>
      <c r="H10" t="s">
        <v>23</v>
      </c>
      <c r="I10" t="s">
        <v>164</v>
      </c>
      <c r="J10" t="s">
        <v>150</v>
      </c>
      <c r="K10" t="s">
        <v>150</v>
      </c>
      <c r="L10" t="s">
        <v>164</v>
      </c>
      <c r="M10" t="s">
        <v>164</v>
      </c>
      <c r="N10">
        <v>0</v>
      </c>
      <c r="O10">
        <v>0</v>
      </c>
      <c r="P10" s="9">
        <v>418700</v>
      </c>
      <c r="Q10" s="9">
        <v>111500</v>
      </c>
      <c r="R10" s="9">
        <v>0</v>
      </c>
      <c r="S10" s="9">
        <v>0</v>
      </c>
      <c r="T10" s="9">
        <f>P10+Q10</f>
        <v>530200</v>
      </c>
      <c r="U10">
        <v>0</v>
      </c>
      <c r="V10">
        <v>0</v>
      </c>
      <c r="W10">
        <v>0</v>
      </c>
      <c r="Y10" s="9"/>
    </row>
    <row r="11" spans="1:25">
      <c r="A11" s="6">
        <f>21+37/60</f>
        <v>21.616666666666667</v>
      </c>
      <c r="B11">
        <v>27</v>
      </c>
      <c r="C11">
        <v>2</v>
      </c>
      <c r="D11">
        <v>2019</v>
      </c>
      <c r="E11" s="6">
        <v>5.3010000000000002</v>
      </c>
      <c r="F11" s="6">
        <v>-52.837000000000003</v>
      </c>
      <c r="G11" s="10" t="s">
        <v>129</v>
      </c>
      <c r="H11" t="s">
        <v>41</v>
      </c>
      <c r="I11" t="s">
        <v>149</v>
      </c>
      <c r="J11" t="s">
        <v>164</v>
      </c>
      <c r="K11" t="s">
        <v>150</v>
      </c>
      <c r="L11" t="s">
        <v>150</v>
      </c>
      <c r="M11" t="s">
        <v>146</v>
      </c>
      <c r="N11" s="9">
        <f>39600</f>
        <v>39600</v>
      </c>
      <c r="O11" s="9">
        <f>N11*4</f>
        <v>158400</v>
      </c>
      <c r="P11" s="9">
        <v>0</v>
      </c>
      <c r="Q11" s="9">
        <f>92950</f>
        <v>92950</v>
      </c>
      <c r="R11" s="9">
        <f>22830</f>
        <v>22830</v>
      </c>
      <c r="S11" s="9">
        <v>5350</v>
      </c>
      <c r="T11" s="9">
        <f>O11+Q11+R11</f>
        <v>274180</v>
      </c>
      <c r="U11">
        <v>0</v>
      </c>
      <c r="V11" s="9">
        <f>S11</f>
        <v>5350</v>
      </c>
      <c r="W11">
        <v>0</v>
      </c>
      <c r="Y11" s="9"/>
    </row>
    <row r="12" spans="1:25">
      <c r="A12" s="6">
        <f>7+49/60</f>
        <v>7.8166666666666664</v>
      </c>
      <c r="B12">
        <v>2</v>
      </c>
      <c r="C12">
        <v>3</v>
      </c>
      <c r="D12">
        <v>2019</v>
      </c>
      <c r="E12" s="6">
        <v>28.608000000000001</v>
      </c>
      <c r="F12" s="6">
        <v>-80.603999999999999</v>
      </c>
      <c r="G12" s="10" t="s">
        <v>131</v>
      </c>
      <c r="H12" t="s">
        <v>23</v>
      </c>
      <c r="I12" t="s">
        <v>164</v>
      </c>
      <c r="J12" t="s">
        <v>150</v>
      </c>
      <c r="K12" t="s">
        <v>150</v>
      </c>
      <c r="L12" t="s">
        <v>164</v>
      </c>
      <c r="M12" t="s">
        <v>164</v>
      </c>
      <c r="N12">
        <v>0</v>
      </c>
      <c r="O12">
        <v>0</v>
      </c>
      <c r="P12" s="9">
        <v>418700</v>
      </c>
      <c r="Q12" s="9">
        <v>111500</v>
      </c>
      <c r="R12" s="9">
        <v>0</v>
      </c>
      <c r="S12" s="9">
        <v>0</v>
      </c>
      <c r="T12" s="9">
        <f>P12+Q12</f>
        <v>530200</v>
      </c>
      <c r="U12">
        <v>0</v>
      </c>
      <c r="V12">
        <v>0</v>
      </c>
      <c r="W12">
        <v>0</v>
      </c>
      <c r="Y12" s="9"/>
    </row>
    <row r="13" spans="1:25">
      <c r="A13" s="6">
        <f>17+28/60</f>
        <v>17.466666666666665</v>
      </c>
      <c r="B13">
        <v>9</v>
      </c>
      <c r="C13">
        <v>3</v>
      </c>
      <c r="D13">
        <v>2019</v>
      </c>
      <c r="E13" s="7">
        <v>28.245999999999999</v>
      </c>
      <c r="F13" s="7">
        <v>102.027</v>
      </c>
      <c r="G13" s="10" t="s">
        <v>124</v>
      </c>
      <c r="H13" t="s">
        <v>20</v>
      </c>
      <c r="I13" t="s">
        <v>147</v>
      </c>
      <c r="J13" t="s">
        <v>146</v>
      </c>
      <c r="K13" t="s">
        <v>146</v>
      </c>
      <c r="L13" t="s">
        <v>142</v>
      </c>
      <c r="M13" t="s">
        <v>164</v>
      </c>
      <c r="N13">
        <v>41100</v>
      </c>
      <c r="O13">
        <f>N13*4</f>
        <v>164400</v>
      </c>
      <c r="P13">
        <v>186200</v>
      </c>
      <c r="Q13">
        <v>32600</v>
      </c>
      <c r="R13">
        <v>18200</v>
      </c>
      <c r="S13">
        <v>0</v>
      </c>
      <c r="T13">
        <v>0</v>
      </c>
      <c r="U13">
        <f>R13</f>
        <v>18200</v>
      </c>
      <c r="V13">
        <f>O13+P13+Q13</f>
        <v>383200</v>
      </c>
      <c r="W13">
        <v>0</v>
      </c>
      <c r="Y13" s="9"/>
    </row>
    <row r="14" spans="1:25">
      <c r="A14" s="6">
        <f>19+14/60</f>
        <v>19.233333333333334</v>
      </c>
      <c r="B14">
        <v>14</v>
      </c>
      <c r="C14">
        <v>3</v>
      </c>
      <c r="D14">
        <v>2019</v>
      </c>
      <c r="E14" s="6">
        <v>45.92</v>
      </c>
      <c r="F14" s="6">
        <v>63.341999999999999</v>
      </c>
      <c r="G14" s="10" t="s">
        <v>130</v>
      </c>
      <c r="H14" t="s">
        <v>51</v>
      </c>
      <c r="I14" t="s">
        <v>149</v>
      </c>
      <c r="K14" t="s">
        <v>150</v>
      </c>
      <c r="L14" t="s">
        <v>150</v>
      </c>
      <c r="M14" t="s">
        <v>164</v>
      </c>
      <c r="N14" s="9">
        <f>39600</f>
        <v>39600</v>
      </c>
      <c r="O14" s="9">
        <f>N14*4</f>
        <v>158400</v>
      </c>
      <c r="P14" s="9">
        <v>0</v>
      </c>
      <c r="Q14" s="9">
        <f>92950</f>
        <v>92950</v>
      </c>
      <c r="R14" s="9">
        <f>22830</f>
        <v>22830</v>
      </c>
      <c r="S14" s="9">
        <v>0</v>
      </c>
      <c r="T14" s="9">
        <f>O14+Q14+R14</f>
        <v>274180</v>
      </c>
      <c r="U14">
        <v>0</v>
      </c>
      <c r="V14" s="9">
        <f>S14</f>
        <v>0</v>
      </c>
      <c r="W14">
        <v>0</v>
      </c>
      <c r="Y14" s="9"/>
    </row>
    <row r="15" spans="1:25">
      <c r="A15" s="6">
        <f>26/60</f>
        <v>0.43333333333333335</v>
      </c>
      <c r="B15">
        <v>16</v>
      </c>
      <c r="C15">
        <v>3</v>
      </c>
      <c r="D15">
        <v>2019</v>
      </c>
      <c r="E15" s="6">
        <v>28.530999999999999</v>
      </c>
      <c r="F15" s="6">
        <v>-80.564999999999998</v>
      </c>
      <c r="G15" s="10" t="s">
        <v>131</v>
      </c>
      <c r="H15" t="s">
        <v>53</v>
      </c>
      <c r="I15" t="s">
        <v>161</v>
      </c>
      <c r="J15" t="s">
        <v>157</v>
      </c>
      <c r="K15" t="s">
        <v>157</v>
      </c>
      <c r="L15" t="s">
        <v>164</v>
      </c>
      <c r="M15" t="s">
        <v>164</v>
      </c>
      <c r="N15">
        <v>29700</v>
      </c>
      <c r="O15">
        <f>4*N15</f>
        <v>118800</v>
      </c>
      <c r="P15" s="9">
        <v>204000</v>
      </c>
      <c r="Q15" s="9">
        <v>27200</v>
      </c>
      <c r="R15" s="9">
        <v>0</v>
      </c>
      <c r="S15">
        <v>0</v>
      </c>
      <c r="T15">
        <v>0</v>
      </c>
      <c r="U15" s="9">
        <f>P15+Q15</f>
        <v>231200</v>
      </c>
      <c r="V15">
        <v>0</v>
      </c>
      <c r="W15">
        <f>O15</f>
        <v>118800</v>
      </c>
      <c r="Y15" s="9"/>
    </row>
    <row r="16" spans="1:25">
      <c r="A16" s="6">
        <f>1+50/60</f>
        <v>1.8333333333333335</v>
      </c>
      <c r="B16">
        <v>22</v>
      </c>
      <c r="C16">
        <v>3</v>
      </c>
      <c r="D16">
        <v>2019</v>
      </c>
      <c r="E16" s="6">
        <v>5.2359999999999998</v>
      </c>
      <c r="F16" s="6">
        <v>-52.774999999999999</v>
      </c>
      <c r="G16" s="10" t="s">
        <v>129</v>
      </c>
      <c r="H16" t="s">
        <v>56</v>
      </c>
      <c r="I16" t="s">
        <v>164</v>
      </c>
      <c r="J16" t="s">
        <v>158</v>
      </c>
      <c r="K16" t="s">
        <v>158</v>
      </c>
      <c r="L16" t="s">
        <v>158</v>
      </c>
      <c r="M16" t="s">
        <v>146</v>
      </c>
      <c r="N16">
        <v>0</v>
      </c>
      <c r="O16">
        <v>0</v>
      </c>
      <c r="P16" s="9">
        <v>88365</v>
      </c>
      <c r="Q16" s="9">
        <v>23900</v>
      </c>
      <c r="R16" s="9">
        <v>10115</v>
      </c>
      <c r="S16">
        <v>550</v>
      </c>
      <c r="T16">
        <v>0</v>
      </c>
      <c r="U16">
        <v>0</v>
      </c>
      <c r="V16">
        <f>S16</f>
        <v>550</v>
      </c>
      <c r="W16" s="9">
        <f>P16+Q16+R16</f>
        <v>122380</v>
      </c>
      <c r="Y16" s="9"/>
    </row>
    <row r="17" spans="1:25">
      <c r="A17" s="6">
        <f>23+27/60</f>
        <v>23.45</v>
      </c>
      <c r="B17">
        <v>28</v>
      </c>
      <c r="C17">
        <v>3</v>
      </c>
      <c r="D17">
        <v>2019</v>
      </c>
      <c r="E17" s="6">
        <v>-39.251199999999997</v>
      </c>
      <c r="F17" s="6">
        <v>177.8673</v>
      </c>
      <c r="G17" s="10" t="s">
        <v>132</v>
      </c>
      <c r="H17" t="s">
        <v>60</v>
      </c>
      <c r="I17" t="s">
        <v>164</v>
      </c>
      <c r="J17" t="s">
        <v>150</v>
      </c>
      <c r="K17" t="s">
        <v>150</v>
      </c>
      <c r="L17" t="s">
        <v>164</v>
      </c>
      <c r="M17" t="s">
        <v>164</v>
      </c>
      <c r="N17">
        <v>0</v>
      </c>
      <c r="O17">
        <v>0</v>
      </c>
      <c r="P17" s="9">
        <f>9250</f>
        <v>9250</v>
      </c>
      <c r="Q17" s="9">
        <f>2050</f>
        <v>2050</v>
      </c>
      <c r="R17">
        <v>0</v>
      </c>
      <c r="S17">
        <v>0</v>
      </c>
      <c r="T17" s="9">
        <f>P17+Q17</f>
        <v>11300</v>
      </c>
      <c r="U17">
        <v>0</v>
      </c>
      <c r="V17">
        <v>0</v>
      </c>
      <c r="W17">
        <v>0</v>
      </c>
      <c r="Y17" s="9"/>
    </row>
    <row r="18" spans="1:25">
      <c r="A18" s="6">
        <f>15+50/60</f>
        <v>15.833333333333334</v>
      </c>
      <c r="B18">
        <v>31</v>
      </c>
      <c r="C18">
        <v>3</v>
      </c>
      <c r="D18">
        <v>2019</v>
      </c>
      <c r="E18" s="7">
        <v>28.245999999999999</v>
      </c>
      <c r="F18" s="7">
        <v>102.027</v>
      </c>
      <c r="G18" s="10" t="s">
        <v>124</v>
      </c>
      <c r="H18" t="s">
        <v>20</v>
      </c>
      <c r="I18" t="s">
        <v>147</v>
      </c>
      <c r="J18" t="s">
        <v>146</v>
      </c>
      <c r="K18" t="s">
        <v>146</v>
      </c>
      <c r="L18" t="s">
        <v>142</v>
      </c>
      <c r="M18" t="s">
        <v>164</v>
      </c>
      <c r="N18">
        <v>41100</v>
      </c>
      <c r="O18">
        <f>N18*4</f>
        <v>164400</v>
      </c>
      <c r="P18">
        <v>186200</v>
      </c>
      <c r="Q18">
        <v>32600</v>
      </c>
      <c r="R18">
        <v>18200</v>
      </c>
      <c r="S18">
        <v>0</v>
      </c>
      <c r="T18">
        <v>0</v>
      </c>
      <c r="U18">
        <f>R18</f>
        <v>18200</v>
      </c>
      <c r="V18">
        <f>SUM(O18:Q18)</f>
        <v>383200</v>
      </c>
      <c r="W18">
        <v>0</v>
      </c>
      <c r="Y18" s="9"/>
    </row>
    <row r="19" spans="1:25">
      <c r="A19" s="6">
        <f>3+57/60</f>
        <v>3.95</v>
      </c>
      <c r="B19">
        <v>1</v>
      </c>
      <c r="C19">
        <v>4</v>
      </c>
      <c r="D19">
        <v>2019</v>
      </c>
      <c r="E19" s="6">
        <v>13.72</v>
      </c>
      <c r="F19" s="6">
        <v>80.23</v>
      </c>
      <c r="G19" s="10" t="s">
        <v>128</v>
      </c>
      <c r="H19" t="s">
        <v>62</v>
      </c>
      <c r="I19" t="s">
        <v>161</v>
      </c>
      <c r="J19" t="s">
        <v>158</v>
      </c>
      <c r="K19" t="s">
        <v>146</v>
      </c>
      <c r="L19" t="s">
        <v>158</v>
      </c>
      <c r="M19" t="s">
        <v>146</v>
      </c>
      <c r="N19">
        <f>12000</f>
        <v>12000</v>
      </c>
      <c r="O19">
        <f>4*N19</f>
        <v>48000</v>
      </c>
      <c r="P19">
        <v>138000</v>
      </c>
      <c r="Q19">
        <v>41500</v>
      </c>
      <c r="R19">
        <v>7600</v>
      </c>
      <c r="S19">
        <v>2500</v>
      </c>
      <c r="T19">
        <v>0</v>
      </c>
      <c r="U19">
        <v>0</v>
      </c>
      <c r="V19">
        <f>S19+Q19</f>
        <v>44000</v>
      </c>
      <c r="W19">
        <f>O19+P19+R19</f>
        <v>193600</v>
      </c>
      <c r="Y19" s="9"/>
    </row>
    <row r="20" spans="1:25">
      <c r="A20" s="6">
        <f>11+1/60</f>
        <v>11.016666666666667</v>
      </c>
      <c r="B20">
        <v>4</v>
      </c>
      <c r="C20">
        <v>4</v>
      </c>
      <c r="D20">
        <v>2019</v>
      </c>
      <c r="E20" s="6">
        <v>45.996000000000002</v>
      </c>
      <c r="F20" s="6">
        <v>63.564</v>
      </c>
      <c r="G20" s="10" t="s">
        <v>130</v>
      </c>
      <c r="H20" t="s">
        <v>64</v>
      </c>
      <c r="I20" t="s">
        <v>149</v>
      </c>
      <c r="J20" t="s">
        <v>164</v>
      </c>
      <c r="K20" t="s">
        <v>150</v>
      </c>
      <c r="L20" t="s">
        <v>150</v>
      </c>
      <c r="M20" t="s">
        <v>164</v>
      </c>
      <c r="N20" s="9">
        <f>39600</f>
        <v>39600</v>
      </c>
      <c r="O20" s="9">
        <f>N20*4</f>
        <v>158400</v>
      </c>
      <c r="P20" s="9">
        <v>0</v>
      </c>
      <c r="Q20" s="9">
        <f>92950</f>
        <v>92950</v>
      </c>
      <c r="R20" s="9">
        <f>22830</f>
        <v>22830</v>
      </c>
      <c r="S20" s="9">
        <v>0</v>
      </c>
      <c r="T20" s="9">
        <f>O20+Q20+R20</f>
        <v>274180</v>
      </c>
      <c r="U20">
        <v>0</v>
      </c>
      <c r="V20" s="9">
        <f>S20</f>
        <v>0</v>
      </c>
      <c r="W20">
        <v>0</v>
      </c>
      <c r="Y20" s="9"/>
    </row>
    <row r="21" spans="1:25">
      <c r="A21" s="6">
        <f>17+3/60</f>
        <v>17.05</v>
      </c>
      <c r="B21">
        <v>4</v>
      </c>
      <c r="C21">
        <v>4</v>
      </c>
      <c r="D21">
        <v>2019</v>
      </c>
      <c r="E21" s="6">
        <v>5.3010000000000002</v>
      </c>
      <c r="F21" s="6">
        <v>-52.837000000000003</v>
      </c>
      <c r="G21" s="10" t="s">
        <v>129</v>
      </c>
      <c r="H21" t="s">
        <v>65</v>
      </c>
      <c r="I21" t="s">
        <v>149</v>
      </c>
      <c r="J21" t="s">
        <v>164</v>
      </c>
      <c r="K21" t="s">
        <v>150</v>
      </c>
      <c r="L21" t="s">
        <v>150</v>
      </c>
      <c r="M21" t="s">
        <v>146</v>
      </c>
      <c r="N21" s="9">
        <f>39600</f>
        <v>39600</v>
      </c>
      <c r="O21" s="9">
        <f>N21*4</f>
        <v>158400</v>
      </c>
      <c r="P21" s="9">
        <v>0</v>
      </c>
      <c r="Q21" s="9">
        <f>92950</f>
        <v>92950</v>
      </c>
      <c r="R21" s="9">
        <f>22830</f>
        <v>22830</v>
      </c>
      <c r="S21" s="9">
        <v>5350</v>
      </c>
      <c r="T21" s="9">
        <f>O21+Q21+R21</f>
        <v>274180</v>
      </c>
      <c r="U21">
        <v>0</v>
      </c>
      <c r="V21" s="9">
        <f>S21</f>
        <v>5350</v>
      </c>
      <c r="W21">
        <v>0</v>
      </c>
      <c r="Y21" s="9"/>
    </row>
    <row r="22" spans="1:25">
      <c r="A22" s="6">
        <f>22+35/60</f>
        <v>22.583333333333332</v>
      </c>
      <c r="B22">
        <v>11</v>
      </c>
      <c r="C22">
        <v>4</v>
      </c>
      <c r="D22">
        <v>2019</v>
      </c>
      <c r="E22" s="6">
        <v>28.608000000000001</v>
      </c>
      <c r="F22" s="6">
        <v>-80.603999999999999</v>
      </c>
      <c r="G22" s="10" t="s">
        <v>131</v>
      </c>
      <c r="H22" t="s">
        <v>70</v>
      </c>
      <c r="I22" t="s">
        <v>151</v>
      </c>
      <c r="J22" t="s">
        <v>150</v>
      </c>
      <c r="K22" t="s">
        <v>150</v>
      </c>
      <c r="L22" t="s">
        <v>164</v>
      </c>
      <c r="M22" t="s">
        <v>164</v>
      </c>
      <c r="N22" s="9">
        <f>407600</f>
        <v>407600</v>
      </c>
      <c r="O22" s="9">
        <f>2*N22</f>
        <v>815200</v>
      </c>
      <c r="P22" s="9">
        <f>407600</f>
        <v>407600</v>
      </c>
      <c r="Q22" s="9">
        <f>107200</f>
        <v>107200</v>
      </c>
      <c r="R22" s="9">
        <v>0</v>
      </c>
      <c r="S22" s="9">
        <v>0</v>
      </c>
      <c r="T22" s="9">
        <f>SUM(O22:Q22)</f>
        <v>1330000</v>
      </c>
      <c r="U22">
        <v>0</v>
      </c>
      <c r="V22">
        <v>0</v>
      </c>
      <c r="W22">
        <v>0</v>
      </c>
      <c r="Y22" s="9"/>
    </row>
    <row r="23" spans="1:25">
      <c r="A23" s="6">
        <f>20+46/60</f>
        <v>20.766666666666666</v>
      </c>
      <c r="B23">
        <v>17</v>
      </c>
      <c r="C23">
        <v>4</v>
      </c>
      <c r="D23">
        <v>2019</v>
      </c>
      <c r="E23" s="6">
        <v>37.832999999999998</v>
      </c>
      <c r="F23" s="6">
        <v>-75.488</v>
      </c>
      <c r="G23" s="10" t="s">
        <v>133</v>
      </c>
      <c r="H23" t="s">
        <v>72</v>
      </c>
      <c r="I23" t="s">
        <v>164</v>
      </c>
      <c r="J23" t="s">
        <v>150</v>
      </c>
      <c r="K23" t="s">
        <v>152</v>
      </c>
      <c r="L23" t="s">
        <v>164</v>
      </c>
      <c r="M23" t="s">
        <v>164</v>
      </c>
      <c r="N23">
        <v>0</v>
      </c>
      <c r="O23">
        <v>0</v>
      </c>
      <c r="P23" s="9">
        <v>242000</v>
      </c>
      <c r="Q23">
        <v>24200</v>
      </c>
      <c r="R23" s="9">
        <v>0</v>
      </c>
      <c r="S23">
        <v>0</v>
      </c>
      <c r="T23" s="9">
        <f>P23</f>
        <v>242000</v>
      </c>
      <c r="U23">
        <v>0</v>
      </c>
      <c r="V23">
        <v>0</v>
      </c>
      <c r="W23">
        <f>Q23</f>
        <v>24200</v>
      </c>
      <c r="Y23" s="9"/>
    </row>
    <row r="24" spans="1:25">
      <c r="A24" s="6">
        <f>14+41/60</f>
        <v>14.683333333333334</v>
      </c>
      <c r="B24">
        <v>20</v>
      </c>
      <c r="C24">
        <v>4</v>
      </c>
      <c r="D24">
        <v>2019</v>
      </c>
      <c r="E24" s="7">
        <v>28.245999999999999</v>
      </c>
      <c r="F24" s="7">
        <v>102.027</v>
      </c>
      <c r="G24" s="10" t="s">
        <v>124</v>
      </c>
      <c r="H24" t="s">
        <v>20</v>
      </c>
      <c r="I24" t="s">
        <v>147</v>
      </c>
      <c r="J24" t="s">
        <v>146</v>
      </c>
      <c r="K24" t="s">
        <v>146</v>
      </c>
      <c r="L24" t="s">
        <v>142</v>
      </c>
      <c r="M24" t="s">
        <v>164</v>
      </c>
      <c r="N24">
        <v>41100</v>
      </c>
      <c r="O24">
        <f>N24*4</f>
        <v>164400</v>
      </c>
      <c r="P24">
        <v>186200</v>
      </c>
      <c r="Q24">
        <v>32600</v>
      </c>
      <c r="R24">
        <v>18200</v>
      </c>
      <c r="S24">
        <v>0</v>
      </c>
      <c r="T24">
        <v>0</v>
      </c>
      <c r="U24">
        <f>R24</f>
        <v>18200</v>
      </c>
      <c r="V24">
        <f>SUM(O24:Q24)</f>
        <v>383200</v>
      </c>
      <c r="W24">
        <v>0</v>
      </c>
      <c r="Y24" s="9"/>
    </row>
    <row r="25" spans="1:25">
      <c r="A25" s="6">
        <f>22+52/60</f>
        <v>22.866666666666667</v>
      </c>
      <c r="B25">
        <v>29</v>
      </c>
      <c r="C25">
        <v>4</v>
      </c>
      <c r="D25">
        <v>2019</v>
      </c>
      <c r="E25" s="6">
        <v>38.863</v>
      </c>
      <c r="F25" s="6">
        <v>111.589</v>
      </c>
      <c r="G25" s="10" t="s">
        <v>134</v>
      </c>
      <c r="H25" t="s">
        <v>74</v>
      </c>
      <c r="I25" t="s">
        <v>164</v>
      </c>
      <c r="J25" t="s">
        <v>146</v>
      </c>
      <c r="K25" t="s">
        <v>146</v>
      </c>
      <c r="L25" t="s">
        <v>146</v>
      </c>
      <c r="M25" t="s">
        <v>164</v>
      </c>
      <c r="N25">
        <v>0</v>
      </c>
      <c r="O25">
        <v>0</v>
      </c>
      <c r="P25" s="9">
        <v>183200</v>
      </c>
      <c r="Q25">
        <v>35550</v>
      </c>
      <c r="R25" s="9">
        <v>14000</v>
      </c>
      <c r="S25">
        <v>0</v>
      </c>
      <c r="T25">
        <v>0</v>
      </c>
      <c r="U25">
        <v>0</v>
      </c>
      <c r="V25" s="9">
        <f>SUM(P25:R25)</f>
        <v>232750</v>
      </c>
      <c r="W25">
        <v>0</v>
      </c>
      <c r="Y25" s="9"/>
    </row>
    <row r="26" spans="1:25">
      <c r="A26" s="6">
        <f>6+48/60</f>
        <v>6.8</v>
      </c>
      <c r="B26">
        <v>4</v>
      </c>
      <c r="C26">
        <v>5</v>
      </c>
      <c r="D26">
        <v>2019</v>
      </c>
      <c r="E26" s="6">
        <v>28.562000000000001</v>
      </c>
      <c r="F26" s="6">
        <v>-80.576999999999998</v>
      </c>
      <c r="G26" s="10" t="s">
        <v>131</v>
      </c>
      <c r="H26" t="s">
        <v>23</v>
      </c>
      <c r="I26" t="s">
        <v>164</v>
      </c>
      <c r="J26" t="s">
        <v>150</v>
      </c>
      <c r="K26" t="s">
        <v>150</v>
      </c>
      <c r="L26" t="s">
        <v>164</v>
      </c>
      <c r="M26" t="s">
        <v>164</v>
      </c>
      <c r="N26">
        <v>0</v>
      </c>
      <c r="O26">
        <v>0</v>
      </c>
      <c r="P26" s="9">
        <v>418700</v>
      </c>
      <c r="Q26" s="9">
        <v>111500</v>
      </c>
      <c r="R26" s="9">
        <v>0</v>
      </c>
      <c r="S26" s="9">
        <v>0</v>
      </c>
      <c r="T26" s="9">
        <f>P26+Q26</f>
        <v>530200</v>
      </c>
      <c r="U26">
        <v>0</v>
      </c>
      <c r="V26">
        <v>0</v>
      </c>
      <c r="W26">
        <v>0</v>
      </c>
      <c r="Y26" s="9"/>
    </row>
    <row r="27" spans="1:25">
      <c r="A27" s="6">
        <f>6</f>
        <v>6</v>
      </c>
      <c r="B27">
        <v>5</v>
      </c>
      <c r="C27">
        <v>5</v>
      </c>
      <c r="D27">
        <v>2019</v>
      </c>
      <c r="E27" s="6">
        <v>-39.251199999999997</v>
      </c>
      <c r="F27" s="6">
        <v>177.8673</v>
      </c>
      <c r="G27" s="10" t="s">
        <v>132</v>
      </c>
      <c r="H27" t="s">
        <v>60</v>
      </c>
      <c r="I27" t="s">
        <v>164</v>
      </c>
      <c r="J27" t="s">
        <v>150</v>
      </c>
      <c r="K27" t="s">
        <v>150</v>
      </c>
      <c r="L27" t="s">
        <v>164</v>
      </c>
      <c r="M27" t="s">
        <v>164</v>
      </c>
      <c r="N27">
        <v>0</v>
      </c>
      <c r="O27">
        <v>0</v>
      </c>
      <c r="P27" s="9">
        <f>9250</f>
        <v>9250</v>
      </c>
      <c r="Q27" s="9">
        <f>2050</f>
        <v>2050</v>
      </c>
      <c r="R27">
        <v>0</v>
      </c>
      <c r="S27">
        <v>0</v>
      </c>
      <c r="T27" s="9">
        <f>P27+Q27</f>
        <v>11300</v>
      </c>
      <c r="U27">
        <v>0</v>
      </c>
      <c r="V27">
        <v>0</v>
      </c>
      <c r="W27">
        <v>0</v>
      </c>
      <c r="Y27" s="9"/>
    </row>
    <row r="28" spans="1:25">
      <c r="A28" s="6">
        <f>15+48/60</f>
        <v>15.8</v>
      </c>
      <c r="B28">
        <v>17</v>
      </c>
      <c r="C28">
        <v>5</v>
      </c>
      <c r="D28">
        <v>2019</v>
      </c>
      <c r="E28" s="6">
        <v>28.245999999999999</v>
      </c>
      <c r="F28" s="6">
        <v>102.027</v>
      </c>
      <c r="G28" s="10" t="s">
        <v>124</v>
      </c>
      <c r="H28" t="s">
        <v>78</v>
      </c>
      <c r="I28" t="s">
        <v>148</v>
      </c>
      <c r="J28" t="s">
        <v>146</v>
      </c>
      <c r="K28" t="s">
        <v>146</v>
      </c>
      <c r="L28" t="s">
        <v>142</v>
      </c>
      <c r="M28" t="s">
        <v>164</v>
      </c>
      <c r="N28">
        <v>41100</v>
      </c>
      <c r="O28">
        <f>2*N28</f>
        <v>82200</v>
      </c>
      <c r="P28" s="9">
        <v>186200</v>
      </c>
      <c r="Q28">
        <v>32600</v>
      </c>
      <c r="R28" s="9">
        <v>18200</v>
      </c>
      <c r="S28">
        <v>0</v>
      </c>
      <c r="T28">
        <v>0</v>
      </c>
      <c r="U28">
        <f>R28</f>
        <v>18200</v>
      </c>
      <c r="V28">
        <f>SUM(O28:Q28)</f>
        <v>301000</v>
      </c>
      <c r="W28">
        <v>0</v>
      </c>
      <c r="Y28" s="9"/>
    </row>
    <row r="29" spans="1:25">
      <c r="A29" s="6">
        <f>0</f>
        <v>0</v>
      </c>
      <c r="B29">
        <v>22</v>
      </c>
      <c r="C29">
        <v>5</v>
      </c>
      <c r="D29">
        <v>2019</v>
      </c>
      <c r="E29" s="6">
        <v>13.72</v>
      </c>
      <c r="F29" s="6">
        <v>80.23</v>
      </c>
      <c r="G29" s="10" t="s">
        <v>128</v>
      </c>
      <c r="H29" t="s">
        <v>79</v>
      </c>
      <c r="I29" t="s">
        <v>164</v>
      </c>
      <c r="J29" t="s">
        <v>158</v>
      </c>
      <c r="K29" t="s">
        <v>146</v>
      </c>
      <c r="L29" t="s">
        <v>158</v>
      </c>
      <c r="M29" t="s">
        <v>146</v>
      </c>
      <c r="N29">
        <v>0</v>
      </c>
      <c r="O29">
        <v>0</v>
      </c>
      <c r="P29">
        <v>138000</v>
      </c>
      <c r="Q29">
        <v>41500</v>
      </c>
      <c r="R29">
        <v>7600</v>
      </c>
      <c r="S29">
        <v>2500</v>
      </c>
      <c r="T29">
        <v>0</v>
      </c>
      <c r="U29">
        <v>0</v>
      </c>
      <c r="V29">
        <f>S29+Q29</f>
        <v>44000</v>
      </c>
      <c r="W29">
        <f>O29+P29+R29</f>
        <v>145600</v>
      </c>
      <c r="Y29" s="9"/>
    </row>
    <row r="30" spans="1:25">
      <c r="A30" s="6">
        <f>2+30/60</f>
        <v>2.5</v>
      </c>
      <c r="B30">
        <v>24</v>
      </c>
      <c r="C30">
        <v>5</v>
      </c>
      <c r="D30">
        <v>2019</v>
      </c>
      <c r="E30" s="6">
        <v>28.562000000000001</v>
      </c>
      <c r="F30" s="6">
        <v>-80.576999999999998</v>
      </c>
      <c r="G30" s="10" t="s">
        <v>131</v>
      </c>
      <c r="H30" t="s">
        <v>23</v>
      </c>
      <c r="I30" t="s">
        <v>164</v>
      </c>
      <c r="J30" t="s">
        <v>150</v>
      </c>
      <c r="K30" t="s">
        <v>150</v>
      </c>
      <c r="L30" t="s">
        <v>164</v>
      </c>
      <c r="M30" t="s">
        <v>164</v>
      </c>
      <c r="N30">
        <v>0</v>
      </c>
      <c r="O30">
        <v>0</v>
      </c>
      <c r="P30" s="9">
        <v>418700</v>
      </c>
      <c r="Q30" s="9">
        <v>111500</v>
      </c>
      <c r="R30" s="9">
        <v>0</v>
      </c>
      <c r="S30" s="9">
        <v>0</v>
      </c>
      <c r="T30" s="9">
        <f>P30+Q30</f>
        <v>530200</v>
      </c>
      <c r="U30">
        <v>0</v>
      </c>
      <c r="V30">
        <v>0</v>
      </c>
      <c r="W30">
        <v>0</v>
      </c>
      <c r="Y30" s="9"/>
    </row>
    <row r="31" spans="1:25">
      <c r="A31" s="6">
        <f>6+23/60</f>
        <v>6.3833333333333337</v>
      </c>
      <c r="B31">
        <v>27</v>
      </c>
      <c r="C31">
        <v>5</v>
      </c>
      <c r="D31">
        <v>2019</v>
      </c>
      <c r="E31" s="6">
        <v>62.929000000000002</v>
      </c>
      <c r="F31" s="6">
        <v>40.457000000000001</v>
      </c>
      <c r="G31" s="10" t="s">
        <v>135</v>
      </c>
      <c r="H31" t="s">
        <v>39</v>
      </c>
      <c r="I31" t="s">
        <v>149</v>
      </c>
      <c r="J31" t="s">
        <v>164</v>
      </c>
      <c r="K31" t="s">
        <v>150</v>
      </c>
      <c r="L31" t="s">
        <v>150</v>
      </c>
      <c r="M31" t="s">
        <v>146</v>
      </c>
      <c r="N31" s="9">
        <f>39600</f>
        <v>39600</v>
      </c>
      <c r="O31" s="9">
        <f>N31*4</f>
        <v>158400</v>
      </c>
      <c r="P31" s="9">
        <v>0</v>
      </c>
      <c r="Q31" s="9">
        <f>92950</f>
        <v>92950</v>
      </c>
      <c r="R31" s="9">
        <f>22830</f>
        <v>22830</v>
      </c>
      <c r="S31" s="9">
        <v>5350</v>
      </c>
      <c r="T31" s="9">
        <f>O31+Q31+R31</f>
        <v>274180</v>
      </c>
      <c r="U31">
        <v>0</v>
      </c>
      <c r="V31" s="9">
        <f>S31</f>
        <v>5350</v>
      </c>
      <c r="W31">
        <v>0</v>
      </c>
      <c r="Y31" s="9"/>
    </row>
    <row r="32" spans="1:25">
      <c r="A32" s="6">
        <f>17+42/60</f>
        <v>17.7</v>
      </c>
      <c r="B32">
        <v>30</v>
      </c>
      <c r="C32">
        <v>5</v>
      </c>
      <c r="D32">
        <v>2019</v>
      </c>
      <c r="E32" s="6">
        <v>46.04</v>
      </c>
      <c r="F32" s="6">
        <v>63.031999999999996</v>
      </c>
      <c r="G32" s="10" t="s">
        <v>130</v>
      </c>
      <c r="H32" t="s">
        <v>82</v>
      </c>
      <c r="I32" t="s">
        <v>164</v>
      </c>
      <c r="J32" t="s">
        <v>146</v>
      </c>
      <c r="K32" t="s">
        <v>146</v>
      </c>
      <c r="L32" t="s">
        <v>146</v>
      </c>
      <c r="M32" t="s">
        <v>146</v>
      </c>
      <c r="N32">
        <v>0</v>
      </c>
      <c r="O32">
        <v>0</v>
      </c>
      <c r="P32" s="9">
        <v>428300</v>
      </c>
      <c r="Q32">
        <v>157300</v>
      </c>
      <c r="R32" s="9">
        <v>46562</v>
      </c>
      <c r="S32">
        <v>19800</v>
      </c>
      <c r="T32">
        <v>0</v>
      </c>
      <c r="U32">
        <v>0</v>
      </c>
      <c r="V32" s="9">
        <f>SUM(P32:S32)</f>
        <v>651962</v>
      </c>
      <c r="W32">
        <v>0</v>
      </c>
      <c r="Y32" s="9"/>
    </row>
    <row r="33" spans="1:25">
      <c r="A33" s="6">
        <f>4+6/60</f>
        <v>4.0999999999999996</v>
      </c>
      <c r="B33">
        <v>5</v>
      </c>
      <c r="C33">
        <v>6</v>
      </c>
      <c r="D33">
        <v>2019</v>
      </c>
      <c r="E33" s="13">
        <v>34.9</v>
      </c>
      <c r="F33" s="11">
        <v>121.19</v>
      </c>
      <c r="G33" s="14" t="s">
        <v>136</v>
      </c>
      <c r="H33" t="s">
        <v>83</v>
      </c>
      <c r="I33" t="s">
        <v>164</v>
      </c>
      <c r="J33" t="s">
        <v>144</v>
      </c>
      <c r="K33" t="s">
        <v>144</v>
      </c>
      <c r="L33" t="s">
        <v>143</v>
      </c>
      <c r="M33" t="s">
        <v>143</v>
      </c>
      <c r="N33">
        <v>0</v>
      </c>
      <c r="O33">
        <v>0</v>
      </c>
      <c r="P33">
        <v>35000</v>
      </c>
      <c r="Q33">
        <v>10000</v>
      </c>
      <c r="R33">
        <v>4050</v>
      </c>
      <c r="S33">
        <v>220</v>
      </c>
      <c r="T33">
        <v>0</v>
      </c>
      <c r="U33">
        <v>0</v>
      </c>
      <c r="V33">
        <v>0</v>
      </c>
      <c r="W33">
        <f>SUM(P33:S33)</f>
        <v>49270</v>
      </c>
      <c r="Y33" s="9"/>
    </row>
    <row r="34" spans="1:25">
      <c r="A34" s="6">
        <f>14+17/60</f>
        <v>14.283333333333333</v>
      </c>
      <c r="B34">
        <v>12</v>
      </c>
      <c r="C34">
        <v>6</v>
      </c>
      <c r="D34">
        <v>2019</v>
      </c>
      <c r="E34" s="6">
        <v>34.631999999999998</v>
      </c>
      <c r="F34" s="6">
        <v>-120.611</v>
      </c>
      <c r="G34" s="10" t="s">
        <v>125</v>
      </c>
      <c r="H34" t="s">
        <v>23</v>
      </c>
      <c r="I34" t="s">
        <v>164</v>
      </c>
      <c r="J34" t="s">
        <v>150</v>
      </c>
      <c r="K34" t="s">
        <v>150</v>
      </c>
      <c r="L34" t="s">
        <v>164</v>
      </c>
      <c r="M34" t="s">
        <v>164</v>
      </c>
      <c r="N34">
        <v>0</v>
      </c>
      <c r="O34">
        <v>0</v>
      </c>
      <c r="P34" s="9">
        <v>418700</v>
      </c>
      <c r="Q34" s="9">
        <v>111500</v>
      </c>
      <c r="R34" s="9">
        <v>0</v>
      </c>
      <c r="S34" s="9">
        <v>0</v>
      </c>
      <c r="T34" s="9">
        <f>P34+Q34</f>
        <v>530200</v>
      </c>
      <c r="U34">
        <v>0</v>
      </c>
      <c r="V34">
        <v>0</v>
      </c>
      <c r="W34">
        <v>0</v>
      </c>
      <c r="Y34" s="9"/>
    </row>
    <row r="35" spans="1:25">
      <c r="A35" s="6">
        <f>21+43/60</f>
        <v>21.716666666666665</v>
      </c>
      <c r="B35">
        <v>20</v>
      </c>
      <c r="C35">
        <v>6</v>
      </c>
      <c r="D35">
        <v>2019</v>
      </c>
      <c r="E35" s="6">
        <v>5.2389999999999999</v>
      </c>
      <c r="F35" s="6">
        <v>-52.768999999999998</v>
      </c>
      <c r="G35" s="10" t="s">
        <v>129</v>
      </c>
      <c r="H35" t="s">
        <v>38</v>
      </c>
      <c r="I35" t="s">
        <v>160</v>
      </c>
      <c r="J35" t="s">
        <v>142</v>
      </c>
      <c r="K35" t="s">
        <v>142</v>
      </c>
      <c r="L35" t="s">
        <v>164</v>
      </c>
      <c r="M35" t="s">
        <v>164</v>
      </c>
      <c r="N35">
        <v>240000</v>
      </c>
      <c r="O35">
        <f>2*N35</f>
        <v>480000</v>
      </c>
      <c r="P35">
        <v>175000</v>
      </c>
      <c r="Q35">
        <v>14900</v>
      </c>
      <c r="R35">
        <v>0</v>
      </c>
      <c r="S35">
        <v>0</v>
      </c>
      <c r="T35">
        <v>0</v>
      </c>
      <c r="U35">
        <f>P35+Q35</f>
        <v>189900</v>
      </c>
      <c r="V35">
        <v>0</v>
      </c>
      <c r="W35">
        <f>O35</f>
        <v>480000</v>
      </c>
      <c r="Y35" s="9"/>
    </row>
    <row r="36" spans="1:25">
      <c r="A36" s="6">
        <f>18+9/60</f>
        <v>18.149999999999999</v>
      </c>
      <c r="B36">
        <v>24</v>
      </c>
      <c r="C36">
        <v>6</v>
      </c>
      <c r="D36">
        <v>2019</v>
      </c>
      <c r="E36" s="6">
        <v>28.245999999999999</v>
      </c>
      <c r="F36" s="6">
        <v>102.027</v>
      </c>
      <c r="G36" s="10" t="s">
        <v>124</v>
      </c>
      <c r="H36" t="s">
        <v>20</v>
      </c>
      <c r="I36" t="s">
        <v>147</v>
      </c>
      <c r="J36" t="s">
        <v>146</v>
      </c>
      <c r="K36" t="s">
        <v>146</v>
      </c>
      <c r="L36" t="s">
        <v>142</v>
      </c>
      <c r="M36" t="s">
        <v>164</v>
      </c>
      <c r="N36">
        <v>41100</v>
      </c>
      <c r="O36">
        <f>N36*4</f>
        <v>164400</v>
      </c>
      <c r="P36">
        <v>186200</v>
      </c>
      <c r="Q36">
        <v>32600</v>
      </c>
      <c r="R36">
        <v>18200</v>
      </c>
      <c r="S36">
        <v>0</v>
      </c>
      <c r="T36">
        <v>0</v>
      </c>
      <c r="U36">
        <f>R36</f>
        <v>18200</v>
      </c>
      <c r="V36">
        <f>SUM(O36:Q36)</f>
        <v>383200</v>
      </c>
      <c r="W36">
        <v>0</v>
      </c>
      <c r="Y36" s="9"/>
    </row>
    <row r="37" spans="1:25">
      <c r="A37" s="6">
        <f>6+30/60</f>
        <v>6.5</v>
      </c>
      <c r="B37">
        <v>25</v>
      </c>
      <c r="C37">
        <v>6</v>
      </c>
      <c r="D37">
        <v>2019</v>
      </c>
      <c r="E37" s="6">
        <v>28.608000000000001</v>
      </c>
      <c r="F37" s="6">
        <v>-80.603999999999999</v>
      </c>
      <c r="G37" s="10" t="s">
        <v>131</v>
      </c>
      <c r="H37" t="s">
        <v>70</v>
      </c>
      <c r="I37" t="s">
        <v>151</v>
      </c>
      <c r="J37" t="s">
        <v>150</v>
      </c>
      <c r="K37" t="s">
        <v>150</v>
      </c>
      <c r="L37" t="s">
        <v>164</v>
      </c>
      <c r="M37" t="s">
        <v>164</v>
      </c>
      <c r="N37" s="9">
        <f>407600</f>
        <v>407600</v>
      </c>
      <c r="O37" s="9">
        <f>2*N37</f>
        <v>815200</v>
      </c>
      <c r="P37" s="9">
        <f>407600</f>
        <v>407600</v>
      </c>
      <c r="Q37" s="9">
        <f>107200</f>
        <v>107200</v>
      </c>
      <c r="R37" s="9">
        <v>0</v>
      </c>
      <c r="S37" s="9">
        <v>0</v>
      </c>
      <c r="T37" s="9">
        <f>SUM(O37:Q37)</f>
        <v>1330000</v>
      </c>
      <c r="U37">
        <v>0</v>
      </c>
      <c r="V37">
        <v>0</v>
      </c>
      <c r="W37">
        <v>0</v>
      </c>
      <c r="Y37" s="9"/>
    </row>
    <row r="38" spans="1:25">
      <c r="A38" s="6">
        <f>4+30/60</f>
        <v>4.5</v>
      </c>
      <c r="B38">
        <v>29</v>
      </c>
      <c r="C38">
        <v>6</v>
      </c>
      <c r="D38">
        <v>2019</v>
      </c>
      <c r="E38" s="6">
        <v>-39.251199999999997</v>
      </c>
      <c r="F38" s="6">
        <v>177.8673</v>
      </c>
      <c r="G38" s="10" t="s">
        <v>132</v>
      </c>
      <c r="H38" t="s">
        <v>60</v>
      </c>
      <c r="I38" t="s">
        <v>164</v>
      </c>
      <c r="J38" t="s">
        <v>150</v>
      </c>
      <c r="K38" t="s">
        <v>150</v>
      </c>
      <c r="L38" t="s">
        <v>164</v>
      </c>
      <c r="M38" t="s">
        <v>164</v>
      </c>
      <c r="N38">
        <v>0</v>
      </c>
      <c r="O38">
        <v>0</v>
      </c>
      <c r="P38" s="9">
        <f>9250</f>
        <v>9250</v>
      </c>
      <c r="Q38" s="9">
        <f>2050</f>
        <v>2050</v>
      </c>
      <c r="R38">
        <v>0</v>
      </c>
      <c r="S38">
        <v>0</v>
      </c>
      <c r="T38" s="9">
        <f>P38+Q38</f>
        <v>11300</v>
      </c>
      <c r="U38">
        <v>0</v>
      </c>
      <c r="V38">
        <v>0</v>
      </c>
      <c r="W38">
        <v>0</v>
      </c>
      <c r="Y38" s="9"/>
    </row>
    <row r="39" spans="1:25">
      <c r="A39" s="6">
        <f>5+41/60</f>
        <v>5.6833333333333336</v>
      </c>
      <c r="B39">
        <v>5</v>
      </c>
      <c r="C39">
        <v>7</v>
      </c>
      <c r="D39">
        <v>2019</v>
      </c>
      <c r="E39" s="6">
        <v>51.884999999999998</v>
      </c>
      <c r="F39" s="6">
        <v>128.33500000000001</v>
      </c>
      <c r="G39" s="10" t="s">
        <v>137</v>
      </c>
      <c r="H39" t="s">
        <v>39</v>
      </c>
      <c r="I39" t="s">
        <v>149</v>
      </c>
      <c r="J39" t="s">
        <v>164</v>
      </c>
      <c r="K39" t="s">
        <v>150</v>
      </c>
      <c r="L39" t="s">
        <v>150</v>
      </c>
      <c r="M39" t="s">
        <v>146</v>
      </c>
      <c r="N39" s="9">
        <f>39600</f>
        <v>39600</v>
      </c>
      <c r="O39" s="9">
        <f>N39*4</f>
        <v>158400</v>
      </c>
      <c r="P39" s="9">
        <v>0</v>
      </c>
      <c r="Q39" s="9">
        <f>92950</f>
        <v>92950</v>
      </c>
      <c r="R39" s="9">
        <f>22830</f>
        <v>22830</v>
      </c>
      <c r="S39" s="9">
        <v>5350</v>
      </c>
      <c r="T39" s="9">
        <f>O39+Q39+R39</f>
        <v>274180</v>
      </c>
      <c r="U39">
        <v>0</v>
      </c>
      <c r="V39" s="9">
        <f>S39</f>
        <v>5350</v>
      </c>
      <c r="W39">
        <v>0</v>
      </c>
      <c r="Y39" s="9"/>
    </row>
    <row r="40" spans="1:25">
      <c r="A40" s="6">
        <f>17+14/60</f>
        <v>17.233333333333334</v>
      </c>
      <c r="B40">
        <v>10</v>
      </c>
      <c r="C40">
        <v>7</v>
      </c>
      <c r="D40">
        <v>2019</v>
      </c>
      <c r="E40" s="6">
        <v>62.929000000000002</v>
      </c>
      <c r="F40" s="6">
        <v>40.457000000000001</v>
      </c>
      <c r="G40" s="10" t="s">
        <v>135</v>
      </c>
      <c r="H40" t="s">
        <v>86</v>
      </c>
      <c r="I40" t="s">
        <v>164</v>
      </c>
      <c r="J40" t="s">
        <v>150</v>
      </c>
      <c r="K40" t="s">
        <v>150</v>
      </c>
      <c r="L40" t="s">
        <v>146</v>
      </c>
      <c r="M40" t="s">
        <v>164</v>
      </c>
      <c r="N40">
        <v>0</v>
      </c>
      <c r="O40">
        <v>0</v>
      </c>
      <c r="P40" s="9">
        <v>119000</v>
      </c>
      <c r="Q40">
        <v>22830</v>
      </c>
      <c r="R40">
        <v>900</v>
      </c>
      <c r="S40">
        <v>0</v>
      </c>
      <c r="T40" s="9">
        <f>P40+Q40</f>
        <v>141830</v>
      </c>
      <c r="U40">
        <v>0</v>
      </c>
      <c r="V40">
        <f>R40</f>
        <v>900</v>
      </c>
      <c r="W40">
        <v>0</v>
      </c>
      <c r="Y40" s="9"/>
    </row>
    <row r="41" spans="1:25">
      <c r="A41" s="6">
        <f>12+31/60</f>
        <v>12.516666666666667</v>
      </c>
      <c r="B41">
        <v>13</v>
      </c>
      <c r="C41">
        <v>7</v>
      </c>
      <c r="D41">
        <v>2019</v>
      </c>
      <c r="E41" s="6">
        <v>46.070999999999998</v>
      </c>
      <c r="F41" s="6">
        <v>62.984999999999999</v>
      </c>
      <c r="G41" s="10" t="s">
        <v>130</v>
      </c>
      <c r="H41" t="s">
        <v>87</v>
      </c>
      <c r="I41" t="s">
        <v>164</v>
      </c>
      <c r="J41" t="s">
        <v>146</v>
      </c>
      <c r="K41" t="s">
        <v>146</v>
      </c>
      <c r="L41" t="s">
        <v>146</v>
      </c>
      <c r="M41" t="s">
        <v>150</v>
      </c>
      <c r="N41">
        <v>0</v>
      </c>
      <c r="O41">
        <v>0</v>
      </c>
      <c r="P41" s="9">
        <v>428300</v>
      </c>
      <c r="Q41">
        <v>157300</v>
      </c>
      <c r="R41" s="9">
        <v>46562</v>
      </c>
      <c r="S41">
        <v>18800</v>
      </c>
      <c r="T41">
        <f>S41</f>
        <v>18800</v>
      </c>
      <c r="U41">
        <v>0</v>
      </c>
      <c r="V41" s="9">
        <f>SUM(P41:R41)</f>
        <v>632162</v>
      </c>
      <c r="W41">
        <v>0</v>
      </c>
      <c r="Y41" s="9"/>
    </row>
    <row r="42" spans="1:25">
      <c r="A42" s="6">
        <f>16+28/60</f>
        <v>16.466666666666665</v>
      </c>
      <c r="B42">
        <v>20</v>
      </c>
      <c r="C42">
        <v>7</v>
      </c>
      <c r="D42">
        <v>2019</v>
      </c>
      <c r="E42" s="6">
        <v>45.92</v>
      </c>
      <c r="F42" s="6">
        <v>63.341999999999999</v>
      </c>
      <c r="G42" s="10" t="s">
        <v>130</v>
      </c>
      <c r="H42" t="s">
        <v>51</v>
      </c>
      <c r="I42" t="s">
        <v>149</v>
      </c>
      <c r="J42" t="s">
        <v>164</v>
      </c>
      <c r="K42" t="s">
        <v>150</v>
      </c>
      <c r="L42" t="s">
        <v>150</v>
      </c>
      <c r="M42" t="s">
        <v>164</v>
      </c>
      <c r="N42" s="9">
        <f>39600</f>
        <v>39600</v>
      </c>
      <c r="O42" s="9">
        <f>N42*4</f>
        <v>158400</v>
      </c>
      <c r="P42" s="9">
        <v>0</v>
      </c>
      <c r="Q42" s="9">
        <f>92950</f>
        <v>92950</v>
      </c>
      <c r="R42" s="9">
        <f>22830</f>
        <v>22830</v>
      </c>
      <c r="S42" s="9">
        <v>0</v>
      </c>
      <c r="T42" s="9">
        <f>O42+Q42+R42</f>
        <v>274180</v>
      </c>
      <c r="U42">
        <v>0</v>
      </c>
      <c r="V42" s="9">
        <f>S42</f>
        <v>0</v>
      </c>
      <c r="W42">
        <v>0</v>
      </c>
      <c r="Y42" s="9"/>
    </row>
    <row r="43" spans="1:25">
      <c r="A43" s="6">
        <f>9+13/60</f>
        <v>9.2166666666666668</v>
      </c>
      <c r="B43">
        <v>22</v>
      </c>
      <c r="C43">
        <v>7</v>
      </c>
      <c r="D43">
        <v>2019</v>
      </c>
      <c r="E43" s="6">
        <v>13.72</v>
      </c>
      <c r="F43" s="6">
        <v>80.23</v>
      </c>
      <c r="G43" s="10" t="s">
        <v>128</v>
      </c>
      <c r="H43" t="s">
        <v>88</v>
      </c>
      <c r="I43" t="s">
        <v>159</v>
      </c>
      <c r="J43" t="s">
        <v>146</v>
      </c>
      <c r="K43" t="s">
        <v>142</v>
      </c>
      <c r="L43" t="s">
        <v>164</v>
      </c>
      <c r="M43" t="s">
        <v>164</v>
      </c>
      <c r="N43">
        <v>206690</v>
      </c>
      <c r="O43">
        <f>2*N43</f>
        <v>413380</v>
      </c>
      <c r="P43" s="9">
        <v>115000</v>
      </c>
      <c r="Q43">
        <v>25000</v>
      </c>
      <c r="R43" s="9">
        <v>0</v>
      </c>
      <c r="S43">
        <v>0</v>
      </c>
      <c r="T43">
        <v>0</v>
      </c>
      <c r="U43">
        <f>Q43</f>
        <v>25000</v>
      </c>
      <c r="V43" s="9">
        <f>P43</f>
        <v>115000</v>
      </c>
      <c r="W43">
        <f>O43</f>
        <v>413380</v>
      </c>
      <c r="Y43" s="9"/>
    </row>
    <row r="44" spans="1:25">
      <c r="A44" s="6">
        <f>5</f>
        <v>5</v>
      </c>
      <c r="B44">
        <v>25</v>
      </c>
      <c r="C44">
        <v>7</v>
      </c>
      <c r="D44">
        <v>2019</v>
      </c>
      <c r="E44" s="6">
        <v>40.967500000000001</v>
      </c>
      <c r="F44" s="6">
        <v>100.2786</v>
      </c>
      <c r="G44" s="10" t="s">
        <v>127</v>
      </c>
      <c r="H44" t="s">
        <v>90</v>
      </c>
      <c r="I44" t="s">
        <v>164</v>
      </c>
      <c r="J44" t="s">
        <v>144</v>
      </c>
      <c r="K44" t="s">
        <v>144</v>
      </c>
      <c r="L44" t="s">
        <v>144</v>
      </c>
      <c r="M44" t="s">
        <v>145</v>
      </c>
      <c r="N44">
        <v>0</v>
      </c>
      <c r="O44">
        <v>0</v>
      </c>
      <c r="P44">
        <v>20100</v>
      </c>
      <c r="Q44">
        <v>5400</v>
      </c>
      <c r="R44">
        <v>2300</v>
      </c>
      <c r="S44">
        <v>125</v>
      </c>
      <c r="T44">
        <v>0</v>
      </c>
      <c r="U44">
        <v>0</v>
      </c>
      <c r="V44">
        <v>0</v>
      </c>
      <c r="W44">
        <f>P44+Q44+R44</f>
        <v>27800</v>
      </c>
      <c r="Y44" s="9"/>
    </row>
    <row r="45" spans="1:25">
      <c r="A45" s="6">
        <f>22+2/60</f>
        <v>22.033333333333335</v>
      </c>
      <c r="B45">
        <v>25</v>
      </c>
      <c r="C45">
        <v>7</v>
      </c>
      <c r="D45">
        <v>2019</v>
      </c>
      <c r="E45" s="6">
        <v>28.562000000000001</v>
      </c>
      <c r="F45" s="6">
        <v>-80.576999999999998</v>
      </c>
      <c r="G45" s="10" t="s">
        <v>131</v>
      </c>
      <c r="H45" t="s">
        <v>23</v>
      </c>
      <c r="I45" t="s">
        <v>164</v>
      </c>
      <c r="J45" t="s">
        <v>150</v>
      </c>
      <c r="K45" t="s">
        <v>150</v>
      </c>
      <c r="L45" t="s">
        <v>164</v>
      </c>
      <c r="M45" t="s">
        <v>164</v>
      </c>
      <c r="N45">
        <v>0</v>
      </c>
      <c r="O45">
        <v>0</v>
      </c>
      <c r="P45" s="9">
        <v>418700</v>
      </c>
      <c r="Q45" s="9">
        <v>111500</v>
      </c>
      <c r="R45" s="9">
        <v>0</v>
      </c>
      <c r="S45" s="9">
        <v>0</v>
      </c>
      <c r="T45" s="9">
        <f>P45+Q45</f>
        <v>530200</v>
      </c>
      <c r="U45">
        <v>0</v>
      </c>
      <c r="V45">
        <v>0</v>
      </c>
      <c r="W45">
        <v>0</v>
      </c>
      <c r="Y45" s="9"/>
    </row>
    <row r="46" spans="1:25">
      <c r="A46" s="6">
        <f>3+57/60</f>
        <v>3.95</v>
      </c>
      <c r="B46">
        <v>26</v>
      </c>
      <c r="C46">
        <v>7</v>
      </c>
      <c r="D46">
        <v>2019</v>
      </c>
      <c r="E46" s="6">
        <v>28.247</v>
      </c>
      <c r="F46" s="6">
        <v>102.029</v>
      </c>
      <c r="G46" s="10" t="s">
        <v>124</v>
      </c>
      <c r="H46" t="s">
        <v>91</v>
      </c>
      <c r="I46" t="s">
        <v>164</v>
      </c>
      <c r="J46" t="s">
        <v>146</v>
      </c>
      <c r="K46" t="s">
        <v>146</v>
      </c>
      <c r="L46" t="s">
        <v>164</v>
      </c>
      <c r="M46" t="s">
        <v>164</v>
      </c>
      <c r="N46">
        <v>0</v>
      </c>
      <c r="O46">
        <v>0</v>
      </c>
      <c r="P46" s="9">
        <v>143000</v>
      </c>
      <c r="Q46">
        <v>35000</v>
      </c>
      <c r="R46" s="9">
        <v>0</v>
      </c>
      <c r="S46">
        <v>0</v>
      </c>
      <c r="T46">
        <v>0</v>
      </c>
      <c r="U46">
        <v>0</v>
      </c>
      <c r="V46" s="9">
        <f>P46+Q46</f>
        <v>178000</v>
      </c>
      <c r="W46">
        <v>0</v>
      </c>
      <c r="Y46" s="9"/>
    </row>
    <row r="47" spans="1:25">
      <c r="A47" s="6">
        <f>5+56/60</f>
        <v>5.9333333333333336</v>
      </c>
      <c r="B47">
        <v>30</v>
      </c>
      <c r="C47">
        <v>7</v>
      </c>
      <c r="D47">
        <v>2019</v>
      </c>
      <c r="E47" s="6">
        <v>62.929000000000002</v>
      </c>
      <c r="F47" s="6">
        <v>40.457000000000001</v>
      </c>
      <c r="G47" s="10" t="s">
        <v>135</v>
      </c>
      <c r="H47" t="s">
        <v>92</v>
      </c>
      <c r="I47" t="s">
        <v>149</v>
      </c>
      <c r="J47" t="s">
        <v>164</v>
      </c>
      <c r="K47" t="s">
        <v>150</v>
      </c>
      <c r="L47" t="s">
        <v>150</v>
      </c>
      <c r="M47" t="s">
        <v>146</v>
      </c>
      <c r="N47" s="9">
        <f>39600</f>
        <v>39600</v>
      </c>
      <c r="O47" s="9">
        <f>N47*4</f>
        <v>158400</v>
      </c>
      <c r="P47" s="9">
        <v>0</v>
      </c>
      <c r="Q47" s="9">
        <f>92950</f>
        <v>92950</v>
      </c>
      <c r="R47" s="9">
        <f>22830</f>
        <v>22830</v>
      </c>
      <c r="S47" s="9">
        <v>5350</v>
      </c>
      <c r="T47" s="9">
        <f>O47+Q47+R47</f>
        <v>274180</v>
      </c>
      <c r="U47">
        <v>0</v>
      </c>
      <c r="V47" s="9">
        <f>S47</f>
        <v>5350</v>
      </c>
      <c r="W47">
        <v>0</v>
      </c>
      <c r="Y47" s="9"/>
    </row>
    <row r="48" spans="1:25">
      <c r="A48" s="6">
        <f>12+11/60</f>
        <v>12.183333333333334</v>
      </c>
      <c r="B48">
        <v>31</v>
      </c>
      <c r="C48">
        <v>7</v>
      </c>
      <c r="D48">
        <v>2019</v>
      </c>
      <c r="E48" s="6">
        <v>45.996000000000002</v>
      </c>
      <c r="F48" s="6">
        <v>63.564</v>
      </c>
      <c r="G48" s="10" t="s">
        <v>130</v>
      </c>
      <c r="H48" t="s">
        <v>64</v>
      </c>
      <c r="I48" t="s">
        <v>149</v>
      </c>
      <c r="J48" t="s">
        <v>164</v>
      </c>
      <c r="K48" t="s">
        <v>150</v>
      </c>
      <c r="L48" t="s">
        <v>150</v>
      </c>
      <c r="M48" t="s">
        <v>164</v>
      </c>
      <c r="N48" s="9">
        <f>39600</f>
        <v>39600</v>
      </c>
      <c r="O48" s="9">
        <f>N48*4</f>
        <v>158400</v>
      </c>
      <c r="P48" s="9">
        <v>0</v>
      </c>
      <c r="Q48" s="9">
        <f>92950</f>
        <v>92950</v>
      </c>
      <c r="R48" s="9">
        <f>22830</f>
        <v>22830</v>
      </c>
      <c r="S48" s="9">
        <v>0</v>
      </c>
      <c r="T48" s="9">
        <f>O48+Q48+R48</f>
        <v>274180</v>
      </c>
      <c r="U48">
        <v>0</v>
      </c>
      <c r="V48" s="9">
        <f>S48</f>
        <v>0</v>
      </c>
      <c r="W48">
        <v>0</v>
      </c>
      <c r="Y48" s="9"/>
    </row>
    <row r="49" spans="1:25">
      <c r="A49" s="6">
        <f>21+56/60</f>
        <v>21.933333333333334</v>
      </c>
      <c r="B49">
        <v>6</v>
      </c>
      <c r="C49">
        <v>8</v>
      </c>
      <c r="D49">
        <v>2019</v>
      </c>
      <c r="E49" s="6">
        <v>46.070999999999998</v>
      </c>
      <c r="F49" s="6">
        <v>62.984999999999999</v>
      </c>
      <c r="G49" s="10" t="s">
        <v>130</v>
      </c>
      <c r="H49" t="s">
        <v>82</v>
      </c>
      <c r="I49" t="s">
        <v>164</v>
      </c>
      <c r="J49" t="s">
        <v>146</v>
      </c>
      <c r="K49" t="s">
        <v>146</v>
      </c>
      <c r="L49" t="s">
        <v>146</v>
      </c>
      <c r="M49" t="s">
        <v>146</v>
      </c>
      <c r="N49">
        <v>0</v>
      </c>
      <c r="O49">
        <v>0</v>
      </c>
      <c r="P49" s="9">
        <v>428300</v>
      </c>
      <c r="Q49">
        <v>157300</v>
      </c>
      <c r="R49" s="9">
        <v>46562</v>
      </c>
      <c r="S49">
        <v>19800</v>
      </c>
      <c r="T49">
        <v>0</v>
      </c>
      <c r="U49">
        <v>0</v>
      </c>
      <c r="V49" s="9">
        <f>SUM(P49:S49)</f>
        <v>651962</v>
      </c>
      <c r="W49">
        <v>0</v>
      </c>
      <c r="Y49" s="9"/>
    </row>
    <row r="50" spans="1:25">
      <c r="A50" s="6">
        <f>19+30/60</f>
        <v>19.5</v>
      </c>
      <c r="B50">
        <v>6</v>
      </c>
      <c r="C50">
        <v>8</v>
      </c>
      <c r="D50">
        <v>2019</v>
      </c>
      <c r="E50" s="6">
        <v>5.2389999999999999</v>
      </c>
      <c r="F50" s="6">
        <v>-52.768999999999998</v>
      </c>
      <c r="G50" s="10" t="s">
        <v>129</v>
      </c>
      <c r="H50" t="s">
        <v>94</v>
      </c>
      <c r="I50" t="s">
        <v>159</v>
      </c>
      <c r="J50" t="s">
        <v>142</v>
      </c>
      <c r="K50" t="s">
        <v>142</v>
      </c>
      <c r="L50" t="s">
        <v>164</v>
      </c>
      <c r="M50" t="s">
        <v>164</v>
      </c>
      <c r="N50">
        <v>240000</v>
      </c>
      <c r="O50">
        <f>2*N50</f>
        <v>480000</v>
      </c>
      <c r="P50">
        <v>175000</v>
      </c>
      <c r="Q50">
        <v>15260</v>
      </c>
      <c r="R50">
        <v>0</v>
      </c>
      <c r="S50">
        <v>0</v>
      </c>
      <c r="T50">
        <v>0</v>
      </c>
      <c r="U50">
        <f>P50+Q50</f>
        <v>190260</v>
      </c>
      <c r="V50">
        <v>0</v>
      </c>
      <c r="W50">
        <f>O50</f>
        <v>480000</v>
      </c>
      <c r="Y50" s="9"/>
    </row>
    <row r="51" spans="1:25">
      <c r="A51" s="6">
        <f>23+23/60</f>
        <v>23.383333333333333</v>
      </c>
      <c r="B51">
        <v>6</v>
      </c>
      <c r="C51">
        <v>8</v>
      </c>
      <c r="D51">
        <v>2019</v>
      </c>
      <c r="E51" s="6">
        <v>28.562000000000001</v>
      </c>
      <c r="F51" s="6">
        <v>-80.576999999999998</v>
      </c>
      <c r="G51" s="10" t="s">
        <v>131</v>
      </c>
      <c r="H51" t="s">
        <v>23</v>
      </c>
      <c r="I51" t="s">
        <v>164</v>
      </c>
      <c r="J51" t="s">
        <v>150</v>
      </c>
      <c r="K51" t="s">
        <v>150</v>
      </c>
      <c r="L51" t="s">
        <v>164</v>
      </c>
      <c r="M51" t="s">
        <v>164</v>
      </c>
      <c r="N51">
        <v>0</v>
      </c>
      <c r="O51">
        <v>0</v>
      </c>
      <c r="P51" s="9">
        <v>418700</v>
      </c>
      <c r="Q51" s="9">
        <v>111500</v>
      </c>
      <c r="R51" s="9">
        <v>0</v>
      </c>
      <c r="S51" s="9">
        <v>0</v>
      </c>
      <c r="T51" s="9">
        <f>P51+Q51</f>
        <v>530200</v>
      </c>
      <c r="U51">
        <v>0</v>
      </c>
      <c r="V51">
        <v>0</v>
      </c>
      <c r="W51">
        <v>0</v>
      </c>
      <c r="Y51" s="9"/>
    </row>
    <row r="52" spans="1:25">
      <c r="A52" s="6">
        <f>10+13/60</f>
        <v>10.216666666666667</v>
      </c>
      <c r="B52">
        <v>8</v>
      </c>
      <c r="C52">
        <v>8</v>
      </c>
      <c r="D52">
        <v>2019</v>
      </c>
      <c r="E52" s="6">
        <v>28.582999999999998</v>
      </c>
      <c r="F52" s="6">
        <v>-80.582999999999998</v>
      </c>
      <c r="G52" s="10" t="s">
        <v>131</v>
      </c>
      <c r="H52" t="s">
        <v>97</v>
      </c>
      <c r="I52" t="s">
        <v>162</v>
      </c>
      <c r="J52" t="s">
        <v>150</v>
      </c>
      <c r="K52" t="s">
        <v>142</v>
      </c>
      <c r="L52" t="s">
        <v>164</v>
      </c>
      <c r="M52" t="s">
        <v>164</v>
      </c>
      <c r="N52">
        <v>42630</v>
      </c>
      <c r="O52">
        <f>5*N52</f>
        <v>213150</v>
      </c>
      <c r="P52" s="9">
        <v>284090</v>
      </c>
      <c r="Q52" s="9">
        <v>20800</v>
      </c>
      <c r="R52" s="9">
        <v>0</v>
      </c>
      <c r="S52">
        <v>0</v>
      </c>
      <c r="T52" s="9">
        <f>P52</f>
        <v>284090</v>
      </c>
      <c r="U52" s="9">
        <f>Q52</f>
        <v>20800</v>
      </c>
      <c r="V52">
        <v>0</v>
      </c>
      <c r="W52">
        <f>O52</f>
        <v>213150</v>
      </c>
      <c r="Y52" s="9"/>
    </row>
    <row r="53" spans="1:25">
      <c r="A53" s="6">
        <f>4+14/60</f>
        <v>4.2333333333333334</v>
      </c>
      <c r="B53">
        <v>17</v>
      </c>
      <c r="C53">
        <v>8</v>
      </c>
      <c r="D53">
        <v>2019</v>
      </c>
      <c r="E53" s="11">
        <v>40.960999999999999</v>
      </c>
      <c r="F53" s="11">
        <v>100.298</v>
      </c>
      <c r="G53" s="12" t="s">
        <v>127</v>
      </c>
      <c r="H53" t="s">
        <v>98</v>
      </c>
      <c r="I53" t="s">
        <v>164</v>
      </c>
      <c r="J53" t="s">
        <v>144</v>
      </c>
      <c r="K53" t="s">
        <v>144</v>
      </c>
      <c r="L53" t="s">
        <v>144</v>
      </c>
      <c r="M53" t="s">
        <v>143</v>
      </c>
      <c r="N53">
        <v>0</v>
      </c>
      <c r="O53">
        <v>0</v>
      </c>
      <c r="P53">
        <v>15500</v>
      </c>
      <c r="Q53">
        <v>4500</v>
      </c>
      <c r="R53">
        <v>1000</v>
      </c>
      <c r="S53">
        <v>200</v>
      </c>
      <c r="T53">
        <v>0</v>
      </c>
      <c r="U53">
        <v>0</v>
      </c>
      <c r="V53">
        <v>0</v>
      </c>
      <c r="W53">
        <f>SUM(P53:S53)</f>
        <v>21200</v>
      </c>
      <c r="Y53" s="9"/>
    </row>
    <row r="54" spans="1:25">
      <c r="A54" s="6">
        <f>12+3/60</f>
        <v>12.05</v>
      </c>
      <c r="B54">
        <v>19</v>
      </c>
      <c r="C54">
        <v>8</v>
      </c>
      <c r="D54">
        <v>2019</v>
      </c>
      <c r="E54" s="6">
        <v>28.245999999999999</v>
      </c>
      <c r="F54" s="6">
        <v>102.027</v>
      </c>
      <c r="G54" s="10" t="s">
        <v>124</v>
      </c>
      <c r="H54" t="s">
        <v>99</v>
      </c>
      <c r="I54" t="s">
        <v>147</v>
      </c>
      <c r="J54" t="s">
        <v>146</v>
      </c>
      <c r="K54" t="s">
        <v>146</v>
      </c>
      <c r="L54" t="s">
        <v>142</v>
      </c>
      <c r="M54" t="s">
        <v>164</v>
      </c>
      <c r="N54">
        <v>41100</v>
      </c>
      <c r="O54">
        <f>N54*4</f>
        <v>164400</v>
      </c>
      <c r="P54">
        <v>186200</v>
      </c>
      <c r="Q54">
        <v>32600</v>
      </c>
      <c r="R54">
        <v>18200</v>
      </c>
      <c r="S54">
        <v>0</v>
      </c>
      <c r="T54">
        <v>0</v>
      </c>
      <c r="U54">
        <f>R54</f>
        <v>18200</v>
      </c>
      <c r="V54">
        <f>SUM(O54:Q54)</f>
        <v>383200</v>
      </c>
      <c r="W54">
        <v>0</v>
      </c>
      <c r="Y54" s="9"/>
    </row>
    <row r="55" spans="1:25">
      <c r="A55" s="6">
        <f>12+12/60</f>
        <v>12.2</v>
      </c>
      <c r="B55">
        <v>19</v>
      </c>
      <c r="C55">
        <v>8</v>
      </c>
      <c r="D55">
        <v>2019</v>
      </c>
      <c r="E55" s="6">
        <v>-39.251199999999997</v>
      </c>
      <c r="F55" s="6">
        <v>177.8673</v>
      </c>
      <c r="G55" s="10" t="s">
        <v>132</v>
      </c>
      <c r="H55" t="s">
        <v>60</v>
      </c>
      <c r="I55" t="s">
        <v>164</v>
      </c>
      <c r="J55" t="s">
        <v>150</v>
      </c>
      <c r="K55" t="s">
        <v>150</v>
      </c>
      <c r="L55" t="s">
        <v>164</v>
      </c>
      <c r="M55" t="s">
        <v>164</v>
      </c>
      <c r="N55">
        <v>0</v>
      </c>
      <c r="O55">
        <v>0</v>
      </c>
      <c r="P55" s="9">
        <f>9250</f>
        <v>9250</v>
      </c>
      <c r="Q55" s="9">
        <f>2050</f>
        <v>2050</v>
      </c>
      <c r="R55">
        <v>0</v>
      </c>
      <c r="S55">
        <v>0</v>
      </c>
      <c r="T55" s="9">
        <f>P55+Q55</f>
        <v>11300</v>
      </c>
      <c r="U55">
        <v>0</v>
      </c>
      <c r="V55">
        <v>0</v>
      </c>
      <c r="W55">
        <v>0</v>
      </c>
      <c r="Y55" s="9"/>
    </row>
    <row r="56" spans="1:25">
      <c r="A56" s="6">
        <f>3+38/60</f>
        <v>3.6333333333333333</v>
      </c>
      <c r="B56">
        <v>22</v>
      </c>
      <c r="C56">
        <v>8</v>
      </c>
      <c r="D56">
        <v>2019</v>
      </c>
      <c r="E56" s="6">
        <v>45.996000000000002</v>
      </c>
      <c r="F56" s="6">
        <v>63.564</v>
      </c>
      <c r="G56" s="10" t="s">
        <v>130</v>
      </c>
      <c r="H56" t="s">
        <v>64</v>
      </c>
      <c r="I56" t="s">
        <v>149</v>
      </c>
      <c r="K56" t="s">
        <v>150</v>
      </c>
      <c r="L56" t="s">
        <v>150</v>
      </c>
      <c r="M56" t="s">
        <v>164</v>
      </c>
      <c r="N56" s="9">
        <f>39600</f>
        <v>39600</v>
      </c>
      <c r="O56" s="9">
        <f>N56*4</f>
        <v>158400</v>
      </c>
      <c r="P56" s="9">
        <v>0</v>
      </c>
      <c r="Q56" s="9">
        <f>92950</f>
        <v>92950</v>
      </c>
      <c r="R56" s="9">
        <f>22830</f>
        <v>22830</v>
      </c>
      <c r="S56" s="9">
        <v>0</v>
      </c>
      <c r="T56" s="9">
        <f>O56+Q56+R56</f>
        <v>274180</v>
      </c>
      <c r="U56">
        <v>0</v>
      </c>
      <c r="V56" s="9">
        <f>S56</f>
        <v>0</v>
      </c>
      <c r="W56">
        <v>0</v>
      </c>
      <c r="Y56" s="9"/>
    </row>
    <row r="57" spans="1:25">
      <c r="A57" s="6">
        <f>13+6/60</f>
        <v>13.1</v>
      </c>
      <c r="B57">
        <v>22</v>
      </c>
      <c r="C57">
        <v>8</v>
      </c>
      <c r="D57">
        <v>2019</v>
      </c>
      <c r="E57" s="6">
        <v>28.530999999999999</v>
      </c>
      <c r="F57" s="6">
        <v>-80.564999999999998</v>
      </c>
      <c r="G57" s="10" t="s">
        <v>131</v>
      </c>
      <c r="H57" t="s">
        <v>100</v>
      </c>
      <c r="I57" t="s">
        <v>159</v>
      </c>
      <c r="J57" t="s">
        <v>142</v>
      </c>
      <c r="K57" t="s">
        <v>142</v>
      </c>
      <c r="L57" t="s">
        <v>164</v>
      </c>
      <c r="M57" t="s">
        <v>164</v>
      </c>
      <c r="N57">
        <v>29700</v>
      </c>
      <c r="O57">
        <f>2*N57</f>
        <v>59400</v>
      </c>
      <c r="P57" s="9">
        <v>204000</v>
      </c>
      <c r="Q57">
        <v>20410</v>
      </c>
      <c r="R57">
        <v>0</v>
      </c>
      <c r="S57">
        <v>0</v>
      </c>
      <c r="T57">
        <v>0</v>
      </c>
      <c r="U57">
        <f>P57+Q57</f>
        <v>224410</v>
      </c>
      <c r="V57">
        <v>0</v>
      </c>
      <c r="W57">
        <f>O57</f>
        <v>59400</v>
      </c>
      <c r="Y57" s="9"/>
    </row>
    <row r="58" spans="1:25">
      <c r="A58" s="6">
        <f>14</f>
        <v>14</v>
      </c>
      <c r="B58">
        <v>30</v>
      </c>
      <c r="C58">
        <v>8</v>
      </c>
      <c r="D58">
        <v>2019</v>
      </c>
      <c r="E58" s="6">
        <v>62.887</v>
      </c>
      <c r="F58" s="6">
        <v>40.847000000000001</v>
      </c>
      <c r="G58" s="10" t="s">
        <v>135</v>
      </c>
      <c r="H58" t="s">
        <v>101</v>
      </c>
      <c r="I58" t="s">
        <v>164</v>
      </c>
      <c r="J58" t="s">
        <v>146</v>
      </c>
      <c r="K58" t="s">
        <v>146</v>
      </c>
      <c r="L58" t="s">
        <v>146</v>
      </c>
      <c r="M58" t="s">
        <v>164</v>
      </c>
      <c r="N58">
        <v>0</v>
      </c>
      <c r="O58">
        <v>0</v>
      </c>
      <c r="P58" s="9">
        <v>71450</v>
      </c>
      <c r="Q58">
        <v>10710</v>
      </c>
      <c r="R58">
        <v>4965</v>
      </c>
      <c r="S58">
        <v>0</v>
      </c>
      <c r="T58">
        <v>0</v>
      </c>
      <c r="U58">
        <v>0</v>
      </c>
      <c r="V58" s="9">
        <f>SUM(P58:R58)</f>
        <v>87125</v>
      </c>
      <c r="W58">
        <v>0</v>
      </c>
      <c r="Y58" s="9"/>
    </row>
    <row r="59" spans="1:25">
      <c r="A59" s="6">
        <f>23+41/60</f>
        <v>23.683333333333334</v>
      </c>
      <c r="B59">
        <v>30</v>
      </c>
      <c r="C59">
        <v>8</v>
      </c>
      <c r="D59">
        <v>2019</v>
      </c>
      <c r="E59" s="6">
        <v>40.972000000000001</v>
      </c>
      <c r="F59" s="6">
        <v>100.364</v>
      </c>
      <c r="G59" s="10" t="s">
        <v>127</v>
      </c>
      <c r="H59" t="s">
        <v>102</v>
      </c>
      <c r="I59" t="s">
        <v>164</v>
      </c>
      <c r="J59" t="s">
        <v>144</v>
      </c>
      <c r="K59" t="s">
        <v>144</v>
      </c>
      <c r="L59" t="s">
        <v>144</v>
      </c>
      <c r="M59" t="s">
        <v>146</v>
      </c>
      <c r="N59">
        <v>0</v>
      </c>
      <c r="O59">
        <v>0</v>
      </c>
      <c r="P59">
        <v>15000</v>
      </c>
      <c r="Q59">
        <v>7500</v>
      </c>
      <c r="R59">
        <v>2000</v>
      </c>
      <c r="S59">
        <v>150</v>
      </c>
      <c r="T59" s="9">
        <v>0</v>
      </c>
      <c r="U59" s="15">
        <v>0</v>
      </c>
      <c r="V59" s="15">
        <v>150</v>
      </c>
      <c r="W59" s="15">
        <v>24500</v>
      </c>
      <c r="Y59" s="9"/>
    </row>
    <row r="60" spans="1:25">
      <c r="A60" s="6">
        <f>3+26/60</f>
        <v>3.4333333333333336</v>
      </c>
      <c r="B60">
        <v>12</v>
      </c>
      <c r="C60">
        <v>9</v>
      </c>
      <c r="D60">
        <v>2019</v>
      </c>
      <c r="E60" s="6">
        <v>38.863</v>
      </c>
      <c r="F60" s="6">
        <v>111.589</v>
      </c>
      <c r="G60" s="10" t="s">
        <v>134</v>
      </c>
      <c r="H60" t="s">
        <v>74</v>
      </c>
      <c r="I60" t="s">
        <v>164</v>
      </c>
      <c r="J60" t="s">
        <v>146</v>
      </c>
      <c r="K60" t="s">
        <v>146</v>
      </c>
      <c r="L60" t="s">
        <v>146</v>
      </c>
      <c r="M60" t="s">
        <v>164</v>
      </c>
      <c r="N60">
        <v>0</v>
      </c>
      <c r="O60">
        <v>0</v>
      </c>
      <c r="P60" s="9">
        <v>183200</v>
      </c>
      <c r="Q60">
        <v>35550</v>
      </c>
      <c r="R60" s="9">
        <v>14000</v>
      </c>
      <c r="S60">
        <v>0</v>
      </c>
      <c r="T60">
        <v>0</v>
      </c>
      <c r="U60">
        <v>0</v>
      </c>
      <c r="V60" s="9">
        <f>SUM(P60:R60)</f>
        <v>232750</v>
      </c>
      <c r="W60">
        <v>0</v>
      </c>
      <c r="Y60" s="9"/>
    </row>
    <row r="61" spans="1:25">
      <c r="A61" s="6">
        <f>6+42/60</f>
        <v>6.7</v>
      </c>
      <c r="B61">
        <v>19</v>
      </c>
      <c r="C61">
        <v>9</v>
      </c>
      <c r="D61">
        <v>2019</v>
      </c>
      <c r="E61" s="11">
        <v>40.960999999999999</v>
      </c>
      <c r="F61" s="11">
        <v>100.298</v>
      </c>
      <c r="G61" s="12" t="s">
        <v>127</v>
      </c>
      <c r="H61" t="s">
        <v>31</v>
      </c>
      <c r="I61" t="s">
        <v>164</v>
      </c>
      <c r="J61" t="s">
        <v>144</v>
      </c>
      <c r="K61" t="s">
        <v>144</v>
      </c>
      <c r="L61" t="s">
        <v>144</v>
      </c>
      <c r="M61" t="s">
        <v>143</v>
      </c>
      <c r="N61">
        <v>0</v>
      </c>
      <c r="O61">
        <v>0</v>
      </c>
      <c r="P61">
        <v>35000</v>
      </c>
      <c r="Q61">
        <v>10000</v>
      </c>
      <c r="R61">
        <v>4050</v>
      </c>
      <c r="S61">
        <v>220</v>
      </c>
      <c r="T61">
        <v>0</v>
      </c>
      <c r="U61">
        <v>0</v>
      </c>
      <c r="V61">
        <v>0</v>
      </c>
      <c r="W61">
        <f>SUM(P61:S61)</f>
        <v>49270</v>
      </c>
      <c r="Y61" s="9"/>
    </row>
    <row r="62" spans="1:25">
      <c r="A62" s="6">
        <f>21+10/60</f>
        <v>21.166666666666668</v>
      </c>
      <c r="B62">
        <v>22</v>
      </c>
      <c r="C62">
        <v>9</v>
      </c>
      <c r="D62">
        <v>2019</v>
      </c>
      <c r="E62" s="6">
        <v>28.245999999999999</v>
      </c>
      <c r="F62" s="6">
        <v>102.027</v>
      </c>
      <c r="G62" s="10" t="s">
        <v>124</v>
      </c>
      <c r="H62" t="s">
        <v>104</v>
      </c>
      <c r="I62" t="s">
        <v>147</v>
      </c>
      <c r="J62" t="s">
        <v>146</v>
      </c>
      <c r="K62" t="s">
        <v>146</v>
      </c>
      <c r="L62" t="s">
        <v>142</v>
      </c>
      <c r="M62" t="s">
        <v>164</v>
      </c>
      <c r="N62">
        <v>41100</v>
      </c>
      <c r="O62">
        <f>N62*4</f>
        <v>164400</v>
      </c>
      <c r="P62">
        <v>186200</v>
      </c>
      <c r="Q62">
        <v>32600</v>
      </c>
      <c r="R62">
        <v>18200</v>
      </c>
      <c r="S62">
        <v>0</v>
      </c>
      <c r="T62">
        <v>0</v>
      </c>
      <c r="U62">
        <f>R62</f>
        <v>18200</v>
      </c>
      <c r="V62">
        <f>SUM(O62:Q62)</f>
        <v>383200</v>
      </c>
      <c r="W62">
        <v>0</v>
      </c>
      <c r="Y62" s="9"/>
    </row>
    <row r="63" spans="1:25">
      <c r="A63" s="6">
        <f>16+5/60</f>
        <v>16.083333333333332</v>
      </c>
      <c r="B63">
        <v>24</v>
      </c>
      <c r="C63">
        <v>9</v>
      </c>
      <c r="D63">
        <v>2019</v>
      </c>
      <c r="E63" s="6">
        <v>30.401</v>
      </c>
      <c r="F63" s="6">
        <v>130.97499999999999</v>
      </c>
      <c r="G63" s="10" t="s">
        <v>138</v>
      </c>
      <c r="H63" t="s">
        <v>105</v>
      </c>
      <c r="I63" t="s">
        <v>161</v>
      </c>
      <c r="J63" t="s">
        <v>142</v>
      </c>
      <c r="K63" t="s">
        <v>142</v>
      </c>
      <c r="L63" t="s">
        <v>164</v>
      </c>
      <c r="M63" t="s">
        <v>164</v>
      </c>
      <c r="N63">
        <v>66000</v>
      </c>
      <c r="O63">
        <f>4*N63</f>
        <v>264000</v>
      </c>
      <c r="P63">
        <v>177800</v>
      </c>
      <c r="Q63">
        <v>16900</v>
      </c>
      <c r="R63">
        <v>0</v>
      </c>
      <c r="S63">
        <v>0</v>
      </c>
      <c r="T63">
        <v>0</v>
      </c>
      <c r="U63">
        <f>P63+Q63</f>
        <v>194700</v>
      </c>
      <c r="V63">
        <v>0</v>
      </c>
      <c r="W63">
        <f>O63</f>
        <v>264000</v>
      </c>
      <c r="Y63" s="9"/>
    </row>
    <row r="64" spans="1:25">
      <c r="A64" s="6">
        <f>54/60</f>
        <v>0.9</v>
      </c>
      <c r="B64">
        <v>25</v>
      </c>
      <c r="C64">
        <v>9</v>
      </c>
      <c r="D64">
        <v>2019</v>
      </c>
      <c r="E64" s="11">
        <v>40.960999999999999</v>
      </c>
      <c r="F64" s="11">
        <v>100.298</v>
      </c>
      <c r="G64" s="12" t="s">
        <v>127</v>
      </c>
      <c r="H64" t="s">
        <v>106</v>
      </c>
      <c r="I64" t="s">
        <v>164</v>
      </c>
      <c r="J64" t="s">
        <v>146</v>
      </c>
      <c r="K64" t="s">
        <v>146</v>
      </c>
      <c r="L64" t="s">
        <v>164</v>
      </c>
      <c r="M64" t="s">
        <v>164</v>
      </c>
      <c r="N64">
        <v>0</v>
      </c>
      <c r="O64">
        <v>0</v>
      </c>
      <c r="P64">
        <v>183200</v>
      </c>
      <c r="Q64">
        <v>35550</v>
      </c>
      <c r="R64">
        <v>0</v>
      </c>
      <c r="S64">
        <v>0</v>
      </c>
      <c r="T64">
        <v>0</v>
      </c>
      <c r="U64">
        <v>0</v>
      </c>
      <c r="V64">
        <f>P64+Q64</f>
        <v>218750</v>
      </c>
      <c r="W64">
        <v>0</v>
      </c>
      <c r="Y64" s="9"/>
    </row>
    <row r="65" spans="1:25">
      <c r="A65" s="6">
        <f>13+58/60</f>
        <v>13.966666666666667</v>
      </c>
      <c r="B65">
        <v>25</v>
      </c>
      <c r="C65">
        <v>9</v>
      </c>
      <c r="D65">
        <v>2019</v>
      </c>
      <c r="E65" s="6">
        <v>45.92</v>
      </c>
      <c r="F65" s="6">
        <v>63.341999999999999</v>
      </c>
      <c r="G65" s="10" t="s">
        <v>130</v>
      </c>
      <c r="H65" t="s">
        <v>51</v>
      </c>
      <c r="I65" t="s">
        <v>149</v>
      </c>
      <c r="J65" t="s">
        <v>164</v>
      </c>
      <c r="K65" t="s">
        <v>150</v>
      </c>
      <c r="L65" t="s">
        <v>150</v>
      </c>
      <c r="M65" t="s">
        <v>164</v>
      </c>
      <c r="N65" s="9">
        <f>39600</f>
        <v>39600</v>
      </c>
      <c r="O65" s="9">
        <f>N65*4</f>
        <v>158400</v>
      </c>
      <c r="P65" s="9">
        <v>0</v>
      </c>
      <c r="Q65" s="9">
        <f>92950</f>
        <v>92950</v>
      </c>
      <c r="R65" s="9">
        <f>22830</f>
        <v>22830</v>
      </c>
      <c r="S65" s="9">
        <v>0</v>
      </c>
      <c r="T65" s="9">
        <f>O65+Q65+R65</f>
        <v>274180</v>
      </c>
      <c r="U65">
        <v>0</v>
      </c>
      <c r="V65" s="9">
        <f>S65</f>
        <v>0</v>
      </c>
      <c r="W65">
        <v>0</v>
      </c>
      <c r="Y65" s="9"/>
    </row>
    <row r="66" spans="1:25">
      <c r="A66" s="6">
        <f>7+46/60</f>
        <v>7.7666666666666666</v>
      </c>
      <c r="B66">
        <v>26</v>
      </c>
      <c r="C66">
        <v>9</v>
      </c>
      <c r="D66">
        <v>2019</v>
      </c>
      <c r="E66" s="6">
        <v>62.929000000000002</v>
      </c>
      <c r="F66" s="6">
        <v>40.457000000000001</v>
      </c>
      <c r="G66" s="10" t="s">
        <v>135</v>
      </c>
      <c r="H66" t="s">
        <v>39</v>
      </c>
      <c r="I66" t="s">
        <v>149</v>
      </c>
      <c r="J66" t="s">
        <v>164</v>
      </c>
      <c r="K66" t="s">
        <v>150</v>
      </c>
      <c r="L66" t="s">
        <v>150</v>
      </c>
      <c r="M66" t="s">
        <v>146</v>
      </c>
      <c r="N66" s="9">
        <f>39600</f>
        <v>39600</v>
      </c>
      <c r="O66" s="9">
        <f>N66*4</f>
        <v>158400</v>
      </c>
      <c r="P66" s="9">
        <v>0</v>
      </c>
      <c r="Q66" s="9">
        <f>92950</f>
        <v>92950</v>
      </c>
      <c r="R66" s="9">
        <f>22830</f>
        <v>22830</v>
      </c>
      <c r="S66" s="9">
        <v>5350</v>
      </c>
      <c r="T66" s="9">
        <f>O66+Q66+R66</f>
        <v>274180</v>
      </c>
      <c r="U66">
        <v>0</v>
      </c>
      <c r="V66" s="9">
        <f>S66</f>
        <v>5350</v>
      </c>
      <c r="W66">
        <v>0</v>
      </c>
      <c r="Y66" s="9"/>
    </row>
    <row r="67" spans="1:25">
      <c r="A67" s="6">
        <f>18+51/60</f>
        <v>18.850000000000001</v>
      </c>
      <c r="B67">
        <v>4</v>
      </c>
      <c r="C67">
        <v>10</v>
      </c>
      <c r="D67">
        <v>2019</v>
      </c>
      <c r="E67" s="6">
        <v>38.863</v>
      </c>
      <c r="F67" s="6">
        <v>111.589</v>
      </c>
      <c r="G67" s="10" t="s">
        <v>134</v>
      </c>
      <c r="H67" t="s">
        <v>80</v>
      </c>
      <c r="I67" t="s">
        <v>164</v>
      </c>
      <c r="J67" t="s">
        <v>146</v>
      </c>
      <c r="K67" t="s">
        <v>146</v>
      </c>
      <c r="L67" t="s">
        <v>146</v>
      </c>
      <c r="M67" t="s">
        <v>164</v>
      </c>
      <c r="N67">
        <v>0</v>
      </c>
      <c r="O67">
        <v>0</v>
      </c>
      <c r="P67" s="9">
        <v>183200</v>
      </c>
      <c r="Q67">
        <v>35550</v>
      </c>
      <c r="R67" s="9">
        <v>14000</v>
      </c>
      <c r="S67">
        <v>0</v>
      </c>
      <c r="T67">
        <v>0</v>
      </c>
      <c r="U67">
        <v>0</v>
      </c>
      <c r="V67" s="9">
        <f>SUM(P67:S67)</f>
        <v>232750</v>
      </c>
      <c r="W67">
        <v>0</v>
      </c>
      <c r="Y67" s="9"/>
    </row>
    <row r="68" spans="1:25">
      <c r="A68" s="6">
        <f>10+17/60</f>
        <v>10.283333333333333</v>
      </c>
      <c r="B68">
        <v>9</v>
      </c>
      <c r="C68">
        <v>10</v>
      </c>
      <c r="D68">
        <v>2019</v>
      </c>
      <c r="E68" s="6">
        <v>46.04</v>
      </c>
      <c r="F68" s="6">
        <v>63.031999999999996</v>
      </c>
      <c r="G68" s="10" t="s">
        <v>130</v>
      </c>
      <c r="H68" t="s">
        <v>108</v>
      </c>
      <c r="I68" t="s">
        <v>164</v>
      </c>
      <c r="J68" t="s">
        <v>146</v>
      </c>
      <c r="K68" t="s">
        <v>146</v>
      </c>
      <c r="L68" t="s">
        <v>146</v>
      </c>
      <c r="M68" t="s">
        <v>146</v>
      </c>
      <c r="N68">
        <v>0</v>
      </c>
      <c r="O68">
        <v>0</v>
      </c>
      <c r="P68" s="9">
        <v>428300</v>
      </c>
      <c r="Q68">
        <v>157300</v>
      </c>
      <c r="R68" s="9">
        <v>46562</v>
      </c>
      <c r="S68">
        <v>19800</v>
      </c>
      <c r="T68">
        <v>0</v>
      </c>
      <c r="U68">
        <v>0</v>
      </c>
      <c r="V68" s="9">
        <f>SUM(P68:S68)</f>
        <v>651962</v>
      </c>
      <c r="W68">
        <v>0</v>
      </c>
      <c r="Y68" s="9"/>
    </row>
    <row r="69" spans="1:25">
      <c r="A69" s="6">
        <f>2</f>
        <v>2</v>
      </c>
      <c r="B69">
        <v>11</v>
      </c>
      <c r="C69">
        <v>10</v>
      </c>
      <c r="D69">
        <v>2019</v>
      </c>
      <c r="E69" s="11">
        <v>28.405999999999999</v>
      </c>
      <c r="F69" s="11">
        <v>-80.605000000000004</v>
      </c>
      <c r="G69" s="10" t="s">
        <v>131</v>
      </c>
      <c r="H69" t="s">
        <v>109</v>
      </c>
      <c r="I69" t="s">
        <v>164</v>
      </c>
      <c r="J69" t="s">
        <v>144</v>
      </c>
      <c r="K69" t="s">
        <v>144</v>
      </c>
      <c r="L69" t="s">
        <v>144</v>
      </c>
      <c r="M69" t="s">
        <v>164</v>
      </c>
      <c r="N69">
        <v>0</v>
      </c>
      <c r="O69">
        <v>0</v>
      </c>
      <c r="P69" s="9">
        <v>15010</v>
      </c>
      <c r="Q69">
        <v>3930</v>
      </c>
      <c r="R69" s="9">
        <v>770</v>
      </c>
      <c r="S69">
        <v>0</v>
      </c>
      <c r="T69">
        <v>0</v>
      </c>
      <c r="U69">
        <v>0</v>
      </c>
      <c r="V69">
        <v>0</v>
      </c>
      <c r="W69" s="9">
        <f>SUM(P69:R69)</f>
        <v>19710</v>
      </c>
      <c r="Y69" s="9"/>
    </row>
    <row r="70" spans="1:25">
      <c r="A70" s="6">
        <f>1+22/60</f>
        <v>1.3666666666666667</v>
      </c>
      <c r="B70">
        <v>17</v>
      </c>
      <c r="C70">
        <v>10</v>
      </c>
      <c r="D70">
        <v>2019</v>
      </c>
      <c r="E70" s="6">
        <v>-39.251199999999997</v>
      </c>
      <c r="F70" s="6">
        <v>177.8673</v>
      </c>
      <c r="G70" s="10" t="s">
        <v>132</v>
      </c>
      <c r="H70" t="s">
        <v>60</v>
      </c>
      <c r="I70" t="s">
        <v>164</v>
      </c>
      <c r="J70" t="s">
        <v>150</v>
      </c>
      <c r="K70" t="s">
        <v>150</v>
      </c>
      <c r="L70" t="s">
        <v>164</v>
      </c>
      <c r="M70" t="s">
        <v>164</v>
      </c>
      <c r="N70">
        <v>0</v>
      </c>
      <c r="O70">
        <v>0</v>
      </c>
      <c r="P70" s="9">
        <f>9250</f>
        <v>9250</v>
      </c>
      <c r="Q70" s="9">
        <f>2050</f>
        <v>2050</v>
      </c>
      <c r="R70">
        <v>0</v>
      </c>
      <c r="S70">
        <v>0</v>
      </c>
      <c r="T70" s="9">
        <f>P70+Q70</f>
        <v>11300</v>
      </c>
      <c r="U70">
        <v>0</v>
      </c>
      <c r="V70">
        <v>0</v>
      </c>
      <c r="W70">
        <v>0</v>
      </c>
      <c r="Y70" s="9"/>
    </row>
    <row r="71" spans="1:25">
      <c r="A71" s="6">
        <f>15+21/60</f>
        <v>15.35</v>
      </c>
      <c r="B71">
        <v>17</v>
      </c>
      <c r="C71">
        <v>10</v>
      </c>
      <c r="D71">
        <v>2019</v>
      </c>
      <c r="E71" s="6">
        <v>28.247</v>
      </c>
      <c r="F71" s="6">
        <v>102.029</v>
      </c>
      <c r="G71" s="10" t="s">
        <v>124</v>
      </c>
      <c r="H71" t="s">
        <v>20</v>
      </c>
      <c r="I71" t="s">
        <v>147</v>
      </c>
      <c r="J71" t="s">
        <v>146</v>
      </c>
      <c r="K71" t="s">
        <v>146</v>
      </c>
      <c r="L71" t="s">
        <v>142</v>
      </c>
      <c r="M71" t="s">
        <v>164</v>
      </c>
      <c r="N71">
        <v>41100</v>
      </c>
      <c r="O71">
        <f>N71*4</f>
        <v>164400</v>
      </c>
      <c r="P71">
        <v>186200</v>
      </c>
      <c r="Q71">
        <v>32600</v>
      </c>
      <c r="R71">
        <v>18200</v>
      </c>
      <c r="S71">
        <v>0</v>
      </c>
      <c r="T71">
        <v>0</v>
      </c>
      <c r="U71">
        <f>R71</f>
        <v>18200</v>
      </c>
      <c r="V71">
        <f>SUM(O71:Q71)</f>
        <v>383200</v>
      </c>
      <c r="W71">
        <v>0</v>
      </c>
      <c r="Y71" s="9"/>
    </row>
    <row r="72" spans="1:25">
      <c r="A72" s="6">
        <f>14</f>
        <v>14</v>
      </c>
      <c r="B72">
        <v>2</v>
      </c>
      <c r="C72">
        <v>11</v>
      </c>
      <c r="D72">
        <v>2019</v>
      </c>
      <c r="E72" s="6">
        <v>37.832999999999998</v>
      </c>
      <c r="F72" s="6">
        <v>-75.488</v>
      </c>
      <c r="G72" s="10" t="s">
        <v>133</v>
      </c>
      <c r="H72" t="s">
        <v>110</v>
      </c>
      <c r="I72" t="s">
        <v>164</v>
      </c>
      <c r="J72" t="s">
        <v>150</v>
      </c>
      <c r="K72" t="s">
        <v>152</v>
      </c>
      <c r="L72" t="s">
        <v>164</v>
      </c>
      <c r="M72" t="s">
        <v>164</v>
      </c>
      <c r="N72">
        <v>0</v>
      </c>
      <c r="O72">
        <v>0</v>
      </c>
      <c r="P72" s="9">
        <v>242000</v>
      </c>
      <c r="Q72">
        <v>24200</v>
      </c>
      <c r="R72" s="9">
        <v>0</v>
      </c>
      <c r="S72">
        <v>0</v>
      </c>
      <c r="T72" s="9">
        <f>P72</f>
        <v>242000</v>
      </c>
      <c r="U72">
        <v>0</v>
      </c>
      <c r="V72">
        <v>0</v>
      </c>
      <c r="W72">
        <f>Q72</f>
        <v>24200</v>
      </c>
      <c r="Y72" s="9"/>
    </row>
    <row r="73" spans="1:25">
      <c r="A73" s="6">
        <f>3+22/60</f>
        <v>3.3666666666666667</v>
      </c>
      <c r="B73">
        <v>3</v>
      </c>
      <c r="C73">
        <v>11</v>
      </c>
      <c r="D73">
        <v>2019</v>
      </c>
      <c r="E73" s="6">
        <v>38.863</v>
      </c>
      <c r="F73" s="6">
        <v>111.589</v>
      </c>
      <c r="G73" s="10" t="s">
        <v>134</v>
      </c>
      <c r="H73" t="s">
        <v>74</v>
      </c>
      <c r="I73" t="s">
        <v>164</v>
      </c>
      <c r="J73" t="s">
        <v>146</v>
      </c>
      <c r="K73" t="s">
        <v>146</v>
      </c>
      <c r="L73" t="s">
        <v>146</v>
      </c>
      <c r="M73" t="s">
        <v>164</v>
      </c>
      <c r="N73">
        <v>0</v>
      </c>
      <c r="O73">
        <v>0</v>
      </c>
      <c r="P73" s="9">
        <v>183200</v>
      </c>
      <c r="Q73">
        <v>35550</v>
      </c>
      <c r="R73" s="9">
        <v>14000</v>
      </c>
      <c r="S73">
        <v>0</v>
      </c>
      <c r="T73">
        <v>0</v>
      </c>
      <c r="U73">
        <v>0</v>
      </c>
      <c r="V73" s="9">
        <f>SUM(P73:R73)</f>
        <v>232750</v>
      </c>
      <c r="W73">
        <v>0</v>
      </c>
      <c r="Y73" s="9"/>
    </row>
    <row r="74" spans="1:25">
      <c r="A74" s="6">
        <f>17+43/60</f>
        <v>17.716666666666665</v>
      </c>
      <c r="B74">
        <v>4</v>
      </c>
      <c r="C74">
        <v>11</v>
      </c>
      <c r="D74">
        <v>2019</v>
      </c>
      <c r="E74" s="6">
        <v>28.245999999999999</v>
      </c>
      <c r="F74" s="6">
        <v>102.027</v>
      </c>
      <c r="G74" s="10" t="s">
        <v>124</v>
      </c>
      <c r="H74" t="s">
        <v>20</v>
      </c>
      <c r="I74" t="s">
        <v>147</v>
      </c>
      <c r="J74" t="s">
        <v>146</v>
      </c>
      <c r="K74" t="s">
        <v>146</v>
      </c>
      <c r="L74" t="s">
        <v>142</v>
      </c>
      <c r="M74" t="s">
        <v>164</v>
      </c>
      <c r="N74">
        <v>41100</v>
      </c>
      <c r="O74">
        <f>N74*4</f>
        <v>164400</v>
      </c>
      <c r="P74">
        <v>186200</v>
      </c>
      <c r="Q74">
        <v>32600</v>
      </c>
      <c r="R74">
        <v>18200</v>
      </c>
      <c r="S74">
        <v>0</v>
      </c>
      <c r="T74">
        <v>0</v>
      </c>
      <c r="U74">
        <f>R74</f>
        <v>18200</v>
      </c>
      <c r="V74">
        <f>SUM(O74:Q74)</f>
        <v>383200</v>
      </c>
      <c r="W74">
        <v>0</v>
      </c>
      <c r="Y74" s="9"/>
    </row>
    <row r="75" spans="1:25">
      <c r="A75" s="6">
        <f>14+56/60</f>
        <v>14.933333333333334</v>
      </c>
      <c r="B75">
        <v>11</v>
      </c>
      <c r="C75">
        <v>11</v>
      </c>
      <c r="D75">
        <v>2019</v>
      </c>
      <c r="E75" s="6">
        <v>28.562000000000001</v>
      </c>
      <c r="F75" s="6">
        <v>-80.576999999999998</v>
      </c>
      <c r="G75" s="10" t="s">
        <v>131</v>
      </c>
      <c r="H75" t="s">
        <v>23</v>
      </c>
      <c r="I75" t="s">
        <v>164</v>
      </c>
      <c r="J75" t="s">
        <v>150</v>
      </c>
      <c r="K75" t="s">
        <v>150</v>
      </c>
      <c r="L75" t="s">
        <v>164</v>
      </c>
      <c r="M75" t="s">
        <v>164</v>
      </c>
      <c r="N75">
        <v>0</v>
      </c>
      <c r="O75">
        <v>0</v>
      </c>
      <c r="P75" s="9">
        <v>418700</v>
      </c>
      <c r="Q75" s="9">
        <v>111500</v>
      </c>
      <c r="R75" s="9">
        <v>0</v>
      </c>
      <c r="S75" s="9">
        <v>0</v>
      </c>
      <c r="T75" s="9">
        <f>SUM(P75:R75)</f>
        <v>530200</v>
      </c>
      <c r="U75">
        <v>0</v>
      </c>
      <c r="V75">
        <v>0</v>
      </c>
      <c r="W75">
        <v>0</v>
      </c>
      <c r="Y75" s="9"/>
    </row>
    <row r="76" spans="1:25">
      <c r="A76" s="6">
        <f>3+40/60</f>
        <v>3.6666666666666665</v>
      </c>
      <c r="B76">
        <v>13</v>
      </c>
      <c r="C76">
        <v>11</v>
      </c>
      <c r="D76">
        <v>2019</v>
      </c>
      <c r="E76" s="6">
        <v>40.972000000000001</v>
      </c>
      <c r="F76" s="6">
        <v>100.364</v>
      </c>
      <c r="G76" s="10" t="s">
        <v>127</v>
      </c>
      <c r="H76" t="s">
        <v>102</v>
      </c>
      <c r="I76" t="s">
        <v>164</v>
      </c>
      <c r="J76" t="s">
        <v>144</v>
      </c>
      <c r="K76" t="s">
        <v>144</v>
      </c>
      <c r="L76" t="s">
        <v>144</v>
      </c>
      <c r="M76" t="s">
        <v>153</v>
      </c>
      <c r="N76">
        <v>0</v>
      </c>
      <c r="O76">
        <v>0</v>
      </c>
      <c r="P76">
        <v>15000</v>
      </c>
      <c r="Q76">
        <v>7500</v>
      </c>
      <c r="R76">
        <v>2000</v>
      </c>
      <c r="S76">
        <v>150</v>
      </c>
      <c r="T76" s="9">
        <v>0</v>
      </c>
      <c r="U76" s="15">
        <v>0</v>
      </c>
      <c r="V76" s="15">
        <v>150</v>
      </c>
      <c r="W76" s="15">
        <v>24500</v>
      </c>
      <c r="Y76" s="9"/>
    </row>
    <row r="77" spans="1:25">
      <c r="A77" s="6">
        <f>6+35/60</f>
        <v>6.583333333333333</v>
      </c>
      <c r="B77">
        <v>13</v>
      </c>
      <c r="C77">
        <v>11</v>
      </c>
      <c r="D77">
        <v>2019</v>
      </c>
      <c r="E77" s="6">
        <v>38.868000000000002</v>
      </c>
      <c r="F77" s="6">
        <v>111.58</v>
      </c>
      <c r="G77" s="10" t="s">
        <v>134</v>
      </c>
      <c r="H77" t="s">
        <v>111</v>
      </c>
      <c r="I77" t="s">
        <v>164</v>
      </c>
      <c r="J77" t="s">
        <v>150</v>
      </c>
      <c r="K77" t="s">
        <v>150</v>
      </c>
      <c r="L77" t="s">
        <v>154</v>
      </c>
      <c r="M77" t="s">
        <v>164</v>
      </c>
      <c r="N77">
        <v>0</v>
      </c>
      <c r="O77">
        <v>0</v>
      </c>
      <c r="P77" s="9">
        <v>76000</v>
      </c>
      <c r="Q77">
        <v>15000</v>
      </c>
      <c r="R77">
        <v>3180</v>
      </c>
      <c r="S77">
        <v>0</v>
      </c>
      <c r="T77" s="9">
        <f>SUM(P77:R77)</f>
        <v>94180</v>
      </c>
      <c r="U77">
        <v>0</v>
      </c>
      <c r="V77">
        <v>0</v>
      </c>
      <c r="W77">
        <v>0</v>
      </c>
      <c r="Y77" s="9"/>
    </row>
    <row r="78" spans="1:25">
      <c r="A78" s="6">
        <f>10</f>
        <v>10</v>
      </c>
      <c r="B78">
        <v>17</v>
      </c>
      <c r="C78">
        <v>11</v>
      </c>
      <c r="D78">
        <v>2019</v>
      </c>
      <c r="E78" s="6">
        <v>40.972000000000001</v>
      </c>
      <c r="F78" s="6">
        <v>100.364</v>
      </c>
      <c r="G78" s="10" t="s">
        <v>127</v>
      </c>
      <c r="H78" t="s">
        <v>102</v>
      </c>
      <c r="I78" t="s">
        <v>164</v>
      </c>
      <c r="J78" t="s">
        <v>144</v>
      </c>
      <c r="K78" t="s">
        <v>144</v>
      </c>
      <c r="L78" t="s">
        <v>144</v>
      </c>
      <c r="M78" t="s">
        <v>153</v>
      </c>
      <c r="N78">
        <v>0</v>
      </c>
      <c r="O78">
        <v>0</v>
      </c>
      <c r="P78">
        <v>15000</v>
      </c>
      <c r="Q78">
        <v>7500</v>
      </c>
      <c r="R78">
        <v>2000</v>
      </c>
      <c r="S78">
        <v>150</v>
      </c>
      <c r="T78">
        <v>0</v>
      </c>
      <c r="U78">
        <v>0</v>
      </c>
      <c r="V78">
        <f>S78</f>
        <v>150</v>
      </c>
      <c r="W78">
        <f>P78+Q78+R78</f>
        <v>24500</v>
      </c>
      <c r="Y78" s="9"/>
    </row>
    <row r="79" spans="1:25">
      <c r="A79" s="6">
        <f>55/60</f>
        <v>0.91666666666666663</v>
      </c>
      <c r="B79">
        <v>23</v>
      </c>
      <c r="C79">
        <v>11</v>
      </c>
      <c r="D79">
        <v>2019</v>
      </c>
      <c r="E79" s="6">
        <v>28.247</v>
      </c>
      <c r="F79" s="6">
        <v>102.029</v>
      </c>
      <c r="G79" s="10" t="s">
        <v>124</v>
      </c>
      <c r="H79" t="s">
        <v>104</v>
      </c>
      <c r="I79" t="s">
        <v>147</v>
      </c>
      <c r="J79" t="s">
        <v>146</v>
      </c>
      <c r="K79" t="s">
        <v>146</v>
      </c>
      <c r="L79" t="s">
        <v>142</v>
      </c>
      <c r="M79" t="s">
        <v>164</v>
      </c>
      <c r="N79">
        <v>41100</v>
      </c>
      <c r="O79">
        <f>N79*4</f>
        <v>164400</v>
      </c>
      <c r="P79">
        <v>186200</v>
      </c>
      <c r="Q79">
        <v>32600</v>
      </c>
      <c r="R79">
        <v>18200</v>
      </c>
      <c r="S79">
        <v>0</v>
      </c>
      <c r="T79">
        <v>0</v>
      </c>
      <c r="U79">
        <f>R79</f>
        <v>18200</v>
      </c>
      <c r="V79">
        <f>SUM(O79:Q79)</f>
        <v>383200</v>
      </c>
      <c r="W79">
        <v>0</v>
      </c>
      <c r="Y79" s="9"/>
    </row>
    <row r="80" spans="1:25">
      <c r="A80" s="6">
        <f>17+52/60</f>
        <v>17.866666666666667</v>
      </c>
      <c r="B80">
        <v>25</v>
      </c>
      <c r="C80">
        <v>11</v>
      </c>
      <c r="D80">
        <v>2019</v>
      </c>
      <c r="E80" s="6">
        <v>62.929000000000002</v>
      </c>
      <c r="F80" s="6">
        <v>40.457000000000001</v>
      </c>
      <c r="G80" s="10" t="s">
        <v>135</v>
      </c>
      <c r="H80" t="s">
        <v>86</v>
      </c>
      <c r="I80" t="s">
        <v>164</v>
      </c>
      <c r="J80" t="s">
        <v>150</v>
      </c>
      <c r="K80" t="s">
        <v>150</v>
      </c>
      <c r="L80" t="s">
        <v>146</v>
      </c>
      <c r="M80" t="s">
        <v>164</v>
      </c>
      <c r="N80">
        <v>0</v>
      </c>
      <c r="O80">
        <v>0</v>
      </c>
      <c r="P80" s="9">
        <v>119000</v>
      </c>
      <c r="Q80">
        <v>22830</v>
      </c>
      <c r="R80">
        <v>900</v>
      </c>
      <c r="S80">
        <v>0</v>
      </c>
      <c r="T80" s="9">
        <f>P80+Q80</f>
        <v>141830</v>
      </c>
      <c r="U80">
        <v>0</v>
      </c>
      <c r="V80">
        <f>R80</f>
        <v>900</v>
      </c>
      <c r="W80">
        <v>0</v>
      </c>
      <c r="Y80" s="9"/>
    </row>
    <row r="81" spans="1:25">
      <c r="A81" s="6">
        <f>21+23/60</f>
        <v>21.383333333333333</v>
      </c>
      <c r="B81">
        <v>26</v>
      </c>
      <c r="C81">
        <v>11</v>
      </c>
      <c r="D81">
        <v>2019</v>
      </c>
      <c r="E81" s="6">
        <v>5.2389999999999999</v>
      </c>
      <c r="F81" s="6">
        <v>-52.768999999999998</v>
      </c>
      <c r="G81" s="10" t="s">
        <v>129</v>
      </c>
      <c r="H81" t="s">
        <v>38</v>
      </c>
      <c r="I81" t="s">
        <v>160</v>
      </c>
      <c r="J81" t="s">
        <v>142</v>
      </c>
      <c r="K81" t="s">
        <v>142</v>
      </c>
      <c r="L81" t="s">
        <v>164</v>
      </c>
      <c r="M81" t="s">
        <v>164</v>
      </c>
      <c r="N81">
        <v>240000</v>
      </c>
      <c r="O81">
        <f>2*N81</f>
        <v>480000</v>
      </c>
      <c r="P81">
        <v>175000</v>
      </c>
      <c r="Q81">
        <v>14900</v>
      </c>
      <c r="R81">
        <v>0</v>
      </c>
      <c r="S81">
        <v>0</v>
      </c>
      <c r="T81">
        <v>0</v>
      </c>
      <c r="U81">
        <f>P81+Q81</f>
        <v>189900</v>
      </c>
      <c r="V81">
        <v>0</v>
      </c>
      <c r="W81">
        <f>O81</f>
        <v>480000</v>
      </c>
      <c r="Y81" s="9"/>
    </row>
    <row r="82" spans="1:25">
      <c r="A82" s="6">
        <f>3+58/60</f>
        <v>3.9666666666666668</v>
      </c>
      <c r="B82">
        <v>27</v>
      </c>
      <c r="C82">
        <v>11</v>
      </c>
      <c r="D82">
        <v>2019</v>
      </c>
      <c r="E82" s="6">
        <v>13.72</v>
      </c>
      <c r="F82" s="6">
        <v>80.23</v>
      </c>
      <c r="G82" s="10" t="s">
        <v>128</v>
      </c>
      <c r="H82" t="s">
        <v>115</v>
      </c>
      <c r="I82" t="s">
        <v>163</v>
      </c>
      <c r="J82" t="s">
        <v>158</v>
      </c>
      <c r="K82" t="s">
        <v>146</v>
      </c>
      <c r="L82" t="s">
        <v>158</v>
      </c>
      <c r="M82" t="s">
        <v>146</v>
      </c>
      <c r="N82">
        <f>12000</f>
        <v>12000</v>
      </c>
      <c r="O82">
        <f>6*N82</f>
        <v>72000</v>
      </c>
      <c r="P82">
        <v>138000</v>
      </c>
      <c r="Q82">
        <v>41500</v>
      </c>
      <c r="R82">
        <v>7600</v>
      </c>
      <c r="S82">
        <v>2500</v>
      </c>
      <c r="T82">
        <v>0</v>
      </c>
      <c r="U82">
        <v>0</v>
      </c>
      <c r="V82">
        <f>S82+Q82</f>
        <v>44000</v>
      </c>
      <c r="W82">
        <f>O82+P82+R82</f>
        <v>217600</v>
      </c>
      <c r="Y82" s="9"/>
    </row>
    <row r="83" spans="1:25">
      <c r="A83" s="6">
        <f>23+52/60</f>
        <v>23.866666666666667</v>
      </c>
      <c r="B83">
        <v>27</v>
      </c>
      <c r="C83">
        <v>11</v>
      </c>
      <c r="D83">
        <v>2019</v>
      </c>
      <c r="E83" s="6">
        <v>38.863</v>
      </c>
      <c r="F83" s="6">
        <v>111.589</v>
      </c>
      <c r="G83" s="10" t="s">
        <v>134</v>
      </c>
      <c r="H83" t="s">
        <v>80</v>
      </c>
      <c r="I83" t="s">
        <v>164</v>
      </c>
      <c r="J83" t="s">
        <v>146</v>
      </c>
      <c r="K83" t="s">
        <v>146</v>
      </c>
      <c r="L83" t="s">
        <v>146</v>
      </c>
      <c r="M83" t="s">
        <v>164</v>
      </c>
      <c r="N83">
        <v>0</v>
      </c>
      <c r="O83">
        <v>0</v>
      </c>
      <c r="P83" s="9">
        <v>183200</v>
      </c>
      <c r="Q83">
        <v>35550</v>
      </c>
      <c r="R83" s="9">
        <v>14000</v>
      </c>
      <c r="S83">
        <v>0</v>
      </c>
      <c r="T83">
        <v>0</v>
      </c>
      <c r="U83">
        <v>0</v>
      </c>
      <c r="V83" s="9">
        <f>SUM(P83:R83)</f>
        <v>232750</v>
      </c>
      <c r="W83">
        <v>0</v>
      </c>
      <c r="Y83" s="9"/>
    </row>
    <row r="84" spans="1:25">
      <c r="A84" s="6">
        <f>17+29/60</f>
        <v>17.483333333333334</v>
      </c>
      <c r="B84">
        <v>5</v>
      </c>
      <c r="C84">
        <v>12</v>
      </c>
      <c r="D84">
        <v>2019</v>
      </c>
      <c r="E84" s="6">
        <v>28.562000000000001</v>
      </c>
      <c r="F84" s="6">
        <v>-80.576999999999998</v>
      </c>
      <c r="G84" s="10" t="s">
        <v>131</v>
      </c>
      <c r="H84" t="s">
        <v>23</v>
      </c>
      <c r="I84" t="s">
        <v>164</v>
      </c>
      <c r="J84" t="s">
        <v>150</v>
      </c>
      <c r="K84" t="s">
        <v>150</v>
      </c>
      <c r="L84" t="s">
        <v>164</v>
      </c>
      <c r="M84" t="s">
        <v>164</v>
      </c>
      <c r="N84">
        <v>0</v>
      </c>
      <c r="O84">
        <v>0</v>
      </c>
      <c r="P84" s="9">
        <v>418700</v>
      </c>
      <c r="Q84" s="9">
        <v>111500</v>
      </c>
      <c r="R84" s="9">
        <v>0</v>
      </c>
      <c r="S84" s="9">
        <v>0</v>
      </c>
      <c r="T84" s="9">
        <f>P84+Q84</f>
        <v>530200</v>
      </c>
      <c r="U84">
        <v>0</v>
      </c>
      <c r="V84">
        <v>0</v>
      </c>
      <c r="W84">
        <v>0</v>
      </c>
      <c r="Y84" s="9"/>
    </row>
    <row r="85" spans="1:25">
      <c r="A85" s="6">
        <f>8+18/60</f>
        <v>8.3000000000000007</v>
      </c>
      <c r="B85">
        <v>6</v>
      </c>
      <c r="C85">
        <v>12</v>
      </c>
      <c r="D85">
        <v>2019</v>
      </c>
      <c r="E85" s="6">
        <v>-39.251199999999997</v>
      </c>
      <c r="F85" s="6">
        <v>177.8673</v>
      </c>
      <c r="G85" s="10" t="s">
        <v>132</v>
      </c>
      <c r="H85" t="s">
        <v>60</v>
      </c>
      <c r="I85" t="s">
        <v>164</v>
      </c>
      <c r="J85" t="s">
        <v>150</v>
      </c>
      <c r="K85" t="s">
        <v>150</v>
      </c>
      <c r="L85" t="s">
        <v>164</v>
      </c>
      <c r="M85" t="s">
        <v>164</v>
      </c>
      <c r="N85">
        <v>0</v>
      </c>
      <c r="O85">
        <v>0</v>
      </c>
      <c r="P85" s="9">
        <f>9250</f>
        <v>9250</v>
      </c>
      <c r="Q85" s="9">
        <f>2050</f>
        <v>2050</v>
      </c>
      <c r="R85">
        <v>0</v>
      </c>
      <c r="S85">
        <v>0</v>
      </c>
      <c r="T85" s="9">
        <f>P85+Q85</f>
        <v>11300</v>
      </c>
      <c r="U85">
        <v>0</v>
      </c>
      <c r="V85">
        <v>0</v>
      </c>
      <c r="W85">
        <v>0</v>
      </c>
      <c r="Y85" s="9"/>
    </row>
    <row r="86" spans="1:25">
      <c r="A86" s="6">
        <f>9+34/60</f>
        <v>9.5666666666666664</v>
      </c>
      <c r="B86">
        <v>6</v>
      </c>
      <c r="C86">
        <v>12</v>
      </c>
      <c r="D86">
        <v>2019</v>
      </c>
      <c r="E86" s="6">
        <v>45.996000000000002</v>
      </c>
      <c r="F86" s="6">
        <v>63.564</v>
      </c>
      <c r="G86" s="10" t="s">
        <v>130</v>
      </c>
      <c r="H86" t="s">
        <v>64</v>
      </c>
      <c r="I86" t="s">
        <v>149</v>
      </c>
      <c r="J86" t="s">
        <v>164</v>
      </c>
      <c r="K86" t="s">
        <v>150</v>
      </c>
      <c r="L86" t="s">
        <v>150</v>
      </c>
      <c r="M86" t="s">
        <v>164</v>
      </c>
      <c r="N86" s="9">
        <f>39600</f>
        <v>39600</v>
      </c>
      <c r="O86" s="9">
        <f>N86*4</f>
        <v>158400</v>
      </c>
      <c r="P86" s="9">
        <v>0</v>
      </c>
      <c r="Q86" s="9">
        <f>92950</f>
        <v>92950</v>
      </c>
      <c r="R86" s="9">
        <f>22830</f>
        <v>22830</v>
      </c>
      <c r="S86" s="9">
        <v>0</v>
      </c>
      <c r="T86" s="9">
        <f>O86+Q86+R86</f>
        <v>274180</v>
      </c>
      <c r="U86">
        <v>0</v>
      </c>
      <c r="V86" s="9">
        <f>S86</f>
        <v>0</v>
      </c>
      <c r="W86">
        <v>0</v>
      </c>
      <c r="Y86" s="9"/>
    </row>
    <row r="87" spans="1:25">
      <c r="A87" s="6">
        <f>2+55/60</f>
        <v>2.9166666666666665</v>
      </c>
      <c r="B87">
        <v>7</v>
      </c>
      <c r="C87">
        <v>12</v>
      </c>
      <c r="D87">
        <v>2019</v>
      </c>
      <c r="E87">
        <v>38.848999999999997</v>
      </c>
      <c r="F87">
        <v>111.608</v>
      </c>
      <c r="G87" s="10" t="s">
        <v>134</v>
      </c>
      <c r="H87" t="s">
        <v>102</v>
      </c>
      <c r="I87" t="s">
        <v>164</v>
      </c>
      <c r="J87" t="s">
        <v>144</v>
      </c>
      <c r="K87" t="s">
        <v>144</v>
      </c>
      <c r="L87" t="s">
        <v>144</v>
      </c>
      <c r="M87" t="s">
        <v>153</v>
      </c>
      <c r="N87">
        <v>0</v>
      </c>
      <c r="O87">
        <v>0</v>
      </c>
      <c r="P87">
        <v>15000</v>
      </c>
      <c r="Q87">
        <v>7500</v>
      </c>
      <c r="R87">
        <v>2000</v>
      </c>
      <c r="S87">
        <v>150</v>
      </c>
      <c r="T87">
        <v>0</v>
      </c>
      <c r="U87">
        <v>0</v>
      </c>
      <c r="V87">
        <f>S87</f>
        <v>150</v>
      </c>
      <c r="W87">
        <f>P87+Q87+R87</f>
        <v>24500</v>
      </c>
      <c r="Y87" s="9"/>
    </row>
    <row r="88" spans="1:25">
      <c r="A88" s="6">
        <f>8+52/60</f>
        <v>8.8666666666666671</v>
      </c>
      <c r="B88">
        <v>7</v>
      </c>
      <c r="C88">
        <v>12</v>
      </c>
      <c r="D88">
        <v>2019</v>
      </c>
      <c r="E88" s="6">
        <v>38.868000000000002</v>
      </c>
      <c r="F88" s="6">
        <v>111.58</v>
      </c>
      <c r="G88" s="10" t="s">
        <v>134</v>
      </c>
      <c r="H88" t="s">
        <v>102</v>
      </c>
      <c r="I88" t="s">
        <v>164</v>
      </c>
      <c r="J88" t="s">
        <v>144</v>
      </c>
      <c r="K88" t="s">
        <v>144</v>
      </c>
      <c r="L88" t="s">
        <v>144</v>
      </c>
      <c r="M88" t="s">
        <v>153</v>
      </c>
      <c r="N88">
        <v>0</v>
      </c>
      <c r="O88">
        <v>0</v>
      </c>
      <c r="P88">
        <v>15000</v>
      </c>
      <c r="Q88">
        <v>7500</v>
      </c>
      <c r="R88">
        <v>2000</v>
      </c>
      <c r="S88">
        <v>150</v>
      </c>
      <c r="T88">
        <v>0</v>
      </c>
      <c r="U88">
        <v>0</v>
      </c>
      <c r="V88">
        <f>S88</f>
        <v>150</v>
      </c>
      <c r="W88">
        <f>P88+Q88+R88</f>
        <v>24500</v>
      </c>
      <c r="Y88" s="9"/>
    </row>
    <row r="89" spans="1:25">
      <c r="A89" s="6">
        <f>8+55/60</f>
        <v>8.9166666666666661</v>
      </c>
      <c r="B89">
        <v>11</v>
      </c>
      <c r="C89">
        <v>12</v>
      </c>
      <c r="D89">
        <v>2019</v>
      </c>
      <c r="E89" s="6">
        <v>62.927</v>
      </c>
      <c r="F89" s="6">
        <v>40.450000000000003</v>
      </c>
      <c r="G89" s="10" t="s">
        <v>135</v>
      </c>
      <c r="H89" t="s">
        <v>39</v>
      </c>
      <c r="I89" t="s">
        <v>149</v>
      </c>
      <c r="J89" t="s">
        <v>164</v>
      </c>
      <c r="K89" t="s">
        <v>150</v>
      </c>
      <c r="L89" t="s">
        <v>150</v>
      </c>
      <c r="M89" t="s">
        <v>146</v>
      </c>
      <c r="N89" s="9">
        <f>39600</f>
        <v>39600</v>
      </c>
      <c r="O89" s="9">
        <f>N89*4</f>
        <v>158400</v>
      </c>
      <c r="P89" s="9">
        <v>0</v>
      </c>
      <c r="Q89" s="9">
        <f>92950</f>
        <v>92950</v>
      </c>
      <c r="R89" s="9">
        <f>22830</f>
        <v>22830</v>
      </c>
      <c r="S89" s="9">
        <v>5350</v>
      </c>
      <c r="T89" s="9">
        <f>O89+Q89+R89</f>
        <v>274180</v>
      </c>
      <c r="U89">
        <v>0</v>
      </c>
      <c r="V89" s="9">
        <f>S89</f>
        <v>5350</v>
      </c>
      <c r="W89">
        <v>0</v>
      </c>
      <c r="Y89" s="9"/>
    </row>
    <row r="90" spans="1:25">
      <c r="A90" s="6">
        <f>9+55/60</f>
        <v>9.9166666666666661</v>
      </c>
      <c r="B90">
        <v>11</v>
      </c>
      <c r="C90">
        <v>12</v>
      </c>
      <c r="D90">
        <v>2019</v>
      </c>
      <c r="E90" s="6">
        <v>13.72</v>
      </c>
      <c r="F90" s="6">
        <v>80.23</v>
      </c>
      <c r="G90" s="10" t="s">
        <v>128</v>
      </c>
      <c r="H90" t="s">
        <v>62</v>
      </c>
      <c r="I90" t="s">
        <v>161</v>
      </c>
      <c r="J90" t="s">
        <v>158</v>
      </c>
      <c r="K90" t="s">
        <v>146</v>
      </c>
      <c r="L90" t="s">
        <v>158</v>
      </c>
      <c r="M90" t="s">
        <v>146</v>
      </c>
      <c r="N90">
        <f>12000</f>
        <v>12000</v>
      </c>
      <c r="O90">
        <f>4*N90</f>
        <v>48000</v>
      </c>
      <c r="P90">
        <v>138000</v>
      </c>
      <c r="Q90">
        <v>41500</v>
      </c>
      <c r="R90">
        <v>7600</v>
      </c>
      <c r="S90">
        <v>2500</v>
      </c>
      <c r="T90">
        <v>0</v>
      </c>
      <c r="U90">
        <v>0</v>
      </c>
      <c r="V90">
        <f>S90+Q90</f>
        <v>44000</v>
      </c>
      <c r="W90">
        <f>O90+P90+R90</f>
        <v>193600</v>
      </c>
      <c r="Y90" s="9"/>
    </row>
    <row r="91" spans="1:25">
      <c r="A91" s="6">
        <f>7+22/60</f>
        <v>7.3666666666666663</v>
      </c>
      <c r="B91">
        <v>16</v>
      </c>
      <c r="C91">
        <v>12</v>
      </c>
      <c r="D91">
        <v>2019</v>
      </c>
      <c r="E91" s="6">
        <v>28.247</v>
      </c>
      <c r="F91" s="6">
        <v>102.029</v>
      </c>
      <c r="G91" s="10" t="s">
        <v>124</v>
      </c>
      <c r="H91" t="s">
        <v>104</v>
      </c>
      <c r="I91" t="s">
        <v>147</v>
      </c>
      <c r="J91" t="s">
        <v>146</v>
      </c>
      <c r="K91" t="s">
        <v>146</v>
      </c>
      <c r="L91" t="s">
        <v>142</v>
      </c>
      <c r="M91" t="s">
        <v>164</v>
      </c>
      <c r="N91">
        <v>41100</v>
      </c>
      <c r="O91">
        <f>N91*4</f>
        <v>164400</v>
      </c>
      <c r="P91">
        <v>186200</v>
      </c>
      <c r="Q91">
        <v>32600</v>
      </c>
      <c r="R91">
        <v>18200</v>
      </c>
      <c r="S91">
        <v>0</v>
      </c>
      <c r="T91">
        <v>0</v>
      </c>
      <c r="U91">
        <f>R91</f>
        <v>18200</v>
      </c>
      <c r="V91">
        <f>SUM(O91:Q91)</f>
        <v>383200</v>
      </c>
      <c r="W91">
        <v>0</v>
      </c>
      <c r="Y91" s="9"/>
    </row>
    <row r="92" spans="1:25">
      <c r="A92" s="6">
        <f>10/60</f>
        <v>0.16666666666666666</v>
      </c>
      <c r="B92">
        <v>17</v>
      </c>
      <c r="C92">
        <v>12</v>
      </c>
      <c r="D92">
        <v>2019</v>
      </c>
      <c r="E92" s="6">
        <v>28.562000000000001</v>
      </c>
      <c r="F92" s="6">
        <v>-80.576999999999998</v>
      </c>
      <c r="G92" s="10" t="s">
        <v>131</v>
      </c>
      <c r="H92" t="s">
        <v>23</v>
      </c>
      <c r="I92" t="s">
        <v>164</v>
      </c>
      <c r="J92" t="s">
        <v>150</v>
      </c>
      <c r="K92" t="s">
        <v>150</v>
      </c>
      <c r="L92" t="s">
        <v>164</v>
      </c>
      <c r="M92" t="s">
        <v>164</v>
      </c>
      <c r="N92">
        <v>0</v>
      </c>
      <c r="O92">
        <v>0</v>
      </c>
      <c r="P92" s="9">
        <v>418700</v>
      </c>
      <c r="Q92" s="9">
        <v>111500</v>
      </c>
      <c r="R92" s="9">
        <v>0</v>
      </c>
      <c r="S92" s="9">
        <v>0</v>
      </c>
      <c r="T92" s="9">
        <f>P92+Q92</f>
        <v>530200</v>
      </c>
      <c r="U92">
        <v>0</v>
      </c>
      <c r="V92">
        <v>0</v>
      </c>
      <c r="W92">
        <v>0</v>
      </c>
      <c r="Y92" s="9"/>
    </row>
    <row r="93" spans="1:25">
      <c r="A93" s="6">
        <f>8+54/60</f>
        <v>8.9</v>
      </c>
      <c r="B93">
        <v>18</v>
      </c>
      <c r="C93">
        <v>12</v>
      </c>
      <c r="D93">
        <v>2019</v>
      </c>
      <c r="E93" s="6">
        <v>5.3010000000000002</v>
      </c>
      <c r="F93" s="6">
        <v>-52.837000000000003</v>
      </c>
      <c r="G93" s="10" t="s">
        <v>129</v>
      </c>
      <c r="H93" t="s">
        <v>117</v>
      </c>
      <c r="I93" t="s">
        <v>149</v>
      </c>
      <c r="J93" t="s">
        <v>164</v>
      </c>
      <c r="K93" t="s">
        <v>150</v>
      </c>
      <c r="L93" t="s">
        <v>150</v>
      </c>
      <c r="M93" t="s">
        <v>146</v>
      </c>
      <c r="N93" s="9">
        <f>39600</f>
        <v>39600</v>
      </c>
      <c r="O93" s="9">
        <f>N93*4</f>
        <v>158400</v>
      </c>
      <c r="P93" s="9">
        <v>0</v>
      </c>
      <c r="Q93" s="9">
        <f>92950</f>
        <v>92950</v>
      </c>
      <c r="R93" s="9">
        <f>22830</f>
        <v>22830</v>
      </c>
      <c r="S93" s="9">
        <v>5350</v>
      </c>
      <c r="T93" s="9">
        <f>O93+Q93+R93</f>
        <v>274180</v>
      </c>
      <c r="U93">
        <v>0</v>
      </c>
      <c r="V93" s="9">
        <f>S93</f>
        <v>5350</v>
      </c>
      <c r="W93">
        <v>0</v>
      </c>
      <c r="Y93" s="9"/>
    </row>
    <row r="94" spans="1:25">
      <c r="A94" s="6">
        <f>3+22/60</f>
        <v>3.3666666666666667</v>
      </c>
      <c r="B94">
        <v>20</v>
      </c>
      <c r="C94">
        <v>12</v>
      </c>
      <c r="D94">
        <v>2019</v>
      </c>
      <c r="E94" s="6">
        <v>38.863</v>
      </c>
      <c r="F94" s="6">
        <v>111.589</v>
      </c>
      <c r="G94" s="10" t="s">
        <v>134</v>
      </c>
      <c r="H94" t="s">
        <v>74</v>
      </c>
      <c r="I94" t="s">
        <v>164</v>
      </c>
      <c r="J94" t="s">
        <v>146</v>
      </c>
      <c r="K94" t="s">
        <v>146</v>
      </c>
      <c r="L94" t="s">
        <v>146</v>
      </c>
      <c r="M94" t="s">
        <v>164</v>
      </c>
      <c r="N94">
        <v>0</v>
      </c>
      <c r="O94">
        <v>0</v>
      </c>
      <c r="P94" s="9">
        <v>183200</v>
      </c>
      <c r="Q94">
        <v>35550</v>
      </c>
      <c r="R94" s="9">
        <v>14000</v>
      </c>
      <c r="S94">
        <v>0</v>
      </c>
      <c r="T94">
        <v>0</v>
      </c>
      <c r="U94">
        <v>0</v>
      </c>
      <c r="V94" s="9">
        <f>SUM(P94:R94)</f>
        <v>232750</v>
      </c>
      <c r="W94">
        <v>0</v>
      </c>
      <c r="Y94" s="9"/>
    </row>
    <row r="95" spans="1:25">
      <c r="A95" s="6">
        <f>11+37/60</f>
        <v>11.616666666666667</v>
      </c>
      <c r="B95">
        <v>20</v>
      </c>
      <c r="C95">
        <v>12</v>
      </c>
      <c r="D95">
        <v>2019</v>
      </c>
      <c r="E95" s="6">
        <v>28.582999999999998</v>
      </c>
      <c r="F95" s="6">
        <v>-80.582999999999998</v>
      </c>
      <c r="G95" s="10" t="s">
        <v>131</v>
      </c>
      <c r="H95" t="s">
        <v>118</v>
      </c>
      <c r="I95" t="s">
        <v>159</v>
      </c>
      <c r="J95" t="s">
        <v>150</v>
      </c>
      <c r="K95" t="s">
        <v>142</v>
      </c>
      <c r="L95" t="s">
        <v>164</v>
      </c>
      <c r="M95" t="s">
        <v>164</v>
      </c>
      <c r="N95">
        <v>42630</v>
      </c>
      <c r="O95">
        <f>2*N95</f>
        <v>85260</v>
      </c>
      <c r="P95" s="9">
        <v>284090</v>
      </c>
      <c r="Q95" s="9">
        <v>20800</v>
      </c>
      <c r="R95" s="9">
        <v>0</v>
      </c>
      <c r="S95">
        <v>0</v>
      </c>
      <c r="T95" s="9">
        <f>P95</f>
        <v>284090</v>
      </c>
      <c r="U95" s="9">
        <f>Q95</f>
        <v>20800</v>
      </c>
      <c r="V95">
        <v>0</v>
      </c>
      <c r="W95">
        <f>O95</f>
        <v>85260</v>
      </c>
      <c r="Y95" s="9"/>
    </row>
    <row r="96" spans="1:25">
      <c r="A96" s="6">
        <f>12+3/60</f>
        <v>12.05</v>
      </c>
      <c r="B96">
        <v>24</v>
      </c>
      <c r="C96">
        <v>12</v>
      </c>
      <c r="D96">
        <v>2019</v>
      </c>
      <c r="E96" s="6">
        <v>46.070999999999998</v>
      </c>
      <c r="F96" s="6">
        <v>62.984999999999999</v>
      </c>
      <c r="G96" s="10" t="s">
        <v>130</v>
      </c>
      <c r="H96" t="s">
        <v>87</v>
      </c>
      <c r="I96" t="s">
        <v>164</v>
      </c>
      <c r="J96" t="s">
        <v>146</v>
      </c>
      <c r="K96" t="s">
        <v>146</v>
      </c>
      <c r="L96" t="s">
        <v>146</v>
      </c>
      <c r="M96" t="s">
        <v>150</v>
      </c>
      <c r="N96">
        <v>0</v>
      </c>
      <c r="O96">
        <v>0</v>
      </c>
      <c r="P96" s="9">
        <v>428300</v>
      </c>
      <c r="Q96">
        <v>157300</v>
      </c>
      <c r="R96" s="9">
        <v>46562</v>
      </c>
      <c r="S96">
        <v>18800</v>
      </c>
      <c r="T96">
        <f>S96</f>
        <v>18800</v>
      </c>
      <c r="U96">
        <v>0</v>
      </c>
      <c r="V96" s="9">
        <f>SUM(P96:R96)</f>
        <v>632162</v>
      </c>
      <c r="W96">
        <v>0</v>
      </c>
      <c r="Y96" s="9"/>
    </row>
    <row r="97" spans="1:25">
      <c r="A97" s="6">
        <f>23+12/60</f>
        <v>23.2</v>
      </c>
      <c r="B97">
        <v>26</v>
      </c>
      <c r="C97">
        <v>12</v>
      </c>
      <c r="D97">
        <v>2019</v>
      </c>
      <c r="E97" s="6">
        <v>62.887</v>
      </c>
      <c r="F97" s="6">
        <v>40.847000000000001</v>
      </c>
      <c r="G97" s="10" t="s">
        <v>135</v>
      </c>
      <c r="H97" t="s">
        <v>101</v>
      </c>
      <c r="I97" t="s">
        <v>164</v>
      </c>
      <c r="J97" t="s">
        <v>146</v>
      </c>
      <c r="K97" t="s">
        <v>146</v>
      </c>
      <c r="L97" t="s">
        <v>146</v>
      </c>
      <c r="M97" t="s">
        <v>164</v>
      </c>
      <c r="N97">
        <v>0</v>
      </c>
      <c r="O97">
        <v>0</v>
      </c>
      <c r="P97" s="9">
        <v>71450</v>
      </c>
      <c r="Q97">
        <v>10710</v>
      </c>
      <c r="R97">
        <v>4965</v>
      </c>
      <c r="S97">
        <v>0</v>
      </c>
      <c r="T97">
        <v>0</v>
      </c>
      <c r="U97">
        <v>0</v>
      </c>
      <c r="V97" s="9">
        <f>SUM(P97:R97)</f>
        <v>87125</v>
      </c>
      <c r="W97">
        <v>0</v>
      </c>
      <c r="Y97" s="9"/>
    </row>
    <row r="98" spans="1:25">
      <c r="A98" s="6">
        <f>12+45/60</f>
        <v>12.75</v>
      </c>
      <c r="B98">
        <v>27</v>
      </c>
      <c r="C98">
        <v>12</v>
      </c>
      <c r="D98">
        <v>2019</v>
      </c>
      <c r="E98" s="6">
        <v>19.614000000000001</v>
      </c>
      <c r="F98" s="6">
        <v>110.95099999999999</v>
      </c>
      <c r="G98" s="10" t="s">
        <v>139</v>
      </c>
      <c r="H98" t="s">
        <v>120</v>
      </c>
      <c r="I98" t="s">
        <v>149</v>
      </c>
      <c r="J98" t="s">
        <v>142</v>
      </c>
      <c r="K98" t="s">
        <v>142</v>
      </c>
      <c r="L98" t="s">
        <v>164</v>
      </c>
      <c r="M98" t="s">
        <v>164</v>
      </c>
      <c r="N98">
        <v>152000</v>
      </c>
      <c r="O98">
        <f>4*N98</f>
        <v>608000</v>
      </c>
      <c r="P98">
        <v>158000</v>
      </c>
      <c r="Q98">
        <v>22900</v>
      </c>
      <c r="R98">
        <v>0</v>
      </c>
      <c r="S98">
        <v>0</v>
      </c>
      <c r="T98">
        <f>O98</f>
        <v>608000</v>
      </c>
      <c r="U98">
        <f>P98+Q98</f>
        <v>180900</v>
      </c>
      <c r="V98">
        <v>0</v>
      </c>
      <c r="W98">
        <v>0</v>
      </c>
      <c r="Y98" s="9"/>
    </row>
    <row r="99" spans="1:25">
      <c r="A99" s="6">
        <v>9</v>
      </c>
      <c r="B99">
        <v>29</v>
      </c>
      <c r="C99">
        <v>8</v>
      </c>
      <c r="D99">
        <v>2019</v>
      </c>
      <c r="E99" s="6">
        <v>35.234000000000002</v>
      </c>
      <c r="F99" s="6">
        <v>53.920999999999999</v>
      </c>
      <c r="G99" s="10" t="s">
        <v>140</v>
      </c>
      <c r="H99" t="s">
        <v>36</v>
      </c>
      <c r="I99" t="s">
        <v>164</v>
      </c>
      <c r="J99" t="s">
        <v>146</v>
      </c>
      <c r="K99" t="s">
        <v>146</v>
      </c>
      <c r="L99" t="s">
        <v>164</v>
      </c>
      <c r="M99" t="s">
        <v>164</v>
      </c>
      <c r="N99">
        <v>0</v>
      </c>
      <c r="O99">
        <v>0</v>
      </c>
      <c r="P99">
        <v>18200</v>
      </c>
      <c r="Q99">
        <v>3050</v>
      </c>
      <c r="R99">
        <v>0</v>
      </c>
      <c r="S99">
        <v>0</v>
      </c>
      <c r="T99">
        <v>0</v>
      </c>
      <c r="U99">
        <v>0</v>
      </c>
      <c r="V99" s="9">
        <f>SUM(P99:R99)</f>
        <v>21250</v>
      </c>
      <c r="W99">
        <v>0</v>
      </c>
      <c r="Y99" s="9"/>
    </row>
    <row r="100" spans="1:25">
      <c r="A100" s="6">
        <f>30/60</f>
        <v>0.5</v>
      </c>
      <c r="B100">
        <v>15</v>
      </c>
      <c r="C100">
        <v>1</v>
      </c>
      <c r="D100">
        <v>2019</v>
      </c>
      <c r="E100" s="6">
        <v>35.238</v>
      </c>
      <c r="F100" s="6">
        <v>53.951000000000001</v>
      </c>
      <c r="G100" s="10" t="s">
        <v>140</v>
      </c>
      <c r="H100" t="s">
        <v>25</v>
      </c>
      <c r="I100" t="s">
        <v>164</v>
      </c>
      <c r="J100" t="s">
        <v>155</v>
      </c>
      <c r="K100" t="s">
        <v>155</v>
      </c>
      <c r="L100" t="s">
        <v>144</v>
      </c>
      <c r="M100" t="s">
        <v>164</v>
      </c>
      <c r="N100">
        <v>0</v>
      </c>
      <c r="O100">
        <v>0</v>
      </c>
      <c r="P100">
        <v>63000</v>
      </c>
      <c r="Q100">
        <v>8000</v>
      </c>
      <c r="R100">
        <v>185</v>
      </c>
      <c r="S100">
        <v>0</v>
      </c>
      <c r="T100">
        <v>0</v>
      </c>
      <c r="U100">
        <v>0</v>
      </c>
      <c r="V100">
        <f>P100+Q100</f>
        <v>71000</v>
      </c>
      <c r="W100">
        <f>R100</f>
        <v>185</v>
      </c>
      <c r="Y100" s="9"/>
    </row>
    <row r="101" spans="1:25">
      <c r="A101" s="6">
        <v>9</v>
      </c>
      <c r="B101">
        <v>5</v>
      </c>
      <c r="C101">
        <v>2</v>
      </c>
      <c r="D101">
        <v>2019</v>
      </c>
      <c r="E101" s="6">
        <v>35.234000000000002</v>
      </c>
      <c r="F101" s="6">
        <v>53.920999999999999</v>
      </c>
      <c r="G101" s="10" t="s">
        <v>140</v>
      </c>
      <c r="H101" t="s">
        <v>36</v>
      </c>
      <c r="I101" t="s">
        <v>164</v>
      </c>
      <c r="J101" t="s">
        <v>146</v>
      </c>
      <c r="K101" t="s">
        <v>146</v>
      </c>
      <c r="L101" t="s">
        <v>164</v>
      </c>
      <c r="M101" t="s">
        <v>164</v>
      </c>
      <c r="N101">
        <v>0</v>
      </c>
      <c r="O101">
        <v>0</v>
      </c>
      <c r="P101">
        <v>18200</v>
      </c>
      <c r="Q101">
        <v>3050</v>
      </c>
      <c r="R101">
        <v>0</v>
      </c>
      <c r="S101">
        <v>0</v>
      </c>
      <c r="T101">
        <v>0</v>
      </c>
      <c r="U101">
        <v>0</v>
      </c>
      <c r="V101">
        <f>P101+Q101</f>
        <v>21250</v>
      </c>
      <c r="W101">
        <v>0</v>
      </c>
      <c r="Y101" s="9"/>
    </row>
    <row r="102" spans="1:25">
      <c r="A102" s="6">
        <f>9+39/60</f>
        <v>9.65</v>
      </c>
      <c r="B102">
        <v>27</v>
      </c>
      <c r="C102">
        <v>3</v>
      </c>
      <c r="D102">
        <v>2019</v>
      </c>
      <c r="E102" s="11">
        <v>40.960999999999999</v>
      </c>
      <c r="F102" s="11">
        <v>100.298</v>
      </c>
      <c r="G102" s="12" t="s">
        <v>127</v>
      </c>
      <c r="H102" t="s">
        <v>59</v>
      </c>
      <c r="I102" t="s">
        <v>164</v>
      </c>
      <c r="J102" t="s">
        <v>144</v>
      </c>
      <c r="K102" t="s">
        <v>144</v>
      </c>
      <c r="L102" t="s">
        <v>144</v>
      </c>
      <c r="M102" t="s">
        <v>143</v>
      </c>
      <c r="N102">
        <v>0</v>
      </c>
      <c r="O102">
        <v>0</v>
      </c>
      <c r="P102">
        <v>15010</v>
      </c>
      <c r="Q102">
        <v>3930</v>
      </c>
      <c r="R102">
        <v>900</v>
      </c>
      <c r="S102">
        <v>150</v>
      </c>
      <c r="T102">
        <v>0</v>
      </c>
      <c r="U102">
        <v>0</v>
      </c>
      <c r="V102">
        <v>0</v>
      </c>
      <c r="W102">
        <f>SUM(P102:S102)</f>
        <v>19990</v>
      </c>
      <c r="Y102" s="9"/>
    </row>
    <row r="103" spans="1:25">
      <c r="A103" s="6">
        <f>22+49/60</f>
        <v>22.816666666666666</v>
      </c>
      <c r="B103">
        <v>22</v>
      </c>
      <c r="C103">
        <v>5</v>
      </c>
      <c r="D103">
        <v>2019</v>
      </c>
      <c r="E103" s="6">
        <v>38.863</v>
      </c>
      <c r="F103" s="6">
        <v>111.589</v>
      </c>
      <c r="G103" s="10" t="s">
        <v>134</v>
      </c>
      <c r="H103" t="s">
        <v>80</v>
      </c>
      <c r="I103" t="s">
        <v>164</v>
      </c>
      <c r="J103" t="s">
        <v>146</v>
      </c>
      <c r="K103" t="s">
        <v>146</v>
      </c>
      <c r="L103" t="s">
        <v>146</v>
      </c>
      <c r="M103" t="s">
        <v>164</v>
      </c>
      <c r="N103">
        <v>0</v>
      </c>
      <c r="O103">
        <v>0</v>
      </c>
      <c r="P103" s="9">
        <v>183200</v>
      </c>
      <c r="Q103">
        <v>35550</v>
      </c>
      <c r="R103" s="9">
        <v>14000</v>
      </c>
      <c r="S103">
        <v>0</v>
      </c>
      <c r="T103">
        <v>0</v>
      </c>
      <c r="U103">
        <v>0</v>
      </c>
      <c r="V103" s="9">
        <f>SUM(P103:R103)</f>
        <v>232750</v>
      </c>
      <c r="W103">
        <v>0</v>
      </c>
      <c r="Y103" s="9"/>
    </row>
    <row r="104" spans="1:25">
      <c r="A104" s="4">
        <f>1+53/60</f>
        <v>1.8833333333333333</v>
      </c>
      <c r="B104" s="5">
        <v>11</v>
      </c>
      <c r="C104" s="5">
        <v>7</v>
      </c>
      <c r="D104" s="5">
        <v>2019</v>
      </c>
      <c r="E104" s="4">
        <v>5.2359999999999998</v>
      </c>
      <c r="F104" s="4">
        <v>-52.774999999999999</v>
      </c>
      <c r="G104" s="16" t="s">
        <v>129</v>
      </c>
      <c r="H104" s="5" t="s">
        <v>56</v>
      </c>
      <c r="I104" s="5" t="s">
        <v>164</v>
      </c>
      <c r="J104" s="5" t="s">
        <v>158</v>
      </c>
      <c r="K104" s="5" t="s">
        <v>158</v>
      </c>
      <c r="L104" s="5" t="s">
        <v>158</v>
      </c>
      <c r="M104" s="5" t="s">
        <v>146</v>
      </c>
      <c r="N104" s="5">
        <v>0</v>
      </c>
      <c r="O104" s="5">
        <v>0</v>
      </c>
      <c r="P104" s="17">
        <v>88365</v>
      </c>
      <c r="Q104" s="17">
        <v>23900</v>
      </c>
      <c r="R104" s="17">
        <v>10115</v>
      </c>
      <c r="S104" s="5">
        <v>550</v>
      </c>
      <c r="T104" s="5">
        <v>0</v>
      </c>
      <c r="U104" s="5">
        <v>0</v>
      </c>
      <c r="V104" s="5">
        <f>S104</f>
        <v>550</v>
      </c>
      <c r="W104" s="17">
        <f>SUM(P104:R104)</f>
        <v>122380</v>
      </c>
      <c r="X104" s="5"/>
      <c r="Y104" s="9"/>
    </row>
    <row r="105" spans="1:25">
      <c r="H105" s="2"/>
      <c r="Y1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0C29-7E6F-456C-AEAB-5BC19CFFFA3A}">
  <dimension ref="A1:P187"/>
  <sheetViews>
    <sheetView tabSelected="1" workbookViewId="0">
      <selection activeCell="B6" sqref="B6"/>
    </sheetView>
  </sheetViews>
  <sheetFormatPr defaultRowHeight="14.4"/>
  <cols>
    <col min="1" max="1" width="10.44140625" bestFit="1" customWidth="1"/>
    <col min="2" max="2" width="10" bestFit="1" customWidth="1"/>
    <col min="6" max="6" width="8" bestFit="1" customWidth="1"/>
    <col min="7" max="7" width="9.44140625" bestFit="1" customWidth="1"/>
    <col min="8" max="8" width="25" bestFit="1" customWidth="1"/>
    <col min="9" max="9" width="11.109375" bestFit="1" customWidth="1"/>
    <col min="10" max="10" width="18.77734375" bestFit="1" customWidth="1"/>
    <col min="11" max="11" width="28.21875" bestFit="1" customWidth="1"/>
    <col min="12" max="12" width="16.6640625" bestFit="1" customWidth="1"/>
    <col min="13" max="13" width="18.6640625" bestFit="1" customWidth="1"/>
    <col min="14" max="14" width="22" bestFit="1" customWidth="1"/>
    <col min="15" max="15" width="14.5546875" bestFit="1" customWidth="1"/>
    <col min="16" max="16" width="21" bestFit="1" customWidth="1"/>
  </cols>
  <sheetData>
    <row r="1" spans="1:16" ht="15" thickBot="1">
      <c r="A1" s="18" t="s">
        <v>3</v>
      </c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180</v>
      </c>
      <c r="L1" s="18" t="s">
        <v>181</v>
      </c>
      <c r="M1" s="18" t="s">
        <v>182</v>
      </c>
      <c r="N1" s="18" t="s">
        <v>183</v>
      </c>
      <c r="O1" s="18" t="s">
        <v>184</v>
      </c>
      <c r="P1" s="18" t="s">
        <v>185</v>
      </c>
    </row>
    <row r="2" spans="1:16" ht="15" thickTop="1">
      <c r="A2" t="s">
        <v>13</v>
      </c>
      <c r="B2" s="6">
        <f>1+31/60</f>
        <v>1.5166666666666666</v>
      </c>
      <c r="C2">
        <v>1</v>
      </c>
      <c r="D2">
        <v>1</v>
      </c>
      <c r="E2">
        <v>2019</v>
      </c>
      <c r="F2">
        <v>7.8230000000000004</v>
      </c>
      <c r="G2">
        <v>54.164000000000001</v>
      </c>
      <c r="H2" t="s">
        <v>14</v>
      </c>
      <c r="I2" t="s">
        <v>15</v>
      </c>
      <c r="O2">
        <v>5500</v>
      </c>
      <c r="P2">
        <v>5500</v>
      </c>
    </row>
    <row r="3" spans="1:16">
      <c r="A3" t="s">
        <v>13</v>
      </c>
      <c r="B3" s="6">
        <f>7+58/60</f>
        <v>7.9666666666666668</v>
      </c>
      <c r="C3">
        <v>5</v>
      </c>
      <c r="D3">
        <v>1</v>
      </c>
      <c r="E3">
        <v>2019</v>
      </c>
      <c r="F3">
        <v>-43.753</v>
      </c>
      <c r="G3">
        <v>-179.976</v>
      </c>
      <c r="H3" t="s">
        <v>16</v>
      </c>
      <c r="I3" t="s">
        <v>17</v>
      </c>
      <c r="O3">
        <v>1900</v>
      </c>
      <c r="P3">
        <v>1900</v>
      </c>
    </row>
    <row r="4" spans="1:16">
      <c r="A4" t="s">
        <v>13</v>
      </c>
      <c r="B4" s="6">
        <f>9+32/60</f>
        <v>9.5333333333333332</v>
      </c>
      <c r="C4">
        <v>5</v>
      </c>
      <c r="D4">
        <v>1</v>
      </c>
      <c r="E4">
        <v>2019</v>
      </c>
      <c r="F4">
        <v>-1.2050000000000001</v>
      </c>
      <c r="G4">
        <v>89.745999999999995</v>
      </c>
      <c r="H4" t="s">
        <v>18</v>
      </c>
      <c r="I4" t="s">
        <v>15</v>
      </c>
      <c r="J4" t="s">
        <v>19</v>
      </c>
      <c r="O4">
        <v>4500</v>
      </c>
      <c r="P4">
        <v>4500</v>
      </c>
    </row>
    <row r="5" spans="1:16">
      <c r="A5" t="s">
        <v>13</v>
      </c>
      <c r="B5" s="6">
        <f>17+8/60</f>
        <v>17.133333333333333</v>
      </c>
      <c r="C5">
        <v>10</v>
      </c>
      <c r="D5">
        <v>1</v>
      </c>
      <c r="E5">
        <v>2019</v>
      </c>
      <c r="F5" s="7">
        <v>28.245999999999999</v>
      </c>
      <c r="G5" s="7">
        <v>102.027</v>
      </c>
      <c r="H5" t="s">
        <v>20</v>
      </c>
      <c r="I5" t="s">
        <v>15</v>
      </c>
      <c r="J5" t="s">
        <v>21</v>
      </c>
      <c r="K5">
        <v>50</v>
      </c>
      <c r="L5">
        <v>15600</v>
      </c>
      <c r="M5">
        <v>9800</v>
      </c>
      <c r="N5">
        <v>4000</v>
      </c>
      <c r="O5">
        <v>29400</v>
      </c>
      <c r="P5">
        <v>14700</v>
      </c>
    </row>
    <row r="6" spans="1:16">
      <c r="A6" t="s">
        <v>22</v>
      </c>
      <c r="B6" s="6">
        <f>15+34/60</f>
        <v>15.566666666666666</v>
      </c>
      <c r="C6">
        <v>11</v>
      </c>
      <c r="D6">
        <v>1</v>
      </c>
      <c r="E6">
        <v>2019</v>
      </c>
      <c r="F6" s="6">
        <v>34.631999999999998</v>
      </c>
      <c r="G6" s="6">
        <v>-120.611</v>
      </c>
      <c r="H6" t="s">
        <v>23</v>
      </c>
      <c r="I6" t="s">
        <v>15</v>
      </c>
      <c r="J6" t="s">
        <v>24</v>
      </c>
      <c r="L6">
        <v>0</v>
      </c>
      <c r="M6">
        <v>27200</v>
      </c>
      <c r="O6">
        <v>27200</v>
      </c>
      <c r="P6">
        <v>4760</v>
      </c>
    </row>
    <row r="7" spans="1:16">
      <c r="A7" t="s">
        <v>13</v>
      </c>
      <c r="B7" s="6">
        <v>0.5</v>
      </c>
      <c r="C7">
        <v>15</v>
      </c>
      <c r="D7">
        <v>1</v>
      </c>
      <c r="E7">
        <v>2019</v>
      </c>
      <c r="F7" s="6">
        <v>35.238</v>
      </c>
      <c r="G7" s="6">
        <v>53.951000000000001</v>
      </c>
      <c r="H7" t="s">
        <v>25</v>
      </c>
      <c r="I7" t="s">
        <v>15</v>
      </c>
      <c r="M7">
        <v>12700</v>
      </c>
      <c r="N7">
        <f>1600</f>
        <v>1600</v>
      </c>
      <c r="O7">
        <f>SUM(M7:N7)</f>
        <v>14300</v>
      </c>
      <c r="P7">
        <f>O7</f>
        <v>14300</v>
      </c>
    </row>
    <row r="8" spans="1:16">
      <c r="A8" t="s">
        <v>13</v>
      </c>
      <c r="B8" s="6">
        <f>12+57/60</f>
        <v>12.95</v>
      </c>
      <c r="C8">
        <v>16</v>
      </c>
      <c r="D8">
        <v>1</v>
      </c>
      <c r="E8">
        <v>2019</v>
      </c>
      <c r="F8">
        <v>-37.628999999999998</v>
      </c>
      <c r="G8">
        <v>-179.99100000000001</v>
      </c>
      <c r="H8" t="s">
        <v>26</v>
      </c>
      <c r="I8" t="s">
        <v>17</v>
      </c>
      <c r="O8">
        <v>910</v>
      </c>
      <c r="P8">
        <v>910</v>
      </c>
    </row>
    <row r="9" spans="1:16">
      <c r="A9" t="s">
        <v>13</v>
      </c>
      <c r="B9" s="6">
        <f>8+26/60</f>
        <v>8.4333333333333336</v>
      </c>
      <c r="C9">
        <v>17</v>
      </c>
      <c r="D9">
        <v>1</v>
      </c>
      <c r="E9">
        <v>2019</v>
      </c>
      <c r="F9">
        <v>-45.994</v>
      </c>
      <c r="G9">
        <v>38.680999999999997</v>
      </c>
      <c r="H9" t="s">
        <v>27</v>
      </c>
      <c r="I9" t="s">
        <v>15</v>
      </c>
      <c r="O9">
        <v>920</v>
      </c>
      <c r="P9">
        <v>920</v>
      </c>
    </row>
    <row r="10" spans="1:16">
      <c r="A10" t="s">
        <v>13</v>
      </c>
      <c r="B10" s="6">
        <f>53/60</f>
        <v>0.8833333333333333</v>
      </c>
      <c r="C10">
        <v>18</v>
      </c>
      <c r="D10">
        <v>1</v>
      </c>
      <c r="E10">
        <v>2019</v>
      </c>
      <c r="F10" s="6">
        <v>31.251000000000001</v>
      </c>
      <c r="G10" s="6">
        <v>131.08199999999999</v>
      </c>
      <c r="H10" t="s">
        <v>28</v>
      </c>
      <c r="I10" t="s">
        <v>15</v>
      </c>
      <c r="J10" t="s">
        <v>24</v>
      </c>
      <c r="L10">
        <v>0</v>
      </c>
      <c r="M10">
        <v>9300</v>
      </c>
      <c r="N10">
        <v>2200</v>
      </c>
      <c r="O10">
        <v>11500</v>
      </c>
      <c r="P10">
        <v>11500</v>
      </c>
    </row>
    <row r="11" spans="1:16">
      <c r="A11" t="s">
        <v>13</v>
      </c>
      <c r="B11" s="6">
        <f>19+8/60</f>
        <v>19.133333333333333</v>
      </c>
      <c r="C11">
        <v>19</v>
      </c>
      <c r="D11">
        <v>1</v>
      </c>
      <c r="E11">
        <v>2019</v>
      </c>
      <c r="F11" s="6">
        <v>34.582000000000001</v>
      </c>
      <c r="G11" s="6">
        <v>-120.626</v>
      </c>
      <c r="H11" t="s">
        <v>29</v>
      </c>
      <c r="I11" t="s">
        <v>15</v>
      </c>
      <c r="J11" t="s">
        <v>21</v>
      </c>
      <c r="K11">
        <v>74</v>
      </c>
      <c r="L11">
        <v>56000</v>
      </c>
      <c r="M11">
        <v>28000</v>
      </c>
      <c r="O11">
        <v>84000</v>
      </c>
      <c r="P11">
        <v>84000</v>
      </c>
    </row>
    <row r="12" spans="1:16">
      <c r="A12" t="s">
        <v>13</v>
      </c>
      <c r="B12" s="6">
        <f>14+41/60</f>
        <v>14.683333333333334</v>
      </c>
      <c r="C12">
        <v>20</v>
      </c>
      <c r="D12">
        <v>1</v>
      </c>
      <c r="E12">
        <v>2019</v>
      </c>
      <c r="F12">
        <v>27.818999999999999</v>
      </c>
      <c r="G12">
        <v>-113.503</v>
      </c>
      <c r="H12" t="s">
        <v>30</v>
      </c>
      <c r="I12" t="s">
        <v>15</v>
      </c>
      <c r="O12">
        <v>2740</v>
      </c>
      <c r="P12">
        <v>2740</v>
      </c>
    </row>
    <row r="13" spans="1:16">
      <c r="A13" t="s">
        <v>13</v>
      </c>
      <c r="B13" s="6">
        <f>5+45/60</f>
        <v>5.75</v>
      </c>
      <c r="C13">
        <v>21</v>
      </c>
      <c r="D13">
        <v>1</v>
      </c>
      <c r="E13">
        <v>2019</v>
      </c>
      <c r="F13" s="11">
        <v>40.960999999999999</v>
      </c>
      <c r="G13" s="11">
        <v>100.298</v>
      </c>
      <c r="H13" t="s">
        <v>31</v>
      </c>
      <c r="I13" t="s">
        <v>15</v>
      </c>
      <c r="J13" t="s">
        <v>24</v>
      </c>
      <c r="L13">
        <v>0</v>
      </c>
      <c r="M13">
        <v>4770</v>
      </c>
      <c r="N13">
        <v>2500</v>
      </c>
      <c r="O13">
        <v>7270</v>
      </c>
      <c r="P13">
        <v>7270</v>
      </c>
    </row>
    <row r="14" spans="1:16">
      <c r="A14" t="s">
        <v>13</v>
      </c>
      <c r="B14" s="6">
        <f>21+22/60</f>
        <v>21.366666666666667</v>
      </c>
      <c r="C14">
        <v>23</v>
      </c>
      <c r="D14">
        <v>1</v>
      </c>
      <c r="E14">
        <v>2019</v>
      </c>
      <c r="F14">
        <v>-70.307000000000002</v>
      </c>
      <c r="G14">
        <v>-164.13200000000001</v>
      </c>
      <c r="H14" t="s">
        <v>32</v>
      </c>
      <c r="I14" t="s">
        <v>17</v>
      </c>
      <c r="O14">
        <v>689</v>
      </c>
      <c r="P14">
        <v>689</v>
      </c>
    </row>
    <row r="15" spans="1:16">
      <c r="A15" t="s">
        <v>13</v>
      </c>
      <c r="B15" s="6">
        <f>18+10/60</f>
        <v>18.166666666666668</v>
      </c>
      <c r="C15">
        <v>24</v>
      </c>
      <c r="D15">
        <v>1</v>
      </c>
      <c r="E15">
        <v>2019</v>
      </c>
      <c r="F15" s="6">
        <v>13.72</v>
      </c>
      <c r="G15" s="6">
        <v>80.23</v>
      </c>
      <c r="H15" t="s">
        <v>33</v>
      </c>
      <c r="I15" t="s">
        <v>15</v>
      </c>
      <c r="J15" t="s">
        <v>21</v>
      </c>
      <c r="K15">
        <v>40</v>
      </c>
      <c r="M15">
        <v>30000</v>
      </c>
      <c r="N15">
        <v>5400</v>
      </c>
      <c r="O15">
        <v>35400</v>
      </c>
      <c r="P15">
        <v>35400</v>
      </c>
    </row>
    <row r="16" spans="1:16">
      <c r="A16" t="s">
        <v>13</v>
      </c>
      <c r="B16" s="6">
        <f>9+7/60</f>
        <v>9.1166666666666671</v>
      </c>
      <c r="C16">
        <v>28</v>
      </c>
      <c r="D16">
        <v>1</v>
      </c>
      <c r="E16">
        <v>2019</v>
      </c>
      <c r="F16">
        <v>72.462000000000003</v>
      </c>
      <c r="G16">
        <v>74.34</v>
      </c>
      <c r="H16" t="s">
        <v>31</v>
      </c>
      <c r="I16" t="s">
        <v>15</v>
      </c>
      <c r="O16">
        <v>2000</v>
      </c>
      <c r="P16">
        <v>2000</v>
      </c>
    </row>
    <row r="17" spans="1:16">
      <c r="A17" t="s">
        <v>13</v>
      </c>
      <c r="B17" s="6">
        <f>11+32/60</f>
        <v>11.533333333333333</v>
      </c>
      <c r="C17">
        <v>30</v>
      </c>
      <c r="D17">
        <v>1</v>
      </c>
      <c r="E17">
        <v>2019</v>
      </c>
      <c r="F17">
        <v>47.917999999999999</v>
      </c>
      <c r="G17">
        <v>15.971</v>
      </c>
      <c r="H17" t="s">
        <v>34</v>
      </c>
      <c r="I17" t="s">
        <v>15</v>
      </c>
      <c r="O17">
        <v>250</v>
      </c>
      <c r="P17">
        <v>250</v>
      </c>
    </row>
    <row r="18" spans="1:16">
      <c r="A18" t="s">
        <v>13</v>
      </c>
      <c r="B18" s="6">
        <f>3+36/60</f>
        <v>3.6</v>
      </c>
      <c r="C18">
        <v>5</v>
      </c>
      <c r="D18">
        <v>2</v>
      </c>
      <c r="E18">
        <v>2019</v>
      </c>
      <c r="F18">
        <v>-77.716999999999999</v>
      </c>
      <c r="G18">
        <v>-77.424999999999997</v>
      </c>
      <c r="H18" t="s">
        <v>35</v>
      </c>
      <c r="I18" t="s">
        <v>15</v>
      </c>
      <c r="O18">
        <v>3200</v>
      </c>
      <c r="P18">
        <v>3200</v>
      </c>
    </row>
    <row r="19" spans="1:16">
      <c r="A19" t="s">
        <v>13</v>
      </c>
      <c r="B19" s="6">
        <f>9+1/60</f>
        <v>9.0166666666666675</v>
      </c>
      <c r="C19">
        <v>5</v>
      </c>
      <c r="D19">
        <v>2</v>
      </c>
      <c r="E19">
        <v>2019</v>
      </c>
      <c r="F19" s="6">
        <v>35.234000000000002</v>
      </c>
      <c r="G19" s="6">
        <v>53.920999999999999</v>
      </c>
      <c r="H19" t="s">
        <v>36</v>
      </c>
      <c r="I19" t="s">
        <v>15</v>
      </c>
      <c r="M19">
        <v>3500</v>
      </c>
      <c r="N19">
        <v>350</v>
      </c>
      <c r="O19">
        <f>SUM(M19:N19)</f>
        <v>3850</v>
      </c>
      <c r="P19">
        <f>0.5*O19</f>
        <v>1925</v>
      </c>
    </row>
    <row r="20" spans="1:16">
      <c r="A20" t="s">
        <v>13</v>
      </c>
      <c r="B20" s="6">
        <f>19+11/60</f>
        <v>19.183333333333334</v>
      </c>
      <c r="C20">
        <v>5</v>
      </c>
      <c r="D20">
        <v>2</v>
      </c>
      <c r="E20">
        <v>2019</v>
      </c>
      <c r="F20">
        <v>-27.745000000000001</v>
      </c>
      <c r="G20">
        <v>156.75899999999999</v>
      </c>
      <c r="H20" t="s">
        <v>37</v>
      </c>
      <c r="I20" t="s">
        <v>15</v>
      </c>
      <c r="O20">
        <v>1050</v>
      </c>
      <c r="P20">
        <v>1050</v>
      </c>
    </row>
    <row r="21" spans="1:16">
      <c r="A21" t="s">
        <v>13</v>
      </c>
      <c r="B21" s="6">
        <f>21+4/60</f>
        <v>21.066666666666666</v>
      </c>
      <c r="C21">
        <v>5</v>
      </c>
      <c r="D21">
        <v>2</v>
      </c>
      <c r="E21">
        <v>2019</v>
      </c>
      <c r="F21" s="6">
        <v>5.2389999999999999</v>
      </c>
      <c r="G21" s="6">
        <v>-52.768999999999998</v>
      </c>
      <c r="H21" t="s">
        <v>38</v>
      </c>
      <c r="I21" t="s">
        <v>15</v>
      </c>
      <c r="J21" t="s">
        <v>21</v>
      </c>
      <c r="K21">
        <v>60</v>
      </c>
      <c r="L21">
        <v>76000</v>
      </c>
      <c r="M21">
        <v>14000</v>
      </c>
      <c r="O21">
        <v>90000</v>
      </c>
      <c r="P21">
        <v>90000</v>
      </c>
    </row>
    <row r="22" spans="1:16">
      <c r="A22" t="s">
        <v>13</v>
      </c>
      <c r="B22" s="6">
        <f>16+50/60</f>
        <v>16.833333333333332</v>
      </c>
      <c r="C22">
        <v>21</v>
      </c>
      <c r="D22">
        <v>2</v>
      </c>
      <c r="E22">
        <v>2019</v>
      </c>
      <c r="F22" s="6">
        <v>45.996000000000002</v>
      </c>
      <c r="G22" s="6">
        <v>63.564</v>
      </c>
      <c r="H22" t="s">
        <v>39</v>
      </c>
      <c r="I22" t="s">
        <v>15</v>
      </c>
      <c r="J22" t="s">
        <v>21</v>
      </c>
      <c r="K22">
        <v>48</v>
      </c>
      <c r="N22">
        <v>6550</v>
      </c>
      <c r="O22">
        <v>6550</v>
      </c>
      <c r="P22">
        <v>6550</v>
      </c>
    </row>
    <row r="23" spans="1:16">
      <c r="A23" t="s">
        <v>22</v>
      </c>
      <c r="B23" s="6">
        <f>1+48/60</f>
        <v>1.8</v>
      </c>
      <c r="C23">
        <v>22</v>
      </c>
      <c r="D23">
        <v>2</v>
      </c>
      <c r="E23">
        <v>2019</v>
      </c>
      <c r="F23">
        <v>28.41</v>
      </c>
      <c r="G23">
        <v>-80.61</v>
      </c>
      <c r="H23" t="s">
        <v>23</v>
      </c>
      <c r="I23" t="s">
        <v>15</v>
      </c>
      <c r="J23" t="s">
        <v>24</v>
      </c>
      <c r="L23">
        <v>0</v>
      </c>
      <c r="M23">
        <v>27200</v>
      </c>
      <c r="O23">
        <v>27200</v>
      </c>
      <c r="P23">
        <v>4760</v>
      </c>
    </row>
    <row r="24" spans="1:16">
      <c r="A24" t="s">
        <v>13</v>
      </c>
      <c r="B24" s="6">
        <f>22+59/60</f>
        <v>22.983333333333334</v>
      </c>
      <c r="C24">
        <v>24</v>
      </c>
      <c r="D24">
        <v>2</v>
      </c>
      <c r="E24">
        <v>2019</v>
      </c>
      <c r="F24">
        <v>0.128</v>
      </c>
      <c r="G24">
        <v>-136.554</v>
      </c>
      <c r="H24" t="s">
        <v>40</v>
      </c>
      <c r="I24" t="s">
        <v>15</v>
      </c>
      <c r="O24">
        <v>1700</v>
      </c>
      <c r="P24">
        <v>1700</v>
      </c>
    </row>
    <row r="25" spans="1:16">
      <c r="A25" t="s">
        <v>13</v>
      </c>
      <c r="B25" s="6">
        <f>21+40/60</f>
        <v>21.666666666666668</v>
      </c>
      <c r="C25">
        <v>27</v>
      </c>
      <c r="D25">
        <v>2</v>
      </c>
      <c r="E25">
        <v>2019</v>
      </c>
      <c r="F25" s="6">
        <v>5.3010000000000002</v>
      </c>
      <c r="G25" s="6">
        <v>-52.837000000000003</v>
      </c>
      <c r="H25" t="s">
        <v>41</v>
      </c>
      <c r="I25" t="s">
        <v>15</v>
      </c>
      <c r="J25" t="s">
        <v>21</v>
      </c>
      <c r="K25">
        <v>48</v>
      </c>
      <c r="N25">
        <v>6550</v>
      </c>
      <c r="O25">
        <v>6550</v>
      </c>
      <c r="P25">
        <v>6550</v>
      </c>
    </row>
    <row r="26" spans="1:16">
      <c r="A26" t="s">
        <v>22</v>
      </c>
      <c r="B26" s="6">
        <f>7+52/60</f>
        <v>7.8666666666666671</v>
      </c>
      <c r="C26">
        <v>2</v>
      </c>
      <c r="D26">
        <v>3</v>
      </c>
      <c r="E26">
        <v>2019</v>
      </c>
      <c r="F26">
        <v>28.41</v>
      </c>
      <c r="G26">
        <v>-80.61</v>
      </c>
      <c r="H26" t="s">
        <v>23</v>
      </c>
      <c r="I26" t="s">
        <v>15</v>
      </c>
      <c r="J26" t="s">
        <v>24</v>
      </c>
      <c r="L26">
        <v>0</v>
      </c>
      <c r="M26">
        <v>27200</v>
      </c>
      <c r="O26">
        <v>27200</v>
      </c>
      <c r="P26">
        <v>4760</v>
      </c>
    </row>
    <row r="27" spans="1:16">
      <c r="A27" t="s">
        <v>13</v>
      </c>
      <c r="B27" s="6">
        <f>9+12/60</f>
        <v>9.1999999999999993</v>
      </c>
      <c r="C27">
        <v>2</v>
      </c>
      <c r="D27">
        <v>3</v>
      </c>
      <c r="E27">
        <v>2019</v>
      </c>
      <c r="F27">
        <v>33.244900000000001</v>
      </c>
      <c r="G27">
        <v>3.0169999999999999</v>
      </c>
      <c r="H27" t="s">
        <v>42</v>
      </c>
      <c r="I27" t="s">
        <v>17</v>
      </c>
      <c r="O27">
        <v>1000</v>
      </c>
      <c r="P27">
        <v>1000</v>
      </c>
    </row>
    <row r="28" spans="1:16">
      <c r="A28" t="s">
        <v>13</v>
      </c>
      <c r="B28" s="6">
        <f>18+51/60</f>
        <v>18.850000000000001</v>
      </c>
      <c r="C28">
        <v>2</v>
      </c>
      <c r="D28">
        <v>3</v>
      </c>
      <c r="E28">
        <v>2019</v>
      </c>
      <c r="F28">
        <v>17.765999999999998</v>
      </c>
      <c r="G28">
        <v>32.195999999999998</v>
      </c>
      <c r="H28" t="s">
        <v>43</v>
      </c>
      <c r="I28" t="s">
        <v>17</v>
      </c>
      <c r="O28">
        <v>594</v>
      </c>
      <c r="P28">
        <v>594</v>
      </c>
    </row>
    <row r="29" spans="1:16">
      <c r="A29" t="s">
        <v>13</v>
      </c>
      <c r="B29" s="6">
        <f>12+14/60</f>
        <v>12.233333333333333</v>
      </c>
      <c r="C29">
        <v>3</v>
      </c>
      <c r="D29">
        <v>3</v>
      </c>
      <c r="E29">
        <v>2019</v>
      </c>
      <c r="F29">
        <v>35.838999999999999</v>
      </c>
      <c r="G29">
        <v>103.55</v>
      </c>
      <c r="H29" t="s">
        <v>44</v>
      </c>
      <c r="I29" t="s">
        <v>15</v>
      </c>
      <c r="O29">
        <v>250</v>
      </c>
      <c r="P29">
        <v>250</v>
      </c>
    </row>
    <row r="30" spans="1:16">
      <c r="A30" t="s">
        <v>22</v>
      </c>
      <c r="B30" s="6">
        <f>13+45/60</f>
        <v>13.75</v>
      </c>
      <c r="C30">
        <v>3</v>
      </c>
      <c r="D30">
        <v>3</v>
      </c>
      <c r="E30">
        <v>2019</v>
      </c>
      <c r="F30" s="11">
        <v>27.564</v>
      </c>
      <c r="G30" s="11">
        <v>-76.418999999999997</v>
      </c>
      <c r="H30" t="s">
        <v>45</v>
      </c>
      <c r="I30" t="s">
        <v>17</v>
      </c>
      <c r="O30">
        <v>12525</v>
      </c>
      <c r="P30">
        <v>2191.875</v>
      </c>
    </row>
    <row r="31" spans="1:16">
      <c r="A31" t="s">
        <v>13</v>
      </c>
      <c r="B31" s="6">
        <f>17+31/60</f>
        <v>17.516666666666666</v>
      </c>
      <c r="C31">
        <v>9</v>
      </c>
      <c r="D31">
        <v>3</v>
      </c>
      <c r="E31">
        <v>2019</v>
      </c>
      <c r="F31" s="6">
        <v>28.247</v>
      </c>
      <c r="G31" s="6">
        <v>102.029</v>
      </c>
      <c r="H31" t="s">
        <v>20</v>
      </c>
      <c r="I31" t="s">
        <v>15</v>
      </c>
      <c r="J31" t="s">
        <v>21</v>
      </c>
      <c r="K31">
        <v>50</v>
      </c>
      <c r="L31">
        <v>15600</v>
      </c>
      <c r="M31">
        <v>9800</v>
      </c>
      <c r="N31">
        <v>4000</v>
      </c>
      <c r="O31">
        <v>29400</v>
      </c>
      <c r="P31">
        <v>14700</v>
      </c>
    </row>
    <row r="32" spans="1:16">
      <c r="A32" t="s">
        <v>13</v>
      </c>
      <c r="B32" s="6">
        <f>1+36/60</f>
        <v>1.6</v>
      </c>
      <c r="C32">
        <v>10</v>
      </c>
      <c r="D32">
        <v>3</v>
      </c>
      <c r="E32">
        <v>2019</v>
      </c>
      <c r="F32">
        <v>11.29</v>
      </c>
      <c r="G32">
        <v>-5.7850000000000001</v>
      </c>
      <c r="H32" t="s">
        <v>30</v>
      </c>
      <c r="I32" t="s">
        <v>15</v>
      </c>
      <c r="O32">
        <v>2740</v>
      </c>
      <c r="P32">
        <v>2740</v>
      </c>
    </row>
    <row r="33" spans="1:16">
      <c r="A33" t="s">
        <v>13</v>
      </c>
      <c r="B33" s="6">
        <f>6+51/60</f>
        <v>6.85</v>
      </c>
      <c r="C33">
        <v>10</v>
      </c>
      <c r="D33">
        <v>3</v>
      </c>
      <c r="E33">
        <v>2019</v>
      </c>
      <c r="F33">
        <v>7.1260000000000003</v>
      </c>
      <c r="G33">
        <v>20.933</v>
      </c>
      <c r="H33" t="s">
        <v>46</v>
      </c>
      <c r="I33" t="s">
        <v>47</v>
      </c>
      <c r="O33">
        <v>535</v>
      </c>
      <c r="P33">
        <v>535</v>
      </c>
    </row>
    <row r="34" spans="1:16">
      <c r="A34" t="s">
        <v>13</v>
      </c>
      <c r="B34" s="6">
        <f>14+54/60</f>
        <v>14.9</v>
      </c>
      <c r="C34">
        <v>10</v>
      </c>
      <c r="D34">
        <v>3</v>
      </c>
      <c r="E34">
        <v>2019</v>
      </c>
      <c r="F34">
        <v>-79.728999999999999</v>
      </c>
      <c r="G34">
        <v>-171.02</v>
      </c>
      <c r="H34" t="s">
        <v>48</v>
      </c>
      <c r="I34" t="s">
        <v>17</v>
      </c>
      <c r="O34">
        <v>689</v>
      </c>
      <c r="P34">
        <v>689</v>
      </c>
    </row>
    <row r="35" spans="1:16">
      <c r="A35" t="s">
        <v>13</v>
      </c>
      <c r="B35" s="6">
        <f>11+24/60</f>
        <v>11.4</v>
      </c>
      <c r="C35">
        <v>11</v>
      </c>
      <c r="D35">
        <v>3</v>
      </c>
      <c r="E35">
        <v>2019</v>
      </c>
      <c r="F35">
        <v>74.805999999999997</v>
      </c>
      <c r="G35">
        <v>-169.262</v>
      </c>
      <c r="H35" t="s">
        <v>49</v>
      </c>
      <c r="I35" t="s">
        <v>17</v>
      </c>
      <c r="O35">
        <v>689</v>
      </c>
      <c r="P35">
        <v>689</v>
      </c>
    </row>
    <row r="36" spans="1:16">
      <c r="A36" t="s">
        <v>13</v>
      </c>
      <c r="B36" s="6">
        <f>2+11/60</f>
        <v>2.1833333333333331</v>
      </c>
      <c r="C36">
        <v>12</v>
      </c>
      <c r="D36">
        <v>3</v>
      </c>
      <c r="E36">
        <v>2019</v>
      </c>
      <c r="F36">
        <v>-36.506999999999998</v>
      </c>
      <c r="G36">
        <v>152.76900000000001</v>
      </c>
      <c r="H36" t="s">
        <v>35</v>
      </c>
      <c r="I36" t="s">
        <v>47</v>
      </c>
      <c r="O36">
        <v>3200</v>
      </c>
      <c r="P36">
        <v>3200</v>
      </c>
    </row>
    <row r="37" spans="1:16">
      <c r="A37" t="s">
        <v>13</v>
      </c>
      <c r="B37" s="6">
        <f>8+29/60</f>
        <v>8.4833333333333325</v>
      </c>
      <c r="C37">
        <v>13</v>
      </c>
      <c r="D37">
        <v>3</v>
      </c>
      <c r="E37">
        <v>2019</v>
      </c>
      <c r="F37">
        <v>13.35</v>
      </c>
      <c r="G37">
        <v>82.808000000000007</v>
      </c>
      <c r="H37" t="s">
        <v>50</v>
      </c>
      <c r="I37" t="s">
        <v>17</v>
      </c>
      <c r="O37">
        <v>689</v>
      </c>
      <c r="P37">
        <v>689</v>
      </c>
    </row>
    <row r="38" spans="1:16">
      <c r="A38" t="s">
        <v>13</v>
      </c>
      <c r="B38" s="6">
        <f>19+17/60</f>
        <v>19.283333333333335</v>
      </c>
      <c r="C38">
        <v>14</v>
      </c>
      <c r="D38">
        <v>3</v>
      </c>
      <c r="E38">
        <v>2019</v>
      </c>
      <c r="F38" s="6">
        <v>45.92</v>
      </c>
      <c r="G38" s="6">
        <v>63.341999999999999</v>
      </c>
      <c r="H38" t="s">
        <v>51</v>
      </c>
      <c r="I38" t="s">
        <v>15</v>
      </c>
      <c r="J38" t="s">
        <v>21</v>
      </c>
      <c r="K38">
        <v>48</v>
      </c>
      <c r="N38">
        <v>6550</v>
      </c>
      <c r="O38">
        <v>6550</v>
      </c>
      <c r="P38">
        <v>6550</v>
      </c>
    </row>
    <row r="39" spans="1:16">
      <c r="A39" t="s">
        <v>13</v>
      </c>
      <c r="B39" s="6">
        <f>4+43/60</f>
        <v>4.7166666666666668</v>
      </c>
      <c r="C39">
        <v>15</v>
      </c>
      <c r="D39">
        <v>3</v>
      </c>
      <c r="E39">
        <v>2019</v>
      </c>
      <c r="F39">
        <v>-50.887</v>
      </c>
      <c r="G39">
        <v>72.260999999999996</v>
      </c>
      <c r="H39" t="s">
        <v>52</v>
      </c>
      <c r="I39" t="s">
        <v>17</v>
      </c>
      <c r="O39">
        <v>689</v>
      </c>
      <c r="P39">
        <v>689</v>
      </c>
    </row>
    <row r="40" spans="1:16">
      <c r="A40" t="s">
        <v>13</v>
      </c>
      <c r="B40" s="6">
        <f>29/60</f>
        <v>0.48333333333333334</v>
      </c>
      <c r="C40">
        <v>16</v>
      </c>
      <c r="D40">
        <v>3</v>
      </c>
      <c r="E40">
        <v>2019</v>
      </c>
      <c r="F40" s="6">
        <v>28.530999999999999</v>
      </c>
      <c r="G40" s="6">
        <v>-80.564999999999998</v>
      </c>
      <c r="H40" t="s">
        <v>53</v>
      </c>
      <c r="I40" t="s">
        <v>15</v>
      </c>
      <c r="J40" t="s">
        <v>21</v>
      </c>
      <c r="K40">
        <v>35</v>
      </c>
      <c r="M40">
        <v>28000</v>
      </c>
      <c r="O40">
        <v>28000</v>
      </c>
      <c r="P40">
        <v>28000</v>
      </c>
    </row>
    <row r="41" spans="1:16">
      <c r="A41" t="s">
        <v>13</v>
      </c>
      <c r="B41" s="6">
        <f>5+17/60</f>
        <v>5.2833333333333332</v>
      </c>
      <c r="C41">
        <v>17</v>
      </c>
      <c r="D41">
        <v>3</v>
      </c>
      <c r="E41">
        <v>2019</v>
      </c>
      <c r="F41">
        <v>52.122</v>
      </c>
      <c r="G41">
        <v>-49.731000000000002</v>
      </c>
      <c r="H41" t="s">
        <v>54</v>
      </c>
      <c r="I41" t="s">
        <v>17</v>
      </c>
      <c r="O41">
        <v>689</v>
      </c>
      <c r="P41">
        <v>689</v>
      </c>
    </row>
    <row r="42" spans="1:16">
      <c r="A42" t="s">
        <v>13</v>
      </c>
      <c r="B42" s="6">
        <f>14+20/60</f>
        <v>14.333333333333334</v>
      </c>
      <c r="C42">
        <v>17</v>
      </c>
      <c r="D42">
        <v>3</v>
      </c>
      <c r="E42">
        <v>2019</v>
      </c>
      <c r="F42">
        <v>-41.948999999999998</v>
      </c>
      <c r="G42">
        <v>7.2220000000000004</v>
      </c>
      <c r="H42" t="s">
        <v>55</v>
      </c>
      <c r="I42" t="s">
        <v>15</v>
      </c>
      <c r="O42">
        <v>2400</v>
      </c>
      <c r="P42">
        <v>2400</v>
      </c>
    </row>
    <row r="43" spans="1:16">
      <c r="A43" t="s">
        <v>13</v>
      </c>
      <c r="B43" s="6">
        <f>1+53/60</f>
        <v>1.8833333333333333</v>
      </c>
      <c r="C43">
        <v>22</v>
      </c>
      <c r="D43">
        <v>3</v>
      </c>
      <c r="E43">
        <v>2019</v>
      </c>
      <c r="F43" s="6">
        <v>5.2359999999999998</v>
      </c>
      <c r="G43" s="6">
        <v>-52.774999999999999</v>
      </c>
      <c r="H43" t="s">
        <v>56</v>
      </c>
      <c r="I43" t="s">
        <v>15</v>
      </c>
      <c r="J43" t="s">
        <v>24</v>
      </c>
      <c r="L43">
        <v>0</v>
      </c>
      <c r="M43">
        <v>8650</v>
      </c>
      <c r="N43">
        <v>1900</v>
      </c>
      <c r="O43">
        <v>10550</v>
      </c>
      <c r="P43">
        <v>10550</v>
      </c>
    </row>
    <row r="44" spans="1:16">
      <c r="A44" t="s">
        <v>13</v>
      </c>
      <c r="B44" s="6">
        <f>2+39/60</f>
        <v>2.65</v>
      </c>
      <c r="C44">
        <v>24</v>
      </c>
      <c r="D44">
        <v>3</v>
      </c>
      <c r="E44">
        <v>2019</v>
      </c>
      <c r="F44">
        <v>-45.994</v>
      </c>
      <c r="G44">
        <v>151.011</v>
      </c>
      <c r="H44" t="s">
        <v>57</v>
      </c>
      <c r="I44" t="s">
        <v>15</v>
      </c>
      <c r="O44">
        <v>1050</v>
      </c>
      <c r="P44">
        <v>1050</v>
      </c>
    </row>
    <row r="45" spans="1:16">
      <c r="A45" t="s">
        <v>13</v>
      </c>
      <c r="B45" s="6">
        <f>19+23/60</f>
        <v>19.383333333333333</v>
      </c>
      <c r="C45">
        <v>25</v>
      </c>
      <c r="D45">
        <v>3</v>
      </c>
      <c r="E45">
        <v>2019</v>
      </c>
      <c r="F45">
        <v>74.527000000000001</v>
      </c>
      <c r="G45">
        <v>-91.566999999999993</v>
      </c>
      <c r="H45" t="s">
        <v>58</v>
      </c>
      <c r="I45" t="s">
        <v>17</v>
      </c>
      <c r="O45">
        <v>689</v>
      </c>
      <c r="P45">
        <v>689</v>
      </c>
    </row>
    <row r="46" spans="1:16">
      <c r="A46" t="s">
        <v>13</v>
      </c>
      <c r="B46" s="6">
        <f>9+40/60</f>
        <v>9.6666666666666661</v>
      </c>
      <c r="C46">
        <v>27</v>
      </c>
      <c r="D46">
        <v>3</v>
      </c>
      <c r="E46">
        <v>2019</v>
      </c>
      <c r="F46" s="11">
        <v>40.960999999999999</v>
      </c>
      <c r="G46" s="11">
        <v>100.298</v>
      </c>
      <c r="H46" t="s">
        <v>59</v>
      </c>
      <c r="I46" t="s">
        <v>15</v>
      </c>
      <c r="J46" t="s">
        <v>24</v>
      </c>
      <c r="O46">
        <v>1010</v>
      </c>
      <c r="P46">
        <f>0.5*O46</f>
        <v>505</v>
      </c>
    </row>
    <row r="47" spans="1:16">
      <c r="A47" t="s">
        <v>13</v>
      </c>
      <c r="B47" s="6">
        <f>23+30/60</f>
        <v>23.5</v>
      </c>
      <c r="C47">
        <v>28</v>
      </c>
      <c r="D47">
        <v>3</v>
      </c>
      <c r="E47">
        <v>2019</v>
      </c>
      <c r="F47" s="6">
        <v>-39.251199999999997</v>
      </c>
      <c r="G47" s="6">
        <v>177.8673</v>
      </c>
      <c r="H47" t="s">
        <v>60</v>
      </c>
      <c r="I47" t="s">
        <v>15</v>
      </c>
      <c r="J47" t="s">
        <v>24</v>
      </c>
      <c r="L47">
        <v>0</v>
      </c>
      <c r="M47">
        <v>950</v>
      </c>
      <c r="O47">
        <v>950</v>
      </c>
      <c r="P47">
        <v>950</v>
      </c>
    </row>
    <row r="48" spans="1:16">
      <c r="A48" t="s">
        <v>13</v>
      </c>
      <c r="B48" s="6">
        <f>7+40/60</f>
        <v>7.666666666666667</v>
      </c>
      <c r="C48">
        <v>31</v>
      </c>
      <c r="D48">
        <v>3</v>
      </c>
      <c r="E48">
        <v>2019</v>
      </c>
      <c r="F48">
        <v>-42.21</v>
      </c>
      <c r="G48">
        <v>64.527000000000001</v>
      </c>
      <c r="H48" t="s">
        <v>61</v>
      </c>
      <c r="I48" t="s">
        <v>17</v>
      </c>
      <c r="O48">
        <v>689</v>
      </c>
      <c r="P48">
        <v>689</v>
      </c>
    </row>
    <row r="49" spans="1:16">
      <c r="A49" t="s">
        <v>13</v>
      </c>
      <c r="B49" s="6">
        <f>15+53/60</f>
        <v>15.883333333333333</v>
      </c>
      <c r="C49">
        <v>31</v>
      </c>
      <c r="D49">
        <v>3</v>
      </c>
      <c r="E49">
        <v>2019</v>
      </c>
      <c r="F49" s="6">
        <v>28.245999999999999</v>
      </c>
      <c r="G49" s="6">
        <v>102.027</v>
      </c>
      <c r="H49" t="s">
        <v>20</v>
      </c>
      <c r="I49" t="s">
        <v>15</v>
      </c>
      <c r="J49" t="s">
        <v>21</v>
      </c>
      <c r="K49">
        <v>50</v>
      </c>
      <c r="L49">
        <v>15600</v>
      </c>
      <c r="M49">
        <v>9800</v>
      </c>
      <c r="N49">
        <v>4000</v>
      </c>
      <c r="O49">
        <v>29400</v>
      </c>
      <c r="P49">
        <v>14700</v>
      </c>
    </row>
    <row r="50" spans="1:16">
      <c r="A50" t="s">
        <v>13</v>
      </c>
      <c r="B50" s="6">
        <f>4</f>
        <v>4</v>
      </c>
      <c r="C50">
        <v>1</v>
      </c>
      <c r="D50">
        <v>4</v>
      </c>
      <c r="E50">
        <v>2019</v>
      </c>
      <c r="F50" s="6">
        <v>13.72</v>
      </c>
      <c r="G50" s="6">
        <v>80.23</v>
      </c>
      <c r="H50" t="s">
        <v>62</v>
      </c>
      <c r="I50" t="s">
        <v>15</v>
      </c>
      <c r="J50" t="s">
        <v>21</v>
      </c>
      <c r="K50">
        <v>40</v>
      </c>
      <c r="M50">
        <v>30000</v>
      </c>
      <c r="N50">
        <v>5400</v>
      </c>
      <c r="O50">
        <v>35400</v>
      </c>
      <c r="P50">
        <v>35400</v>
      </c>
    </row>
    <row r="51" spans="1:16">
      <c r="A51" t="s">
        <v>13</v>
      </c>
      <c r="B51" s="6">
        <f>20+9/60</f>
        <v>20.149999999999999</v>
      </c>
      <c r="C51">
        <v>1</v>
      </c>
      <c r="D51">
        <v>4</v>
      </c>
      <c r="E51">
        <v>2019</v>
      </c>
      <c r="F51">
        <v>8.8670000000000009</v>
      </c>
      <c r="G51">
        <v>-4.3789999999999996</v>
      </c>
      <c r="H51" t="s">
        <v>63</v>
      </c>
      <c r="I51" t="s">
        <v>17</v>
      </c>
      <c r="O51">
        <v>689</v>
      </c>
      <c r="P51">
        <v>689</v>
      </c>
    </row>
    <row r="52" spans="1:16">
      <c r="A52" t="s">
        <v>13</v>
      </c>
      <c r="B52" s="6">
        <f>11+4/60</f>
        <v>11.066666666666666</v>
      </c>
      <c r="C52">
        <v>4</v>
      </c>
      <c r="D52">
        <v>4</v>
      </c>
      <c r="E52">
        <v>2019</v>
      </c>
      <c r="F52" s="6">
        <v>45.996000000000002</v>
      </c>
      <c r="G52" s="6">
        <v>63.564</v>
      </c>
      <c r="H52" t="s">
        <v>64</v>
      </c>
      <c r="I52" t="s">
        <v>15</v>
      </c>
      <c r="J52" t="s">
        <v>21</v>
      </c>
      <c r="K52">
        <v>48</v>
      </c>
      <c r="N52">
        <v>6550</v>
      </c>
      <c r="O52">
        <v>6550</v>
      </c>
      <c r="P52">
        <v>6550</v>
      </c>
    </row>
    <row r="53" spans="1:16">
      <c r="A53" t="s">
        <v>13</v>
      </c>
      <c r="B53" s="6">
        <f>17+6/60</f>
        <v>17.100000000000001</v>
      </c>
      <c r="C53">
        <v>4</v>
      </c>
      <c r="D53">
        <v>4</v>
      </c>
      <c r="E53">
        <v>2019</v>
      </c>
      <c r="F53" s="6">
        <v>5.3010000000000002</v>
      </c>
      <c r="G53" s="6">
        <v>-52.837000000000003</v>
      </c>
      <c r="H53" t="s">
        <v>65</v>
      </c>
      <c r="I53" t="s">
        <v>15</v>
      </c>
      <c r="J53" t="s">
        <v>21</v>
      </c>
      <c r="K53">
        <v>48</v>
      </c>
      <c r="N53">
        <v>6550</v>
      </c>
      <c r="O53">
        <v>6550</v>
      </c>
      <c r="P53">
        <v>6550</v>
      </c>
    </row>
    <row r="54" spans="1:16">
      <c r="A54" t="s">
        <v>13</v>
      </c>
      <c r="B54" s="6">
        <f>22+46/60</f>
        <v>22.766666666666666</v>
      </c>
      <c r="C54">
        <v>4</v>
      </c>
      <c r="D54">
        <v>4</v>
      </c>
      <c r="E54">
        <v>2019</v>
      </c>
      <c r="F54">
        <v>-20.855</v>
      </c>
      <c r="G54">
        <v>-104.926</v>
      </c>
      <c r="H54" t="s">
        <v>66</v>
      </c>
      <c r="I54" t="s">
        <v>15</v>
      </c>
      <c r="O54">
        <v>2500</v>
      </c>
      <c r="P54">
        <v>2500</v>
      </c>
    </row>
    <row r="55" spans="1:16">
      <c r="A55" t="s">
        <v>13</v>
      </c>
      <c r="B55" s="6">
        <f>20+4/60</f>
        <v>20.066666666666666</v>
      </c>
      <c r="C55">
        <v>5</v>
      </c>
      <c r="D55">
        <v>4</v>
      </c>
      <c r="E55">
        <v>2019</v>
      </c>
      <c r="F55">
        <v>-26.957999999999998</v>
      </c>
      <c r="G55">
        <v>23.042999999999999</v>
      </c>
      <c r="H55" t="s">
        <v>67</v>
      </c>
      <c r="I55" t="s">
        <v>15</v>
      </c>
      <c r="O55">
        <v>1000</v>
      </c>
      <c r="P55">
        <v>1000</v>
      </c>
    </row>
    <row r="56" spans="1:16">
      <c r="A56" t="s">
        <v>13</v>
      </c>
      <c r="B56" s="6">
        <f>9+57/60</f>
        <v>9.9499999999999993</v>
      </c>
      <c r="C56">
        <v>7</v>
      </c>
      <c r="D56">
        <v>4</v>
      </c>
      <c r="E56">
        <v>2019</v>
      </c>
      <c r="F56">
        <v>-46.481000000000002</v>
      </c>
      <c r="G56">
        <v>-154.49600000000001</v>
      </c>
      <c r="H56" t="s">
        <v>68</v>
      </c>
      <c r="I56" t="s">
        <v>17</v>
      </c>
      <c r="O56">
        <v>689</v>
      </c>
      <c r="P56">
        <v>689</v>
      </c>
    </row>
    <row r="57" spans="1:16">
      <c r="A57" t="s">
        <v>13</v>
      </c>
      <c r="B57" s="6">
        <f>2+38/60</f>
        <v>2.6333333333333333</v>
      </c>
      <c r="C57">
        <v>9</v>
      </c>
      <c r="D57">
        <v>4</v>
      </c>
      <c r="E57">
        <v>2019</v>
      </c>
      <c r="F57">
        <v>47.594000000000001</v>
      </c>
      <c r="G57">
        <v>-113.012</v>
      </c>
      <c r="H57" t="s">
        <v>69</v>
      </c>
      <c r="I57" t="s">
        <v>47</v>
      </c>
      <c r="O57">
        <v>2370</v>
      </c>
      <c r="P57">
        <v>2370</v>
      </c>
    </row>
    <row r="58" spans="1:16">
      <c r="A58" t="s">
        <v>22</v>
      </c>
      <c r="B58" s="6">
        <f>22+38/60</f>
        <v>22.633333333333333</v>
      </c>
      <c r="C58">
        <v>11</v>
      </c>
      <c r="D58">
        <v>4</v>
      </c>
      <c r="E58">
        <v>2019</v>
      </c>
      <c r="F58" s="6">
        <v>28.485800000000001</v>
      </c>
      <c r="G58" s="6">
        <v>-80.544439999999994</v>
      </c>
      <c r="H58" t="s">
        <v>70</v>
      </c>
      <c r="I58" t="s">
        <v>15</v>
      </c>
      <c r="J58" t="s">
        <v>21</v>
      </c>
      <c r="K58">
        <v>61</v>
      </c>
      <c r="L58">
        <v>34000</v>
      </c>
      <c r="M58">
        <v>17000</v>
      </c>
      <c r="O58">
        <v>51000</v>
      </c>
      <c r="P58">
        <v>8925</v>
      </c>
    </row>
    <row r="59" spans="1:16">
      <c r="A59" t="s">
        <v>13</v>
      </c>
      <c r="B59" s="6">
        <f>2+20/60</f>
        <v>2.3333333333333335</v>
      </c>
      <c r="C59">
        <v>15</v>
      </c>
      <c r="D59">
        <v>4</v>
      </c>
      <c r="E59">
        <v>2019</v>
      </c>
      <c r="F59">
        <v>-19.867000000000001</v>
      </c>
      <c r="G59">
        <v>178.43299999999999</v>
      </c>
      <c r="H59" t="s">
        <v>71</v>
      </c>
      <c r="I59" t="s">
        <v>15</v>
      </c>
      <c r="J59" t="s">
        <v>19</v>
      </c>
      <c r="O59">
        <v>4500</v>
      </c>
      <c r="P59">
        <v>4500</v>
      </c>
    </row>
    <row r="60" spans="1:16">
      <c r="A60" t="s">
        <v>13</v>
      </c>
      <c r="B60" s="6">
        <f>4+59/60</f>
        <v>4.9833333333333334</v>
      </c>
      <c r="C60">
        <v>15</v>
      </c>
      <c r="D60">
        <v>4</v>
      </c>
      <c r="E60">
        <v>2019</v>
      </c>
      <c r="F60">
        <v>-1.2929999999999999</v>
      </c>
      <c r="G60">
        <v>60.66</v>
      </c>
      <c r="H60" t="s">
        <v>34</v>
      </c>
      <c r="I60" t="s">
        <v>15</v>
      </c>
      <c r="O60">
        <v>250</v>
      </c>
      <c r="P60">
        <v>250</v>
      </c>
    </row>
    <row r="61" spans="1:16">
      <c r="A61" t="s">
        <v>13</v>
      </c>
      <c r="B61" s="6">
        <f>20+49/60</f>
        <v>20.816666666666666</v>
      </c>
      <c r="C61">
        <v>17</v>
      </c>
      <c r="D61">
        <v>4</v>
      </c>
      <c r="E61">
        <v>2019</v>
      </c>
      <c r="F61" s="6">
        <v>37.832999999999998</v>
      </c>
      <c r="G61" s="6">
        <v>-75.488</v>
      </c>
      <c r="H61" t="s">
        <v>72</v>
      </c>
      <c r="I61" t="s">
        <v>15</v>
      </c>
      <c r="J61" t="s">
        <v>24</v>
      </c>
      <c r="L61">
        <v>0</v>
      </c>
      <c r="M61">
        <v>20600</v>
      </c>
      <c r="O61">
        <v>20600</v>
      </c>
      <c r="P61">
        <v>20600</v>
      </c>
    </row>
    <row r="62" spans="1:16">
      <c r="A62" t="s">
        <v>13</v>
      </c>
      <c r="B62" s="6">
        <f>14+44/60</f>
        <v>14.733333333333333</v>
      </c>
      <c r="C62">
        <v>20</v>
      </c>
      <c r="D62">
        <v>4</v>
      </c>
      <c r="E62">
        <v>2019</v>
      </c>
      <c r="F62" s="6">
        <v>28.247</v>
      </c>
      <c r="G62" s="6">
        <v>102.029</v>
      </c>
      <c r="H62" t="s">
        <v>20</v>
      </c>
      <c r="I62" t="s">
        <v>15</v>
      </c>
      <c r="J62" t="s">
        <v>21</v>
      </c>
      <c r="K62">
        <v>50</v>
      </c>
      <c r="L62">
        <v>15600</v>
      </c>
      <c r="M62">
        <v>9800</v>
      </c>
      <c r="N62">
        <v>4000</v>
      </c>
      <c r="O62">
        <v>29400</v>
      </c>
      <c r="P62">
        <v>14700</v>
      </c>
    </row>
    <row r="63" spans="1:16">
      <c r="A63" t="s">
        <v>13</v>
      </c>
      <c r="B63" s="6">
        <f>14+18/60</f>
        <v>14.3</v>
      </c>
      <c r="C63">
        <v>28</v>
      </c>
      <c r="D63">
        <v>4</v>
      </c>
      <c r="E63">
        <v>2019</v>
      </c>
      <c r="F63">
        <v>-21.838000000000001</v>
      </c>
      <c r="G63">
        <v>10.385999999999999</v>
      </c>
      <c r="H63" t="s">
        <v>73</v>
      </c>
      <c r="I63" t="s">
        <v>15</v>
      </c>
      <c r="O63">
        <v>2100</v>
      </c>
      <c r="P63">
        <v>2100</v>
      </c>
    </row>
    <row r="64" spans="1:16">
      <c r="A64" t="s">
        <v>13</v>
      </c>
      <c r="B64" s="6">
        <f>16+16/60</f>
        <v>16.266666666666666</v>
      </c>
      <c r="C64">
        <v>29</v>
      </c>
      <c r="D64">
        <v>4</v>
      </c>
      <c r="E64">
        <v>2019</v>
      </c>
      <c r="F64">
        <v>17.417000000000002</v>
      </c>
      <c r="G64">
        <v>64.527000000000001</v>
      </c>
      <c r="H64" t="s">
        <v>66</v>
      </c>
      <c r="I64" t="s">
        <v>15</v>
      </c>
      <c r="O64">
        <v>2500</v>
      </c>
      <c r="P64">
        <v>2500</v>
      </c>
    </row>
    <row r="65" spans="1:16">
      <c r="A65" t="s">
        <v>13</v>
      </c>
      <c r="B65" s="6">
        <f>22+55/60</f>
        <v>22.916666666666668</v>
      </c>
      <c r="C65">
        <v>29</v>
      </c>
      <c r="D65">
        <v>4</v>
      </c>
      <c r="E65">
        <v>2019</v>
      </c>
      <c r="F65" s="6">
        <v>38.863</v>
      </c>
      <c r="G65" s="6">
        <v>111.589</v>
      </c>
      <c r="H65" t="s">
        <v>74</v>
      </c>
      <c r="I65" t="s">
        <v>15</v>
      </c>
      <c r="J65" t="s">
        <v>24</v>
      </c>
      <c r="L65">
        <v>0</v>
      </c>
      <c r="M65">
        <v>9500</v>
      </c>
      <c r="N65">
        <v>4000</v>
      </c>
      <c r="O65">
        <v>13500</v>
      </c>
      <c r="P65">
        <v>13500</v>
      </c>
    </row>
    <row r="66" spans="1:16">
      <c r="A66" t="s">
        <v>13</v>
      </c>
      <c r="B66" s="6">
        <f>5/60</f>
        <v>8.3333333333333329E-2</v>
      </c>
      <c r="C66">
        <v>30</v>
      </c>
      <c r="D66">
        <v>4</v>
      </c>
      <c r="E66">
        <v>2019</v>
      </c>
      <c r="F66">
        <v>55.244</v>
      </c>
      <c r="G66">
        <v>-146.059</v>
      </c>
      <c r="H66" t="s">
        <v>35</v>
      </c>
      <c r="I66" t="s">
        <v>15</v>
      </c>
      <c r="O66">
        <v>3200</v>
      </c>
      <c r="P66">
        <v>3200</v>
      </c>
    </row>
    <row r="67" spans="1:16">
      <c r="A67" t="s">
        <v>22</v>
      </c>
      <c r="B67" s="6">
        <f>6+51/60</f>
        <v>6.85</v>
      </c>
      <c r="C67">
        <v>4</v>
      </c>
      <c r="D67">
        <v>5</v>
      </c>
      <c r="E67">
        <v>2019</v>
      </c>
      <c r="F67">
        <v>28.41</v>
      </c>
      <c r="G67">
        <v>-80.61</v>
      </c>
      <c r="H67" t="s">
        <v>23</v>
      </c>
      <c r="I67" t="s">
        <v>15</v>
      </c>
      <c r="J67" t="s">
        <v>24</v>
      </c>
      <c r="L67">
        <v>0</v>
      </c>
      <c r="M67">
        <v>27200</v>
      </c>
      <c r="O67">
        <v>27200</v>
      </c>
      <c r="P67">
        <v>4760</v>
      </c>
    </row>
    <row r="68" spans="1:16">
      <c r="A68" t="s">
        <v>13</v>
      </c>
      <c r="B68" s="6">
        <f>6+3/60</f>
        <v>6.05</v>
      </c>
      <c r="C68">
        <v>5</v>
      </c>
      <c r="D68">
        <v>5</v>
      </c>
      <c r="E68">
        <v>2019</v>
      </c>
      <c r="F68" s="6">
        <v>-39.251199999999997</v>
      </c>
      <c r="G68" s="6">
        <v>177.8673</v>
      </c>
      <c r="H68" t="s">
        <v>60</v>
      </c>
      <c r="I68" t="s">
        <v>15</v>
      </c>
      <c r="J68" t="s">
        <v>24</v>
      </c>
      <c r="L68">
        <v>0</v>
      </c>
      <c r="M68">
        <v>950</v>
      </c>
      <c r="O68">
        <v>950</v>
      </c>
      <c r="P68">
        <v>950</v>
      </c>
    </row>
    <row r="69" spans="1:16">
      <c r="A69" t="s">
        <v>13</v>
      </c>
      <c r="B69" s="6">
        <f>13+49/60</f>
        <v>13.816666666666666</v>
      </c>
      <c r="C69">
        <v>7</v>
      </c>
      <c r="D69">
        <v>5</v>
      </c>
      <c r="E69">
        <v>2019</v>
      </c>
      <c r="F69">
        <v>-6.9009999999999998</v>
      </c>
      <c r="G69">
        <v>-116.879</v>
      </c>
      <c r="H69" t="s">
        <v>46</v>
      </c>
      <c r="I69" t="s">
        <v>47</v>
      </c>
      <c r="O69">
        <v>535</v>
      </c>
      <c r="P69">
        <v>535</v>
      </c>
    </row>
    <row r="70" spans="1:16">
      <c r="A70" t="s">
        <v>13</v>
      </c>
      <c r="B70" s="6">
        <f>16+52/60</f>
        <v>16.866666666666667</v>
      </c>
      <c r="C70">
        <v>7</v>
      </c>
      <c r="D70">
        <v>5</v>
      </c>
      <c r="E70">
        <v>2019</v>
      </c>
      <c r="F70">
        <v>25.268000000000001</v>
      </c>
      <c r="G70">
        <v>-156.60599999999999</v>
      </c>
      <c r="H70" t="s">
        <v>69</v>
      </c>
      <c r="I70" t="s">
        <v>47</v>
      </c>
      <c r="O70">
        <v>2370</v>
      </c>
      <c r="P70">
        <v>2370</v>
      </c>
    </row>
    <row r="71" spans="1:16">
      <c r="A71" t="s">
        <v>13</v>
      </c>
      <c r="B71" s="6">
        <f>7+29/60</f>
        <v>7.4833333333333334</v>
      </c>
      <c r="C71">
        <v>11</v>
      </c>
      <c r="D71">
        <v>5</v>
      </c>
      <c r="E71">
        <v>2019</v>
      </c>
      <c r="F71">
        <v>43.405000000000001</v>
      </c>
      <c r="G71">
        <v>78.728999999999999</v>
      </c>
      <c r="H71" t="s">
        <v>75</v>
      </c>
      <c r="I71" t="s">
        <v>17</v>
      </c>
      <c r="O71">
        <v>689</v>
      </c>
      <c r="P71">
        <v>689</v>
      </c>
    </row>
    <row r="72" spans="1:16">
      <c r="A72" t="s">
        <v>13</v>
      </c>
      <c r="B72" s="6">
        <f>9+3/60</f>
        <v>9.0500000000000007</v>
      </c>
      <c r="C72">
        <v>12</v>
      </c>
      <c r="D72">
        <v>5</v>
      </c>
      <c r="E72">
        <v>2019</v>
      </c>
      <c r="F72">
        <v>-22.817</v>
      </c>
      <c r="G72">
        <v>99.471000000000004</v>
      </c>
      <c r="H72" t="s">
        <v>76</v>
      </c>
      <c r="I72" t="s">
        <v>17</v>
      </c>
      <c r="O72">
        <v>689</v>
      </c>
      <c r="P72">
        <v>689</v>
      </c>
    </row>
    <row r="73" spans="1:16">
      <c r="A73" t="s">
        <v>13</v>
      </c>
      <c r="B73" s="6">
        <f>13+4/60</f>
        <v>13.066666666666666</v>
      </c>
      <c r="C73">
        <v>12</v>
      </c>
      <c r="D73">
        <v>5</v>
      </c>
      <c r="E73">
        <v>2019</v>
      </c>
      <c r="F73">
        <v>4.3239999999999998</v>
      </c>
      <c r="G73">
        <v>-172.28700000000001</v>
      </c>
      <c r="H73" t="s">
        <v>77</v>
      </c>
      <c r="I73" t="s">
        <v>15</v>
      </c>
      <c r="O73">
        <v>5000</v>
      </c>
      <c r="P73">
        <v>5000</v>
      </c>
    </row>
    <row r="74" spans="1:16">
      <c r="A74" t="s">
        <v>13</v>
      </c>
      <c r="B74" s="6">
        <f>1+2/60</f>
        <v>1.0333333333333334</v>
      </c>
      <c r="C74">
        <v>15</v>
      </c>
      <c r="D74">
        <v>5</v>
      </c>
      <c r="E74">
        <v>2019</v>
      </c>
      <c r="F74">
        <v>-63.5</v>
      </c>
      <c r="G74">
        <v>92.44</v>
      </c>
      <c r="H74" t="s">
        <v>55</v>
      </c>
      <c r="I74" t="s">
        <v>15</v>
      </c>
      <c r="O74">
        <v>2400</v>
      </c>
      <c r="P74">
        <v>2400</v>
      </c>
    </row>
    <row r="75" spans="1:16">
      <c r="A75" t="s">
        <v>13</v>
      </c>
      <c r="B75" s="6">
        <f>15+51/60</f>
        <v>15.85</v>
      </c>
      <c r="C75">
        <v>17</v>
      </c>
      <c r="D75">
        <v>5</v>
      </c>
      <c r="E75">
        <v>2019</v>
      </c>
      <c r="F75" s="6">
        <v>28.245999999999999</v>
      </c>
      <c r="G75" s="6">
        <v>102.027</v>
      </c>
      <c r="H75" t="s">
        <v>78</v>
      </c>
      <c r="I75" t="s">
        <v>15</v>
      </c>
      <c r="J75" t="s">
        <v>21</v>
      </c>
      <c r="K75">
        <v>50</v>
      </c>
      <c r="L75">
        <v>7800</v>
      </c>
      <c r="M75">
        <v>9800</v>
      </c>
      <c r="N75">
        <v>4000</v>
      </c>
      <c r="O75">
        <v>21600</v>
      </c>
      <c r="P75">
        <v>21600</v>
      </c>
    </row>
    <row r="76" spans="1:16">
      <c r="A76" t="s">
        <v>13</v>
      </c>
      <c r="B76" s="6">
        <f>16+49/60</f>
        <v>16.816666666666666</v>
      </c>
      <c r="C76">
        <v>17</v>
      </c>
      <c r="D76">
        <v>5</v>
      </c>
      <c r="E76">
        <v>2019</v>
      </c>
      <c r="F76">
        <v>-13.134</v>
      </c>
      <c r="G76">
        <v>-139.94300000000001</v>
      </c>
      <c r="H76" t="s">
        <v>34</v>
      </c>
      <c r="I76" t="s">
        <v>15</v>
      </c>
      <c r="O76">
        <v>250</v>
      </c>
      <c r="P76">
        <v>250</v>
      </c>
    </row>
    <row r="77" spans="1:16">
      <c r="A77" t="s">
        <v>13</v>
      </c>
      <c r="B77" s="6">
        <v>0</v>
      </c>
      <c r="C77">
        <v>22</v>
      </c>
      <c r="D77">
        <v>5</v>
      </c>
      <c r="E77">
        <v>2019</v>
      </c>
      <c r="F77" s="6">
        <v>13.72</v>
      </c>
      <c r="G77" s="6">
        <v>80.23</v>
      </c>
      <c r="H77" t="s">
        <v>79</v>
      </c>
      <c r="I77" t="s">
        <v>15</v>
      </c>
      <c r="J77" t="s">
        <v>24</v>
      </c>
      <c r="L77">
        <v>0</v>
      </c>
      <c r="M77">
        <v>30000</v>
      </c>
      <c r="N77">
        <v>5400</v>
      </c>
      <c r="O77">
        <v>35400</v>
      </c>
      <c r="P77">
        <v>35400</v>
      </c>
    </row>
    <row r="78" spans="1:16">
      <c r="A78" t="s">
        <v>13</v>
      </c>
      <c r="B78" s="6">
        <f>22+52/60</f>
        <v>22.866666666666667</v>
      </c>
      <c r="C78">
        <v>22</v>
      </c>
      <c r="D78">
        <v>5</v>
      </c>
      <c r="E78">
        <v>2019</v>
      </c>
      <c r="F78" s="6">
        <v>38.863</v>
      </c>
      <c r="G78" s="6">
        <v>111.589</v>
      </c>
      <c r="H78" t="s">
        <v>80</v>
      </c>
      <c r="I78" t="s">
        <v>15</v>
      </c>
      <c r="J78" t="s">
        <v>24</v>
      </c>
      <c r="L78">
        <v>0</v>
      </c>
      <c r="M78">
        <v>9500</v>
      </c>
      <c r="N78">
        <v>4000</v>
      </c>
      <c r="O78">
        <v>13500</v>
      </c>
      <c r="P78">
        <v>13500</v>
      </c>
    </row>
    <row r="79" spans="1:16">
      <c r="A79" t="s">
        <v>22</v>
      </c>
      <c r="B79" s="6">
        <f>2+33/60</f>
        <v>2.5499999999999998</v>
      </c>
      <c r="C79">
        <v>24</v>
      </c>
      <c r="D79">
        <v>5</v>
      </c>
      <c r="E79">
        <v>2019</v>
      </c>
      <c r="F79">
        <v>28.41</v>
      </c>
      <c r="G79">
        <v>-80.61</v>
      </c>
      <c r="H79" t="s">
        <v>23</v>
      </c>
      <c r="I79" t="s">
        <v>15</v>
      </c>
      <c r="J79" t="s">
        <v>24</v>
      </c>
      <c r="L79">
        <v>0</v>
      </c>
      <c r="M79">
        <v>27200</v>
      </c>
      <c r="O79">
        <v>27200</v>
      </c>
      <c r="P79">
        <v>4760</v>
      </c>
    </row>
    <row r="80" spans="1:16">
      <c r="A80" t="s">
        <v>13</v>
      </c>
      <c r="B80" s="6">
        <f>6+26/60</f>
        <v>6.4333333333333336</v>
      </c>
      <c r="C80">
        <v>27</v>
      </c>
      <c r="D80">
        <v>5</v>
      </c>
      <c r="E80">
        <v>2019</v>
      </c>
      <c r="F80" s="6">
        <v>62.929000000000002</v>
      </c>
      <c r="G80" s="6">
        <v>40.457000000000001</v>
      </c>
      <c r="H80" t="s">
        <v>39</v>
      </c>
      <c r="I80" t="s">
        <v>15</v>
      </c>
      <c r="J80" t="s">
        <v>21</v>
      </c>
      <c r="K80">
        <v>48</v>
      </c>
      <c r="N80">
        <v>6550</v>
      </c>
      <c r="O80">
        <v>6550</v>
      </c>
      <c r="P80">
        <v>6550</v>
      </c>
    </row>
    <row r="81" spans="1:16">
      <c r="A81" t="s">
        <v>13</v>
      </c>
      <c r="B81" s="6">
        <f>22+16/60</f>
        <v>22.266666666666666</v>
      </c>
      <c r="C81">
        <v>27</v>
      </c>
      <c r="D81">
        <v>5</v>
      </c>
      <c r="E81">
        <v>2019</v>
      </c>
      <c r="F81">
        <v>22.37</v>
      </c>
      <c r="G81">
        <v>-70.685000000000002</v>
      </c>
      <c r="H81" t="s">
        <v>81</v>
      </c>
      <c r="I81" t="s">
        <v>15</v>
      </c>
      <c r="O81">
        <v>65</v>
      </c>
      <c r="P81">
        <v>65</v>
      </c>
    </row>
    <row r="82" spans="1:16">
      <c r="A82" t="s">
        <v>13</v>
      </c>
      <c r="B82" s="6">
        <f>17+45/60</f>
        <v>17.75</v>
      </c>
      <c r="C82">
        <v>30</v>
      </c>
      <c r="D82">
        <v>5</v>
      </c>
      <c r="E82">
        <v>2019</v>
      </c>
      <c r="F82" s="6">
        <v>46.04</v>
      </c>
      <c r="G82" s="6">
        <v>63.031999999999996</v>
      </c>
      <c r="H82" t="s">
        <v>82</v>
      </c>
      <c r="I82" t="s">
        <v>15</v>
      </c>
      <c r="J82" t="s">
        <v>24</v>
      </c>
      <c r="L82">
        <v>0</v>
      </c>
      <c r="M82">
        <v>30600</v>
      </c>
      <c r="N82">
        <v>11000</v>
      </c>
      <c r="O82">
        <v>41600</v>
      </c>
      <c r="P82">
        <v>41600</v>
      </c>
    </row>
    <row r="83" spans="1:16">
      <c r="A83" t="s">
        <v>13</v>
      </c>
      <c r="B83" s="6">
        <f>4+9/60</f>
        <v>4.1500000000000004</v>
      </c>
      <c r="C83">
        <v>5</v>
      </c>
      <c r="D83">
        <v>6</v>
      </c>
      <c r="E83">
        <v>2019</v>
      </c>
      <c r="F83" s="13">
        <v>34.9</v>
      </c>
      <c r="G83" s="11">
        <v>121.19</v>
      </c>
      <c r="H83" t="s">
        <v>83</v>
      </c>
      <c r="I83" t="s">
        <v>15</v>
      </c>
      <c r="J83" t="s">
        <v>24</v>
      </c>
      <c r="L83">
        <v>0</v>
      </c>
      <c r="M83">
        <v>4770</v>
      </c>
      <c r="N83">
        <v>2500</v>
      </c>
      <c r="O83">
        <v>7270</v>
      </c>
      <c r="P83">
        <v>7270</v>
      </c>
    </row>
    <row r="84" spans="1:16">
      <c r="A84" t="s">
        <v>13</v>
      </c>
      <c r="B84" s="6">
        <f>7+32/60</f>
        <v>7.5333333333333332</v>
      </c>
      <c r="C84">
        <v>10</v>
      </c>
      <c r="D84">
        <v>6</v>
      </c>
      <c r="E84">
        <v>2019</v>
      </c>
      <c r="F84">
        <v>-19.870999999999999</v>
      </c>
      <c r="G84">
        <v>-80.177999999999997</v>
      </c>
      <c r="H84" t="s">
        <v>81</v>
      </c>
      <c r="I84" t="s">
        <v>15</v>
      </c>
      <c r="O84">
        <v>65</v>
      </c>
      <c r="P84">
        <v>65</v>
      </c>
    </row>
    <row r="85" spans="1:16">
      <c r="A85" t="s">
        <v>22</v>
      </c>
      <c r="B85" s="6">
        <f>14+20/60</f>
        <v>14.333333333333334</v>
      </c>
      <c r="C85">
        <v>12</v>
      </c>
      <c r="D85">
        <v>6</v>
      </c>
      <c r="E85">
        <v>2019</v>
      </c>
      <c r="F85">
        <v>34.633000000000003</v>
      </c>
      <c r="G85">
        <v>-120.613</v>
      </c>
      <c r="H85" t="s">
        <v>23</v>
      </c>
      <c r="I85" t="s">
        <v>15</v>
      </c>
      <c r="J85" t="s">
        <v>24</v>
      </c>
      <c r="L85">
        <v>0</v>
      </c>
      <c r="M85">
        <v>27200</v>
      </c>
      <c r="O85">
        <v>27200</v>
      </c>
      <c r="P85">
        <v>4760</v>
      </c>
    </row>
    <row r="86" spans="1:16">
      <c r="A86" t="s">
        <v>13</v>
      </c>
      <c r="B86" s="6">
        <f>5+32/60</f>
        <v>5.5333333333333332</v>
      </c>
      <c r="C86">
        <v>15</v>
      </c>
      <c r="D86">
        <v>6</v>
      </c>
      <c r="E86">
        <v>2019</v>
      </c>
      <c r="F86">
        <v>6.0739999999999998</v>
      </c>
      <c r="G86">
        <v>-41.856999999999999</v>
      </c>
      <c r="H86" t="s">
        <v>46</v>
      </c>
      <c r="I86" t="s">
        <v>47</v>
      </c>
      <c r="O86">
        <v>535</v>
      </c>
      <c r="P86">
        <v>535</v>
      </c>
    </row>
    <row r="87" spans="1:16">
      <c r="A87" t="s">
        <v>13</v>
      </c>
      <c r="B87" s="6">
        <f>21+46/60</f>
        <v>21.766666666666666</v>
      </c>
      <c r="C87">
        <v>20</v>
      </c>
      <c r="D87">
        <v>6</v>
      </c>
      <c r="E87">
        <v>2019</v>
      </c>
      <c r="F87" s="6">
        <v>5.2389999999999999</v>
      </c>
      <c r="G87" s="6">
        <v>-52.768999999999998</v>
      </c>
      <c r="H87" t="s">
        <v>38</v>
      </c>
      <c r="I87" t="s">
        <v>15</v>
      </c>
      <c r="J87" t="s">
        <v>21</v>
      </c>
      <c r="K87">
        <v>60</v>
      </c>
      <c r="L87">
        <v>76000</v>
      </c>
      <c r="M87">
        <v>14000</v>
      </c>
      <c r="O87">
        <v>90000</v>
      </c>
      <c r="P87">
        <v>90000</v>
      </c>
    </row>
    <row r="88" spans="1:16">
      <c r="A88" t="s">
        <v>13</v>
      </c>
      <c r="B88" s="6">
        <f>18+12/60</f>
        <v>18.2</v>
      </c>
      <c r="C88">
        <v>24</v>
      </c>
      <c r="D88">
        <v>6</v>
      </c>
      <c r="E88">
        <v>2019</v>
      </c>
      <c r="F88" s="6">
        <v>28.247</v>
      </c>
      <c r="G88" s="6">
        <v>102.029</v>
      </c>
      <c r="H88" t="s">
        <v>20</v>
      </c>
      <c r="I88" t="s">
        <v>15</v>
      </c>
      <c r="J88" t="s">
        <v>21</v>
      </c>
      <c r="K88">
        <v>50</v>
      </c>
      <c r="L88">
        <v>15600</v>
      </c>
      <c r="M88">
        <v>9800</v>
      </c>
      <c r="N88">
        <v>4000</v>
      </c>
      <c r="O88">
        <v>29400</v>
      </c>
      <c r="P88">
        <v>14700</v>
      </c>
    </row>
    <row r="89" spans="1:16">
      <c r="A89" t="s">
        <v>22</v>
      </c>
      <c r="B89" s="6">
        <f>2+48/60</f>
        <v>2.8</v>
      </c>
      <c r="C89">
        <v>25</v>
      </c>
      <c r="D89">
        <v>6</v>
      </c>
      <c r="E89">
        <v>2019</v>
      </c>
      <c r="F89" s="19">
        <v>47.415750000000003</v>
      </c>
      <c r="G89" s="19">
        <v>69.5852</v>
      </c>
      <c r="H89" t="s">
        <v>84</v>
      </c>
      <c r="I89" t="s">
        <v>17</v>
      </c>
      <c r="O89">
        <v>7080</v>
      </c>
      <c r="P89">
        <v>1239</v>
      </c>
    </row>
    <row r="90" spans="1:16">
      <c r="A90" t="s">
        <v>22</v>
      </c>
      <c r="B90" s="6">
        <f>6+33/60</f>
        <v>6.55</v>
      </c>
      <c r="C90">
        <v>25</v>
      </c>
      <c r="D90">
        <v>6</v>
      </c>
      <c r="E90">
        <v>2019</v>
      </c>
      <c r="F90">
        <v>28.486000000000001</v>
      </c>
      <c r="G90">
        <v>-80.543999999999997</v>
      </c>
      <c r="H90" t="s">
        <v>70</v>
      </c>
      <c r="I90" t="s">
        <v>15</v>
      </c>
      <c r="J90" t="s">
        <v>21</v>
      </c>
      <c r="K90">
        <v>61</v>
      </c>
      <c r="L90">
        <v>34000</v>
      </c>
      <c r="M90">
        <v>17000</v>
      </c>
      <c r="O90">
        <v>51000</v>
      </c>
      <c r="P90">
        <v>8925</v>
      </c>
    </row>
    <row r="91" spans="1:16">
      <c r="A91" t="s">
        <v>13</v>
      </c>
      <c r="B91" s="6">
        <f>4+33/60</f>
        <v>4.55</v>
      </c>
      <c r="C91">
        <v>29</v>
      </c>
      <c r="D91">
        <v>6</v>
      </c>
      <c r="E91">
        <v>2019</v>
      </c>
      <c r="F91" s="6">
        <v>-39.251199999999997</v>
      </c>
      <c r="G91" s="6">
        <v>177.8673</v>
      </c>
      <c r="H91" t="s">
        <v>60</v>
      </c>
      <c r="I91" t="s">
        <v>15</v>
      </c>
      <c r="J91" t="s">
        <v>24</v>
      </c>
      <c r="L91">
        <v>0</v>
      </c>
      <c r="M91">
        <v>950</v>
      </c>
      <c r="O91">
        <v>950</v>
      </c>
      <c r="P91">
        <v>950</v>
      </c>
    </row>
    <row r="92" spans="1:16">
      <c r="A92" t="s">
        <v>13</v>
      </c>
      <c r="B92" s="6">
        <f>23</f>
        <v>23</v>
      </c>
      <c r="C92">
        <v>29</v>
      </c>
      <c r="D92">
        <v>6</v>
      </c>
      <c r="E92">
        <v>2019</v>
      </c>
      <c r="F92">
        <v>-15.179</v>
      </c>
      <c r="G92">
        <v>-64.709000000000003</v>
      </c>
      <c r="H92" t="s">
        <v>85</v>
      </c>
      <c r="I92" t="s">
        <v>47</v>
      </c>
      <c r="O92">
        <v>2370</v>
      </c>
      <c r="P92">
        <v>2370</v>
      </c>
    </row>
    <row r="93" spans="1:16">
      <c r="A93" t="s">
        <v>13</v>
      </c>
      <c r="B93" s="6">
        <f>6+35/60</f>
        <v>6.583333333333333</v>
      </c>
      <c r="C93">
        <v>3</v>
      </c>
      <c r="D93">
        <v>7</v>
      </c>
      <c r="E93">
        <v>2019</v>
      </c>
      <c r="F93">
        <v>17.748000000000001</v>
      </c>
      <c r="G93">
        <v>-37.99</v>
      </c>
      <c r="H93" t="s">
        <v>30</v>
      </c>
      <c r="I93" t="s">
        <v>15</v>
      </c>
      <c r="O93">
        <v>2740</v>
      </c>
      <c r="P93">
        <v>2740</v>
      </c>
    </row>
    <row r="94" spans="1:16">
      <c r="A94" t="s">
        <v>13</v>
      </c>
      <c r="B94" s="6">
        <f>6+36/60</f>
        <v>6.6</v>
      </c>
      <c r="C94">
        <v>3</v>
      </c>
      <c r="D94">
        <v>7</v>
      </c>
      <c r="E94">
        <v>2019</v>
      </c>
      <c r="F94">
        <v>27.469000000000001</v>
      </c>
      <c r="G94">
        <v>32.673999999999999</v>
      </c>
      <c r="H94" t="s">
        <v>34</v>
      </c>
      <c r="I94" t="s">
        <v>15</v>
      </c>
      <c r="O94">
        <v>250</v>
      </c>
      <c r="P94">
        <v>250</v>
      </c>
    </row>
    <row r="95" spans="1:16">
      <c r="A95" t="s">
        <v>13</v>
      </c>
      <c r="B95" s="6">
        <f>15+4/60</f>
        <v>15.066666666666666</v>
      </c>
      <c r="C95">
        <v>4</v>
      </c>
      <c r="D95">
        <v>7</v>
      </c>
      <c r="E95">
        <v>2019</v>
      </c>
      <c r="F95">
        <v>-52.372999999999998</v>
      </c>
      <c r="G95">
        <v>91.174000000000007</v>
      </c>
      <c r="H95" t="s">
        <v>30</v>
      </c>
      <c r="I95" t="s">
        <v>15</v>
      </c>
      <c r="O95">
        <v>2740</v>
      </c>
      <c r="P95">
        <v>2740</v>
      </c>
    </row>
    <row r="96" spans="1:16">
      <c r="A96" t="s">
        <v>13</v>
      </c>
      <c r="B96" s="6">
        <f>5+44/60</f>
        <v>5.7333333333333334</v>
      </c>
      <c r="C96">
        <v>5</v>
      </c>
      <c r="D96">
        <v>7</v>
      </c>
      <c r="E96">
        <v>2019</v>
      </c>
      <c r="F96" s="6">
        <v>51.884999999999998</v>
      </c>
      <c r="G96" s="6">
        <v>128.33500000000001</v>
      </c>
      <c r="H96" t="s">
        <v>39</v>
      </c>
      <c r="I96" t="s">
        <v>15</v>
      </c>
      <c r="J96" t="s">
        <v>21</v>
      </c>
      <c r="K96">
        <v>48</v>
      </c>
      <c r="N96">
        <v>6550</v>
      </c>
      <c r="O96">
        <v>6550</v>
      </c>
      <c r="P96">
        <v>6550</v>
      </c>
    </row>
    <row r="97" spans="1:16">
      <c r="A97" t="s">
        <v>13</v>
      </c>
      <c r="B97" s="6">
        <f>17+17/60</f>
        <v>17.283333333333335</v>
      </c>
      <c r="C97">
        <v>10</v>
      </c>
      <c r="D97">
        <v>7</v>
      </c>
      <c r="E97">
        <v>2019</v>
      </c>
      <c r="F97" s="6">
        <v>62.929000000000002</v>
      </c>
      <c r="G97" s="6">
        <v>40.457000000000001</v>
      </c>
      <c r="H97" t="s">
        <v>86</v>
      </c>
      <c r="I97" t="s">
        <v>15</v>
      </c>
      <c r="J97" t="s">
        <v>24</v>
      </c>
      <c r="L97">
        <v>0</v>
      </c>
      <c r="M97">
        <v>4900</v>
      </c>
      <c r="O97">
        <v>4900</v>
      </c>
      <c r="P97">
        <v>4900</v>
      </c>
    </row>
    <row r="98" spans="1:16">
      <c r="A98" t="s">
        <v>13</v>
      </c>
      <c r="B98" s="6">
        <f>1+56/60</f>
        <v>1.9333333333333333</v>
      </c>
      <c r="C98">
        <v>11</v>
      </c>
      <c r="D98">
        <v>7</v>
      </c>
      <c r="E98">
        <v>2019</v>
      </c>
      <c r="F98" s="6">
        <v>5.2359999999999998</v>
      </c>
      <c r="G98" s="6">
        <v>-52.774999999999999</v>
      </c>
      <c r="H98" t="s">
        <v>56</v>
      </c>
      <c r="I98" t="s">
        <v>15</v>
      </c>
      <c r="J98" t="s">
        <v>24</v>
      </c>
      <c r="L98">
        <v>0</v>
      </c>
      <c r="M98">
        <v>8650</v>
      </c>
      <c r="N98">
        <v>1900</v>
      </c>
      <c r="O98">
        <v>10550</v>
      </c>
      <c r="P98">
        <v>10550</v>
      </c>
    </row>
    <row r="99" spans="1:16">
      <c r="A99" t="s">
        <v>13</v>
      </c>
      <c r="B99" s="6">
        <f>12+34/60</f>
        <v>12.566666666666666</v>
      </c>
      <c r="C99">
        <v>13</v>
      </c>
      <c r="D99">
        <v>7</v>
      </c>
      <c r="E99">
        <v>2019</v>
      </c>
      <c r="F99" s="6">
        <v>46.070999999999998</v>
      </c>
      <c r="G99" s="6">
        <v>62.984999999999999</v>
      </c>
      <c r="H99" t="s">
        <v>87</v>
      </c>
      <c r="I99" t="s">
        <v>15</v>
      </c>
      <c r="J99" t="s">
        <v>24</v>
      </c>
      <c r="L99">
        <v>0</v>
      </c>
      <c r="M99">
        <v>30600</v>
      </c>
      <c r="N99">
        <v>11000</v>
      </c>
      <c r="O99">
        <v>41600</v>
      </c>
      <c r="P99">
        <v>41600</v>
      </c>
    </row>
    <row r="100" spans="1:16">
      <c r="A100" t="s">
        <v>13</v>
      </c>
      <c r="B100" s="6">
        <f>7+35/60</f>
        <v>7.583333333333333</v>
      </c>
      <c r="C100">
        <v>20</v>
      </c>
      <c r="D100">
        <v>7</v>
      </c>
      <c r="E100">
        <v>2019</v>
      </c>
      <c r="F100">
        <v>-3.4740000000000002</v>
      </c>
      <c r="G100">
        <v>-64.989999999999995</v>
      </c>
      <c r="H100" t="s">
        <v>30</v>
      </c>
      <c r="I100" t="s">
        <v>15</v>
      </c>
      <c r="O100">
        <v>2740</v>
      </c>
      <c r="P100">
        <v>2740</v>
      </c>
    </row>
    <row r="101" spans="1:16">
      <c r="A101" t="s">
        <v>13</v>
      </c>
      <c r="B101" s="6">
        <f>16+31/60</f>
        <v>16.516666666666666</v>
      </c>
      <c r="C101">
        <v>20</v>
      </c>
      <c r="D101">
        <v>7</v>
      </c>
      <c r="E101">
        <v>2019</v>
      </c>
      <c r="F101" s="6">
        <v>45.92</v>
      </c>
      <c r="G101" s="6">
        <v>63.341999999999999</v>
      </c>
      <c r="H101" t="s">
        <v>51</v>
      </c>
      <c r="I101" t="s">
        <v>15</v>
      </c>
      <c r="J101" t="s">
        <v>21</v>
      </c>
      <c r="K101">
        <v>48</v>
      </c>
      <c r="N101">
        <v>6550</v>
      </c>
      <c r="O101">
        <v>6550</v>
      </c>
      <c r="P101">
        <v>6550</v>
      </c>
    </row>
    <row r="102" spans="1:16">
      <c r="A102" t="s">
        <v>13</v>
      </c>
      <c r="B102" s="6">
        <f>9+16/60</f>
        <v>9.2666666666666675</v>
      </c>
      <c r="C102">
        <v>22</v>
      </c>
      <c r="D102">
        <v>7</v>
      </c>
      <c r="E102">
        <v>2019</v>
      </c>
      <c r="F102" s="6">
        <v>13.72</v>
      </c>
      <c r="G102" s="6">
        <v>80.23</v>
      </c>
      <c r="H102" t="s">
        <v>88</v>
      </c>
      <c r="I102" t="s">
        <v>15</v>
      </c>
      <c r="J102" t="s">
        <v>21</v>
      </c>
      <c r="K102">
        <v>62</v>
      </c>
      <c r="L102">
        <v>62600</v>
      </c>
      <c r="M102">
        <v>10600</v>
      </c>
      <c r="O102">
        <v>73200</v>
      </c>
      <c r="P102">
        <v>73200</v>
      </c>
    </row>
    <row r="103" spans="1:16">
      <c r="A103" t="s">
        <v>13</v>
      </c>
      <c r="B103" s="6">
        <f>10+59/60</f>
        <v>10.983333333333333</v>
      </c>
      <c r="C103">
        <v>23</v>
      </c>
      <c r="D103">
        <v>7</v>
      </c>
      <c r="E103">
        <v>2019</v>
      </c>
      <c r="F103">
        <v>34.628999999999998</v>
      </c>
      <c r="G103">
        <v>66.846000000000004</v>
      </c>
      <c r="H103" t="s">
        <v>89</v>
      </c>
      <c r="I103" t="s">
        <v>17</v>
      </c>
      <c r="O103">
        <v>689</v>
      </c>
      <c r="P103">
        <v>689</v>
      </c>
    </row>
    <row r="104" spans="1:16">
      <c r="A104" t="s">
        <v>13</v>
      </c>
      <c r="B104" s="6">
        <f>3+42/60</f>
        <v>3.7</v>
      </c>
      <c r="C104">
        <v>24</v>
      </c>
      <c r="D104">
        <v>7</v>
      </c>
      <c r="E104">
        <v>2019</v>
      </c>
      <c r="F104">
        <v>-35.429000000000002</v>
      </c>
      <c r="G104">
        <v>142.71299999999999</v>
      </c>
      <c r="H104" t="s">
        <v>55</v>
      </c>
      <c r="I104" t="s">
        <v>15</v>
      </c>
      <c r="O104">
        <v>2400</v>
      </c>
      <c r="P104">
        <v>2400</v>
      </c>
    </row>
    <row r="105" spans="1:16">
      <c r="A105" t="s">
        <v>13</v>
      </c>
      <c r="B105" s="6">
        <f>5+3/60</f>
        <v>5.05</v>
      </c>
      <c r="C105">
        <v>25</v>
      </c>
      <c r="D105">
        <v>7</v>
      </c>
      <c r="E105">
        <v>2019</v>
      </c>
      <c r="F105" s="6">
        <v>40.967500000000001</v>
      </c>
      <c r="G105" s="6">
        <v>100.2786</v>
      </c>
      <c r="H105" t="s">
        <v>90</v>
      </c>
      <c r="I105" t="s">
        <v>15</v>
      </c>
      <c r="J105" t="s">
        <v>24</v>
      </c>
      <c r="L105">
        <v>0</v>
      </c>
      <c r="M105">
        <v>2000</v>
      </c>
      <c r="N105">
        <v>750</v>
      </c>
      <c r="O105">
        <v>2750</v>
      </c>
      <c r="P105">
        <v>2750</v>
      </c>
    </row>
    <row r="106" spans="1:16">
      <c r="A106" t="s">
        <v>22</v>
      </c>
      <c r="B106" s="6">
        <f>22+5/60</f>
        <v>22.083333333333332</v>
      </c>
      <c r="C106">
        <v>25</v>
      </c>
      <c r="D106">
        <v>7</v>
      </c>
      <c r="E106">
        <v>2019</v>
      </c>
      <c r="F106">
        <v>28.486000000000001</v>
      </c>
      <c r="G106">
        <v>-80.543999999999997</v>
      </c>
      <c r="H106" t="s">
        <v>23</v>
      </c>
      <c r="I106" t="s">
        <v>15</v>
      </c>
      <c r="J106" t="s">
        <v>24</v>
      </c>
      <c r="L106">
        <v>0</v>
      </c>
      <c r="M106">
        <v>27200</v>
      </c>
      <c r="O106">
        <v>27200</v>
      </c>
      <c r="P106">
        <v>4760</v>
      </c>
    </row>
    <row r="107" spans="1:16">
      <c r="A107" t="s">
        <v>13</v>
      </c>
      <c r="B107" s="6">
        <f>4</f>
        <v>4</v>
      </c>
      <c r="C107">
        <v>26</v>
      </c>
      <c r="D107">
        <v>7</v>
      </c>
      <c r="E107">
        <v>2019</v>
      </c>
      <c r="F107" s="6">
        <v>28.247</v>
      </c>
      <c r="G107" s="6">
        <v>102.029</v>
      </c>
      <c r="H107" t="s">
        <v>91</v>
      </c>
      <c r="I107" t="s">
        <v>15</v>
      </c>
      <c r="J107" t="s">
        <v>24</v>
      </c>
      <c r="L107">
        <v>0</v>
      </c>
      <c r="M107">
        <v>10000</v>
      </c>
      <c r="O107">
        <v>10000</v>
      </c>
      <c r="P107">
        <v>10000</v>
      </c>
    </row>
    <row r="108" spans="1:16">
      <c r="A108" t="s">
        <v>13</v>
      </c>
      <c r="B108" s="6">
        <f>5+59/60</f>
        <v>5.9833333333333334</v>
      </c>
      <c r="C108">
        <v>30</v>
      </c>
      <c r="D108">
        <v>7</v>
      </c>
      <c r="E108">
        <v>2019</v>
      </c>
      <c r="F108" s="6">
        <v>62.929000000000002</v>
      </c>
      <c r="G108" s="6">
        <v>40.457000000000001</v>
      </c>
      <c r="H108" t="s">
        <v>92</v>
      </c>
      <c r="I108" t="s">
        <v>15</v>
      </c>
      <c r="J108" t="s">
        <v>21</v>
      </c>
      <c r="K108">
        <v>48</v>
      </c>
      <c r="N108">
        <v>6550</v>
      </c>
      <c r="O108">
        <v>6550</v>
      </c>
      <c r="P108">
        <v>6550</v>
      </c>
    </row>
    <row r="109" spans="1:16">
      <c r="A109" t="s">
        <v>13</v>
      </c>
      <c r="B109" s="6">
        <f>12+14/60</f>
        <v>12.233333333333333</v>
      </c>
      <c r="C109">
        <v>31</v>
      </c>
      <c r="D109">
        <v>7</v>
      </c>
      <c r="E109">
        <v>2019</v>
      </c>
      <c r="F109" s="6">
        <v>45.996000000000002</v>
      </c>
      <c r="G109" s="6">
        <v>63.564</v>
      </c>
      <c r="H109" t="s">
        <v>64</v>
      </c>
      <c r="I109" t="s">
        <v>15</v>
      </c>
      <c r="J109" t="s">
        <v>21</v>
      </c>
      <c r="K109">
        <v>48</v>
      </c>
      <c r="N109">
        <v>6550</v>
      </c>
      <c r="O109">
        <v>6550</v>
      </c>
      <c r="P109">
        <v>6550</v>
      </c>
    </row>
    <row r="110" spans="1:16">
      <c r="A110" t="s">
        <v>13</v>
      </c>
      <c r="B110" s="6">
        <f>54/60</f>
        <v>0.9</v>
      </c>
      <c r="C110">
        <v>3</v>
      </c>
      <c r="D110">
        <v>8</v>
      </c>
      <c r="E110">
        <v>2019</v>
      </c>
      <c r="F110">
        <v>-49.128</v>
      </c>
      <c r="G110">
        <v>34.08</v>
      </c>
      <c r="H110" t="s">
        <v>93</v>
      </c>
      <c r="I110" t="s">
        <v>47</v>
      </c>
      <c r="O110">
        <v>4200</v>
      </c>
      <c r="P110">
        <v>4200</v>
      </c>
    </row>
    <row r="111" spans="1:16">
      <c r="A111" t="s">
        <v>13</v>
      </c>
      <c r="B111" s="6">
        <f>1+4/60</f>
        <v>1.0666666666666667</v>
      </c>
      <c r="C111">
        <v>4</v>
      </c>
      <c r="D111">
        <v>8</v>
      </c>
      <c r="E111">
        <v>2019</v>
      </c>
      <c r="F111">
        <v>-7.5010000000000003</v>
      </c>
      <c r="G111">
        <v>145.51900000000001</v>
      </c>
      <c r="H111" t="s">
        <v>55</v>
      </c>
      <c r="I111" t="s">
        <v>15</v>
      </c>
      <c r="O111">
        <v>2400</v>
      </c>
      <c r="P111">
        <v>2400</v>
      </c>
    </row>
    <row r="112" spans="1:16">
      <c r="A112" t="s">
        <v>13</v>
      </c>
      <c r="B112" s="6">
        <f>19+33/60</f>
        <v>19.55</v>
      </c>
      <c r="C112">
        <v>6</v>
      </c>
      <c r="D112">
        <v>8</v>
      </c>
      <c r="E112">
        <v>2019</v>
      </c>
      <c r="F112" s="6">
        <v>5.2389999999999999</v>
      </c>
      <c r="G112" s="6">
        <v>-52.768999999999998</v>
      </c>
      <c r="H112" t="s">
        <v>94</v>
      </c>
      <c r="I112" t="s">
        <v>15</v>
      </c>
      <c r="J112" t="s">
        <v>21</v>
      </c>
      <c r="K112">
        <v>60</v>
      </c>
      <c r="L112">
        <v>76000</v>
      </c>
      <c r="M112">
        <v>14000</v>
      </c>
      <c r="O112">
        <v>90000</v>
      </c>
      <c r="P112">
        <v>90000</v>
      </c>
    </row>
    <row r="113" spans="1:16">
      <c r="A113" t="s">
        <v>13</v>
      </c>
      <c r="B113" s="6">
        <f>21+59/60</f>
        <v>21.983333333333334</v>
      </c>
      <c r="C113">
        <v>6</v>
      </c>
      <c r="D113">
        <v>8</v>
      </c>
      <c r="E113">
        <v>2019</v>
      </c>
      <c r="F113" s="6">
        <v>46.070999999999998</v>
      </c>
      <c r="G113" s="6">
        <v>62.984999999999999</v>
      </c>
      <c r="H113" t="s">
        <v>82</v>
      </c>
      <c r="I113" t="s">
        <v>15</v>
      </c>
      <c r="J113" t="s">
        <v>24</v>
      </c>
      <c r="L113">
        <v>0</v>
      </c>
      <c r="M113">
        <v>30600</v>
      </c>
      <c r="O113">
        <v>30600</v>
      </c>
      <c r="P113">
        <v>30600</v>
      </c>
    </row>
    <row r="114" spans="1:16">
      <c r="A114" t="s">
        <v>22</v>
      </c>
      <c r="B114" s="6">
        <f>23+26/30</f>
        <v>23.866666666666667</v>
      </c>
      <c r="C114">
        <v>6</v>
      </c>
      <c r="D114">
        <v>8</v>
      </c>
      <c r="E114">
        <v>2019</v>
      </c>
      <c r="F114">
        <v>28.41</v>
      </c>
      <c r="G114">
        <v>-80.61</v>
      </c>
      <c r="H114" t="s">
        <v>23</v>
      </c>
      <c r="I114" t="s">
        <v>15</v>
      </c>
      <c r="J114" t="s">
        <v>24</v>
      </c>
      <c r="L114">
        <v>0</v>
      </c>
      <c r="M114">
        <v>27200</v>
      </c>
      <c r="O114">
        <v>27200</v>
      </c>
      <c r="P114">
        <v>4760</v>
      </c>
    </row>
    <row r="115" spans="1:16">
      <c r="A115" t="s">
        <v>13</v>
      </c>
      <c r="B115" s="6">
        <f>11+2/60</f>
        <v>11.033333333333333</v>
      </c>
      <c r="C115">
        <v>7</v>
      </c>
      <c r="D115">
        <v>8</v>
      </c>
      <c r="E115">
        <v>2019</v>
      </c>
      <c r="F115">
        <v>18.125</v>
      </c>
      <c r="G115">
        <v>-21.146999999999998</v>
      </c>
      <c r="H115" t="s">
        <v>95</v>
      </c>
      <c r="I115" t="s">
        <v>47</v>
      </c>
      <c r="O115">
        <v>1000</v>
      </c>
      <c r="P115">
        <v>1000</v>
      </c>
    </row>
    <row r="116" spans="1:16">
      <c r="A116" t="s">
        <v>13</v>
      </c>
      <c r="B116" s="6">
        <f>25/60</f>
        <v>0.41666666666666669</v>
      </c>
      <c r="C116">
        <v>8</v>
      </c>
      <c r="D116">
        <v>8</v>
      </c>
      <c r="E116">
        <v>2019</v>
      </c>
      <c r="F116">
        <v>-57.036999999999999</v>
      </c>
      <c r="G116">
        <v>54.084000000000003</v>
      </c>
      <c r="H116" t="s">
        <v>96</v>
      </c>
      <c r="I116" t="s">
        <v>17</v>
      </c>
      <c r="O116">
        <v>1750</v>
      </c>
      <c r="P116">
        <v>1750</v>
      </c>
    </row>
    <row r="117" spans="1:16">
      <c r="A117" t="s">
        <v>13</v>
      </c>
      <c r="B117" s="6">
        <f>10+16/60</f>
        <v>10.266666666666667</v>
      </c>
      <c r="C117">
        <v>8</v>
      </c>
      <c r="D117">
        <v>8</v>
      </c>
      <c r="E117">
        <v>2019</v>
      </c>
      <c r="F117" s="6">
        <v>28.582999999999998</v>
      </c>
      <c r="G117" s="6">
        <v>-80.582999999999998</v>
      </c>
      <c r="H117" t="s">
        <v>97</v>
      </c>
      <c r="I117" t="s">
        <v>15</v>
      </c>
      <c r="J117" t="s">
        <v>21</v>
      </c>
      <c r="K117">
        <v>48</v>
      </c>
      <c r="M117">
        <v>20740</v>
      </c>
      <c r="O117">
        <v>20740</v>
      </c>
      <c r="P117">
        <v>20740</v>
      </c>
    </row>
    <row r="118" spans="1:16">
      <c r="A118" t="s">
        <v>13</v>
      </c>
      <c r="B118" s="6">
        <f>4+17/60</f>
        <v>4.2833333333333332</v>
      </c>
      <c r="C118">
        <v>17</v>
      </c>
      <c r="D118">
        <v>8</v>
      </c>
      <c r="E118">
        <v>2019</v>
      </c>
      <c r="F118" s="11">
        <v>40.960999999999999</v>
      </c>
      <c r="G118" s="11">
        <v>100.298</v>
      </c>
      <c r="H118" t="s">
        <v>98</v>
      </c>
      <c r="I118" t="s">
        <v>15</v>
      </c>
      <c r="J118" t="s">
        <v>24</v>
      </c>
      <c r="L118">
        <v>0</v>
      </c>
      <c r="M118">
        <v>1000</v>
      </c>
      <c r="O118">
        <v>1000</v>
      </c>
      <c r="P118">
        <v>1000</v>
      </c>
    </row>
    <row r="119" spans="1:16">
      <c r="A119" t="s">
        <v>13</v>
      </c>
      <c r="B119" s="6">
        <f>12+6/60</f>
        <v>12.1</v>
      </c>
      <c r="C119">
        <v>19</v>
      </c>
      <c r="D119">
        <v>8</v>
      </c>
      <c r="E119">
        <v>2019</v>
      </c>
      <c r="F119" s="6">
        <v>28.245999999999999</v>
      </c>
      <c r="G119" s="6">
        <v>102.027</v>
      </c>
      <c r="H119" t="s">
        <v>99</v>
      </c>
      <c r="I119" t="s">
        <v>15</v>
      </c>
      <c r="J119" t="s">
        <v>21</v>
      </c>
      <c r="K119">
        <v>50</v>
      </c>
      <c r="L119">
        <v>15600</v>
      </c>
      <c r="M119">
        <v>9800</v>
      </c>
      <c r="N119">
        <v>4000</v>
      </c>
      <c r="O119">
        <v>29400</v>
      </c>
      <c r="P119">
        <v>14700</v>
      </c>
    </row>
    <row r="120" spans="1:16">
      <c r="A120" t="s">
        <v>13</v>
      </c>
      <c r="B120" s="6">
        <f>12+15/60</f>
        <v>12.25</v>
      </c>
      <c r="C120">
        <v>19</v>
      </c>
      <c r="D120">
        <v>8</v>
      </c>
      <c r="E120">
        <v>2019</v>
      </c>
      <c r="F120" s="6">
        <v>-39.251199999999997</v>
      </c>
      <c r="G120" s="6">
        <v>177.8673</v>
      </c>
      <c r="H120" t="s">
        <v>60</v>
      </c>
      <c r="I120" t="s">
        <v>15</v>
      </c>
      <c r="J120" t="s">
        <v>24</v>
      </c>
      <c r="L120">
        <v>0</v>
      </c>
      <c r="M120">
        <v>950</v>
      </c>
      <c r="O120">
        <v>950</v>
      </c>
      <c r="P120">
        <v>950</v>
      </c>
    </row>
    <row r="121" spans="1:16">
      <c r="A121" t="s">
        <v>13</v>
      </c>
      <c r="B121" s="6">
        <f>3+41/60</f>
        <v>3.6833333333333336</v>
      </c>
      <c r="C121">
        <v>22</v>
      </c>
      <c r="D121">
        <v>8</v>
      </c>
      <c r="E121">
        <v>2019</v>
      </c>
      <c r="F121" s="6">
        <v>45.996000000000002</v>
      </c>
      <c r="G121" s="6">
        <v>63.564</v>
      </c>
      <c r="H121" t="s">
        <v>64</v>
      </c>
      <c r="I121" t="s">
        <v>15</v>
      </c>
      <c r="J121" t="s">
        <v>21</v>
      </c>
      <c r="K121">
        <v>48</v>
      </c>
      <c r="N121">
        <v>6550</v>
      </c>
      <c r="O121">
        <v>6550</v>
      </c>
      <c r="P121">
        <v>6550</v>
      </c>
    </row>
    <row r="122" spans="1:16">
      <c r="A122" t="s">
        <v>13</v>
      </c>
      <c r="B122" s="6">
        <f>13+9/60</f>
        <v>13.15</v>
      </c>
      <c r="C122">
        <v>22</v>
      </c>
      <c r="D122">
        <v>8</v>
      </c>
      <c r="E122">
        <v>2019</v>
      </c>
      <c r="F122" s="6">
        <v>28.530999999999999</v>
      </c>
      <c r="G122" s="6">
        <v>-80.564999999999998</v>
      </c>
      <c r="H122" t="s">
        <v>100</v>
      </c>
      <c r="I122" t="s">
        <v>15</v>
      </c>
      <c r="J122" t="s">
        <v>21</v>
      </c>
      <c r="K122">
        <v>35</v>
      </c>
      <c r="M122">
        <v>28000</v>
      </c>
      <c r="O122">
        <v>28000</v>
      </c>
      <c r="P122">
        <v>28000</v>
      </c>
    </row>
    <row r="123" spans="1:16">
      <c r="A123" t="s">
        <v>13</v>
      </c>
      <c r="B123" s="6">
        <f>6+40/60</f>
        <v>6.666666666666667</v>
      </c>
      <c r="C123">
        <v>26</v>
      </c>
      <c r="D123">
        <v>8</v>
      </c>
      <c r="E123">
        <v>2019</v>
      </c>
      <c r="F123">
        <v>-19.922999999999998</v>
      </c>
      <c r="G123">
        <v>134.828</v>
      </c>
      <c r="H123" t="s">
        <v>55</v>
      </c>
      <c r="I123" t="s">
        <v>15</v>
      </c>
      <c r="O123">
        <v>2400</v>
      </c>
      <c r="P123">
        <v>2400</v>
      </c>
    </row>
    <row r="124" spans="1:16">
      <c r="A124" t="s">
        <v>13</v>
      </c>
      <c r="B124" s="6">
        <f>18+58/60</f>
        <v>18.966666666666665</v>
      </c>
      <c r="C124">
        <v>29</v>
      </c>
      <c r="D124">
        <v>8</v>
      </c>
      <c r="E124">
        <v>2019</v>
      </c>
      <c r="F124">
        <v>-59.408999999999999</v>
      </c>
      <c r="G124">
        <v>59.231000000000002</v>
      </c>
      <c r="H124" t="s">
        <v>57</v>
      </c>
      <c r="I124" t="s">
        <v>15</v>
      </c>
      <c r="O124">
        <v>1050</v>
      </c>
      <c r="P124">
        <v>1050</v>
      </c>
    </row>
    <row r="125" spans="1:16">
      <c r="A125" t="s">
        <v>13</v>
      </c>
      <c r="B125" s="6">
        <f>14+3/60</f>
        <v>14.05</v>
      </c>
      <c r="C125">
        <v>30</v>
      </c>
      <c r="D125">
        <v>8</v>
      </c>
      <c r="E125">
        <v>2019</v>
      </c>
      <c r="F125" s="6">
        <v>62.887</v>
      </c>
      <c r="G125" s="6">
        <v>40.847000000000001</v>
      </c>
      <c r="H125" t="s">
        <v>101</v>
      </c>
      <c r="I125" t="s">
        <v>15</v>
      </c>
      <c r="J125" t="s">
        <v>24</v>
      </c>
      <c r="L125">
        <v>0</v>
      </c>
      <c r="M125">
        <v>5700</v>
      </c>
      <c r="N125">
        <v>1485</v>
      </c>
      <c r="O125">
        <v>7185</v>
      </c>
      <c r="P125">
        <v>7185</v>
      </c>
    </row>
    <row r="126" spans="1:16">
      <c r="A126" t="s">
        <v>13</v>
      </c>
      <c r="B126" s="6">
        <f>23+44/60</f>
        <v>23.733333333333334</v>
      </c>
      <c r="C126">
        <v>30</v>
      </c>
      <c r="D126">
        <v>8</v>
      </c>
      <c r="E126">
        <v>2019</v>
      </c>
      <c r="F126" s="6">
        <v>40.972000000000001</v>
      </c>
      <c r="G126" s="6">
        <v>100.364</v>
      </c>
      <c r="H126" t="s">
        <v>102</v>
      </c>
      <c r="I126" t="s">
        <v>15</v>
      </c>
      <c r="J126" t="s">
        <v>24</v>
      </c>
      <c r="L126">
        <v>0</v>
      </c>
      <c r="M126">
        <v>3000</v>
      </c>
      <c r="N126">
        <v>1500</v>
      </c>
      <c r="O126">
        <v>4500</v>
      </c>
      <c r="P126">
        <v>4500</v>
      </c>
    </row>
    <row r="127" spans="1:16">
      <c r="A127" t="s">
        <v>13</v>
      </c>
      <c r="B127" s="6">
        <f>23+59/60</f>
        <v>23.983333333333334</v>
      </c>
      <c r="C127">
        <v>30</v>
      </c>
      <c r="D127">
        <v>8</v>
      </c>
      <c r="E127">
        <v>2019</v>
      </c>
      <c r="F127">
        <v>-16.09</v>
      </c>
      <c r="G127">
        <v>116.854</v>
      </c>
      <c r="H127" t="s">
        <v>103</v>
      </c>
      <c r="I127" t="s">
        <v>15</v>
      </c>
      <c r="O127">
        <v>155</v>
      </c>
      <c r="P127">
        <v>155</v>
      </c>
    </row>
    <row r="128" spans="1:16">
      <c r="A128" t="s">
        <v>13</v>
      </c>
      <c r="B128" s="6">
        <f>3+29/60</f>
        <v>3.4833333333333334</v>
      </c>
      <c r="C128">
        <v>12</v>
      </c>
      <c r="D128">
        <v>9</v>
      </c>
      <c r="E128">
        <v>2019</v>
      </c>
      <c r="F128" s="6">
        <v>38.863</v>
      </c>
      <c r="G128" s="6">
        <v>111.589</v>
      </c>
      <c r="H128" t="s">
        <v>74</v>
      </c>
      <c r="I128" t="s">
        <v>15</v>
      </c>
      <c r="J128" t="s">
        <v>24</v>
      </c>
      <c r="L128">
        <v>0</v>
      </c>
      <c r="M128">
        <v>9500</v>
      </c>
      <c r="N128">
        <v>4000</v>
      </c>
      <c r="O128">
        <v>13500</v>
      </c>
      <c r="P128">
        <v>13500</v>
      </c>
    </row>
    <row r="129" spans="1:16">
      <c r="A129" t="s">
        <v>13</v>
      </c>
      <c r="B129" s="6">
        <f>6+45/60</f>
        <v>6.75</v>
      </c>
      <c r="C129">
        <v>19</v>
      </c>
      <c r="D129">
        <v>9</v>
      </c>
      <c r="E129">
        <v>2019</v>
      </c>
      <c r="F129" s="11">
        <v>40.960999999999999</v>
      </c>
      <c r="G129" s="11">
        <v>100.298</v>
      </c>
      <c r="H129" t="s">
        <v>31</v>
      </c>
      <c r="I129" t="s">
        <v>15</v>
      </c>
      <c r="J129" t="s">
        <v>24</v>
      </c>
      <c r="L129">
        <v>0</v>
      </c>
      <c r="M129">
        <v>4770</v>
      </c>
      <c r="N129">
        <v>2500</v>
      </c>
      <c r="O129">
        <v>7270</v>
      </c>
      <c r="P129">
        <v>7270</v>
      </c>
    </row>
    <row r="130" spans="1:16">
      <c r="A130" t="s">
        <v>13</v>
      </c>
      <c r="B130" s="6">
        <f>21+13/60</f>
        <v>21.216666666666665</v>
      </c>
      <c r="C130">
        <v>22</v>
      </c>
      <c r="D130">
        <v>9</v>
      </c>
      <c r="E130">
        <v>2019</v>
      </c>
      <c r="F130" s="6">
        <v>28.245999999999999</v>
      </c>
      <c r="G130" s="6">
        <v>102.027</v>
      </c>
      <c r="H130" t="s">
        <v>104</v>
      </c>
      <c r="I130" t="s">
        <v>15</v>
      </c>
      <c r="J130" t="s">
        <v>21</v>
      </c>
      <c r="K130">
        <v>50</v>
      </c>
      <c r="L130">
        <v>15600</v>
      </c>
      <c r="M130">
        <v>9800</v>
      </c>
      <c r="N130">
        <v>4000</v>
      </c>
      <c r="O130">
        <v>29400</v>
      </c>
      <c r="P130">
        <v>14700</v>
      </c>
    </row>
    <row r="131" spans="1:16">
      <c r="A131" t="s">
        <v>13</v>
      </c>
      <c r="B131" s="6">
        <f>16+8/60</f>
        <v>16.133333333333333</v>
      </c>
      <c r="C131">
        <v>24</v>
      </c>
      <c r="D131">
        <v>9</v>
      </c>
      <c r="E131">
        <v>2019</v>
      </c>
      <c r="F131" s="6">
        <v>30.401</v>
      </c>
      <c r="G131" s="6">
        <v>130.97499999999999</v>
      </c>
      <c r="H131" t="s">
        <v>105</v>
      </c>
      <c r="I131" t="s">
        <v>15</v>
      </c>
      <c r="J131" t="s">
        <v>21</v>
      </c>
      <c r="K131">
        <v>64</v>
      </c>
      <c r="L131">
        <v>44000</v>
      </c>
      <c r="M131">
        <v>24200</v>
      </c>
      <c r="O131">
        <v>68200</v>
      </c>
      <c r="P131">
        <v>68200</v>
      </c>
    </row>
    <row r="132" spans="1:16">
      <c r="A132" t="s">
        <v>13</v>
      </c>
      <c r="B132" s="6">
        <f>57/60</f>
        <v>0.95</v>
      </c>
      <c r="C132">
        <v>25</v>
      </c>
      <c r="D132">
        <v>9</v>
      </c>
      <c r="E132">
        <v>2019</v>
      </c>
      <c r="F132" s="11">
        <v>40.960999999999999</v>
      </c>
      <c r="G132" s="11">
        <v>100.298</v>
      </c>
      <c r="H132" t="s">
        <v>106</v>
      </c>
      <c r="I132" t="s">
        <v>15</v>
      </c>
      <c r="J132" t="s">
        <v>24</v>
      </c>
      <c r="L132">
        <v>0</v>
      </c>
      <c r="M132">
        <v>9500</v>
      </c>
      <c r="O132">
        <v>9500</v>
      </c>
      <c r="P132">
        <v>9500</v>
      </c>
    </row>
    <row r="133" spans="1:16">
      <c r="A133" t="s">
        <v>13</v>
      </c>
      <c r="B133" s="6">
        <f>14+1/60</f>
        <v>14.016666666666667</v>
      </c>
      <c r="C133">
        <v>25</v>
      </c>
      <c r="D133">
        <v>9</v>
      </c>
      <c r="E133">
        <v>2019</v>
      </c>
      <c r="F133" s="6">
        <v>45.92</v>
      </c>
      <c r="G133" s="6">
        <v>63.341999999999999</v>
      </c>
      <c r="H133" t="s">
        <v>51</v>
      </c>
      <c r="I133" t="s">
        <v>15</v>
      </c>
      <c r="J133" t="s">
        <v>21</v>
      </c>
      <c r="K133">
        <v>48</v>
      </c>
      <c r="N133">
        <v>6550</v>
      </c>
      <c r="O133">
        <v>6550</v>
      </c>
      <c r="P133">
        <v>6550</v>
      </c>
    </row>
    <row r="134" spans="1:16">
      <c r="A134" t="s">
        <v>13</v>
      </c>
      <c r="B134" s="6">
        <f>7+49/60</f>
        <v>7.8166666666666664</v>
      </c>
      <c r="C134">
        <v>26</v>
      </c>
      <c r="D134">
        <v>9</v>
      </c>
      <c r="E134">
        <v>2019</v>
      </c>
      <c r="F134" s="6">
        <v>62.929000000000002</v>
      </c>
      <c r="G134" s="6">
        <v>40.457000000000001</v>
      </c>
      <c r="H134" t="s">
        <v>39</v>
      </c>
      <c r="I134" t="s">
        <v>15</v>
      </c>
      <c r="J134" t="s">
        <v>21</v>
      </c>
      <c r="K134">
        <v>48</v>
      </c>
      <c r="N134">
        <v>6550</v>
      </c>
      <c r="O134">
        <v>6550</v>
      </c>
      <c r="P134">
        <v>6550</v>
      </c>
    </row>
    <row r="135" spans="1:16">
      <c r="A135" t="s">
        <v>13</v>
      </c>
      <c r="B135" s="6">
        <f>15+25/60</f>
        <v>15.416666666666666</v>
      </c>
      <c r="C135">
        <v>28</v>
      </c>
      <c r="D135">
        <v>9</v>
      </c>
      <c r="E135">
        <v>2019</v>
      </c>
      <c r="F135">
        <v>43.914999999999999</v>
      </c>
      <c r="G135">
        <v>16.356999999999999</v>
      </c>
      <c r="H135" t="s">
        <v>55</v>
      </c>
      <c r="I135" t="s">
        <v>15</v>
      </c>
      <c r="O135">
        <v>2400</v>
      </c>
      <c r="P135">
        <v>2400</v>
      </c>
    </row>
    <row r="136" spans="1:16">
      <c r="A136" t="s">
        <v>22</v>
      </c>
      <c r="B136" s="6">
        <f>10+59/60</f>
        <v>10.983333333333333</v>
      </c>
      <c r="C136">
        <v>3</v>
      </c>
      <c r="D136">
        <v>10</v>
      </c>
      <c r="E136">
        <v>2019</v>
      </c>
      <c r="F136" s="19">
        <v>47.401200000000003</v>
      </c>
      <c r="G136" s="19">
        <v>69.570499999999996</v>
      </c>
      <c r="H136" t="s">
        <v>84</v>
      </c>
      <c r="I136" t="s">
        <v>17</v>
      </c>
      <c r="O136">
        <v>7080</v>
      </c>
      <c r="P136">
        <v>1239</v>
      </c>
    </row>
    <row r="137" spans="1:16">
      <c r="A137" t="s">
        <v>13</v>
      </c>
      <c r="B137" s="6">
        <f>18+54/60</f>
        <v>18.899999999999999</v>
      </c>
      <c r="C137">
        <v>4</v>
      </c>
      <c r="D137">
        <v>10</v>
      </c>
      <c r="E137">
        <v>2019</v>
      </c>
      <c r="F137" s="6">
        <v>38.863</v>
      </c>
      <c r="G137" s="6">
        <v>111.589</v>
      </c>
      <c r="H137" t="s">
        <v>80</v>
      </c>
      <c r="I137" t="s">
        <v>15</v>
      </c>
      <c r="J137" t="s">
        <v>24</v>
      </c>
      <c r="L137">
        <v>0</v>
      </c>
      <c r="M137">
        <v>9500</v>
      </c>
      <c r="N137">
        <v>4000</v>
      </c>
      <c r="O137">
        <v>13500</v>
      </c>
      <c r="P137">
        <v>13500</v>
      </c>
    </row>
    <row r="138" spans="1:16">
      <c r="A138" t="s">
        <v>13</v>
      </c>
      <c r="B138" s="6">
        <f>21</f>
        <v>21</v>
      </c>
      <c r="C138">
        <v>4</v>
      </c>
      <c r="D138">
        <v>10</v>
      </c>
      <c r="E138">
        <v>2019</v>
      </c>
      <c r="F138">
        <v>-45.481999999999999</v>
      </c>
      <c r="G138">
        <v>-135.601</v>
      </c>
      <c r="H138" t="s">
        <v>107</v>
      </c>
      <c r="I138" t="s">
        <v>15</v>
      </c>
      <c r="O138">
        <v>2740</v>
      </c>
      <c r="P138">
        <v>2740</v>
      </c>
    </row>
    <row r="139" spans="1:16">
      <c r="A139" t="s">
        <v>13</v>
      </c>
      <c r="B139" s="6">
        <f>10+20/60</f>
        <v>10.333333333333334</v>
      </c>
      <c r="C139">
        <v>9</v>
      </c>
      <c r="D139">
        <v>10</v>
      </c>
      <c r="E139">
        <v>2019</v>
      </c>
      <c r="F139" s="6">
        <v>46.04</v>
      </c>
      <c r="G139" s="6">
        <v>63.031999999999996</v>
      </c>
      <c r="H139" t="s">
        <v>108</v>
      </c>
      <c r="I139" t="s">
        <v>15</v>
      </c>
      <c r="J139" t="s">
        <v>24</v>
      </c>
      <c r="L139">
        <v>0</v>
      </c>
      <c r="M139">
        <v>30600</v>
      </c>
      <c r="N139">
        <v>11000</v>
      </c>
      <c r="O139">
        <v>41600</v>
      </c>
      <c r="P139">
        <v>41600</v>
      </c>
    </row>
    <row r="140" spans="1:16">
      <c r="A140" t="s">
        <v>13</v>
      </c>
      <c r="B140" s="6">
        <f>2+3/60</f>
        <v>2.0499999999999998</v>
      </c>
      <c r="C140">
        <v>11</v>
      </c>
      <c r="D140">
        <v>10</v>
      </c>
      <c r="E140">
        <v>2019</v>
      </c>
      <c r="F140" s="11">
        <v>28.405999999999999</v>
      </c>
      <c r="G140" s="11">
        <v>-80.605000000000004</v>
      </c>
      <c r="H140" t="s">
        <v>109</v>
      </c>
      <c r="I140" t="s">
        <v>15</v>
      </c>
      <c r="J140" t="s">
        <v>24</v>
      </c>
      <c r="L140">
        <v>0</v>
      </c>
      <c r="M140">
        <v>1370</v>
      </c>
      <c r="N140">
        <v>420</v>
      </c>
      <c r="O140">
        <v>1790</v>
      </c>
      <c r="P140">
        <v>1790</v>
      </c>
    </row>
    <row r="141" spans="1:16">
      <c r="A141" t="s">
        <v>13</v>
      </c>
      <c r="B141" s="6">
        <f>15+27/60</f>
        <v>15.45</v>
      </c>
      <c r="C141">
        <v>15</v>
      </c>
      <c r="D141">
        <v>10</v>
      </c>
      <c r="E141">
        <v>2019</v>
      </c>
      <c r="F141">
        <v>-8.2639999999999993</v>
      </c>
      <c r="G141">
        <v>-171.10900000000001</v>
      </c>
      <c r="H141" t="s">
        <v>57</v>
      </c>
      <c r="I141" t="s">
        <v>15</v>
      </c>
      <c r="O141">
        <v>1050</v>
      </c>
      <c r="P141">
        <v>1050</v>
      </c>
    </row>
    <row r="142" spans="1:16">
      <c r="A142" t="s">
        <v>13</v>
      </c>
      <c r="B142" s="6">
        <f>11+57/60</f>
        <v>11.95</v>
      </c>
      <c r="C142">
        <v>16</v>
      </c>
      <c r="D142">
        <v>10</v>
      </c>
      <c r="E142">
        <v>2019</v>
      </c>
      <c r="F142">
        <v>-17.506</v>
      </c>
      <c r="G142">
        <v>64.085999999999999</v>
      </c>
      <c r="H142" t="s">
        <v>27</v>
      </c>
      <c r="I142" t="s">
        <v>15</v>
      </c>
      <c r="O142">
        <v>920</v>
      </c>
      <c r="P142">
        <v>920</v>
      </c>
    </row>
    <row r="143" spans="1:16">
      <c r="A143" t="s">
        <v>13</v>
      </c>
      <c r="B143" s="6">
        <f>1+25/60</f>
        <v>1.4166666666666667</v>
      </c>
      <c r="C143">
        <v>17</v>
      </c>
      <c r="D143">
        <v>10</v>
      </c>
      <c r="E143">
        <v>2019</v>
      </c>
      <c r="F143" s="6">
        <v>-39.251199999999997</v>
      </c>
      <c r="G143" s="6">
        <v>177.8673</v>
      </c>
      <c r="H143" t="s">
        <v>60</v>
      </c>
      <c r="I143" t="s">
        <v>15</v>
      </c>
      <c r="J143" t="s">
        <v>24</v>
      </c>
      <c r="L143">
        <v>0</v>
      </c>
      <c r="M143">
        <v>950</v>
      </c>
      <c r="O143">
        <v>950</v>
      </c>
      <c r="P143">
        <v>950</v>
      </c>
    </row>
    <row r="144" spans="1:16">
      <c r="A144" t="s">
        <v>13</v>
      </c>
      <c r="B144" s="6">
        <f>15+24/60</f>
        <v>15.4</v>
      </c>
      <c r="C144">
        <v>17</v>
      </c>
      <c r="D144">
        <v>10</v>
      </c>
      <c r="E144">
        <v>2019</v>
      </c>
      <c r="F144" s="6">
        <v>28.247</v>
      </c>
      <c r="G144" s="6">
        <v>102.029</v>
      </c>
      <c r="H144" t="s">
        <v>20</v>
      </c>
      <c r="I144" t="s">
        <v>15</v>
      </c>
      <c r="J144" t="s">
        <v>21</v>
      </c>
      <c r="K144">
        <v>50</v>
      </c>
      <c r="L144">
        <v>15600</v>
      </c>
      <c r="M144">
        <v>9800</v>
      </c>
      <c r="N144">
        <v>4000</v>
      </c>
      <c r="O144">
        <v>29400</v>
      </c>
      <c r="P144">
        <v>14700</v>
      </c>
    </row>
    <row r="145" spans="1:16">
      <c r="A145" t="s">
        <v>13</v>
      </c>
      <c r="B145" s="6">
        <f>6+45/60</f>
        <v>6.75</v>
      </c>
      <c r="C145">
        <v>22</v>
      </c>
      <c r="D145">
        <v>10</v>
      </c>
      <c r="E145">
        <v>2019</v>
      </c>
      <c r="F145">
        <v>-29.102</v>
      </c>
      <c r="G145">
        <v>-90.25</v>
      </c>
      <c r="H145" t="s">
        <v>30</v>
      </c>
      <c r="I145" t="s">
        <v>15</v>
      </c>
      <c r="O145">
        <v>2740</v>
      </c>
      <c r="P145">
        <v>2740</v>
      </c>
    </row>
    <row r="146" spans="1:16">
      <c r="A146" t="s">
        <v>13</v>
      </c>
      <c r="B146" s="6">
        <f>18/60</f>
        <v>0.3</v>
      </c>
      <c r="C146">
        <v>28</v>
      </c>
      <c r="D146">
        <v>10</v>
      </c>
      <c r="E146">
        <v>2019</v>
      </c>
      <c r="F146">
        <v>-17.170000000000002</v>
      </c>
      <c r="G146">
        <v>-36.811999999999998</v>
      </c>
      <c r="H146" t="s">
        <v>30</v>
      </c>
      <c r="I146" t="s">
        <v>15</v>
      </c>
      <c r="O146">
        <v>2740</v>
      </c>
      <c r="P146">
        <v>2740</v>
      </c>
    </row>
    <row r="147" spans="1:16">
      <c r="A147" t="s">
        <v>13</v>
      </c>
      <c r="B147" s="6">
        <f>14+3/60</f>
        <v>14.05</v>
      </c>
      <c r="C147">
        <v>2</v>
      </c>
      <c r="D147">
        <v>11</v>
      </c>
      <c r="E147">
        <v>2019</v>
      </c>
      <c r="F147" s="6">
        <v>37.832999999999998</v>
      </c>
      <c r="G147" s="6">
        <v>-75.488</v>
      </c>
      <c r="H147" t="s">
        <v>110</v>
      </c>
      <c r="I147" t="s">
        <v>15</v>
      </c>
      <c r="J147" t="s">
        <v>24</v>
      </c>
      <c r="L147">
        <v>0</v>
      </c>
      <c r="M147">
        <v>20600</v>
      </c>
      <c r="O147">
        <v>20600</v>
      </c>
      <c r="P147">
        <v>20600</v>
      </c>
    </row>
    <row r="148" spans="1:16">
      <c r="A148" t="s">
        <v>13</v>
      </c>
      <c r="B148" s="6">
        <f>3+25/60</f>
        <v>3.4166666666666665</v>
      </c>
      <c r="C148">
        <v>3</v>
      </c>
      <c r="D148">
        <v>11</v>
      </c>
      <c r="E148">
        <v>2019</v>
      </c>
      <c r="F148" s="6">
        <v>38.863</v>
      </c>
      <c r="G148" s="6">
        <v>111.589</v>
      </c>
      <c r="H148" t="s">
        <v>74</v>
      </c>
      <c r="I148" t="s">
        <v>15</v>
      </c>
      <c r="J148" t="s">
        <v>24</v>
      </c>
      <c r="L148">
        <v>0</v>
      </c>
      <c r="M148">
        <v>9500</v>
      </c>
      <c r="N148">
        <v>4000</v>
      </c>
      <c r="O148">
        <v>13500</v>
      </c>
      <c r="P148">
        <v>13500</v>
      </c>
    </row>
    <row r="149" spans="1:16">
      <c r="A149" t="s">
        <v>13</v>
      </c>
      <c r="B149" s="6">
        <f>17+46/60</f>
        <v>17.766666666666666</v>
      </c>
      <c r="C149">
        <v>4</v>
      </c>
      <c r="D149">
        <v>11</v>
      </c>
      <c r="E149">
        <v>2019</v>
      </c>
      <c r="F149" s="6">
        <v>28.245999999999999</v>
      </c>
      <c r="G149" s="6">
        <v>102.027</v>
      </c>
      <c r="H149" t="s">
        <v>20</v>
      </c>
      <c r="I149" t="s">
        <v>15</v>
      </c>
      <c r="J149" t="s">
        <v>21</v>
      </c>
      <c r="K149">
        <v>50</v>
      </c>
      <c r="L149">
        <v>15600</v>
      </c>
      <c r="M149">
        <v>9800</v>
      </c>
      <c r="N149">
        <v>4000</v>
      </c>
      <c r="O149">
        <v>29400</v>
      </c>
      <c r="P149">
        <v>14700</v>
      </c>
    </row>
    <row r="150" spans="1:16">
      <c r="A150" t="s">
        <v>22</v>
      </c>
      <c r="B150" s="6">
        <f>14+59/60</f>
        <v>14.983333333333333</v>
      </c>
      <c r="C150">
        <v>11</v>
      </c>
      <c r="D150">
        <v>11</v>
      </c>
      <c r="E150">
        <v>2019</v>
      </c>
      <c r="F150">
        <v>28.41</v>
      </c>
      <c r="G150">
        <v>-80.61</v>
      </c>
      <c r="H150" t="s">
        <v>23</v>
      </c>
      <c r="I150" t="s">
        <v>15</v>
      </c>
      <c r="J150" t="s">
        <v>24</v>
      </c>
      <c r="L150">
        <v>0</v>
      </c>
      <c r="M150">
        <v>27200</v>
      </c>
      <c r="O150">
        <v>27200</v>
      </c>
      <c r="P150">
        <v>4760</v>
      </c>
    </row>
    <row r="151" spans="1:16">
      <c r="A151" t="s">
        <v>13</v>
      </c>
      <c r="B151" s="6">
        <f>3+43/60</f>
        <v>3.7166666666666668</v>
      </c>
      <c r="C151">
        <v>13</v>
      </c>
      <c r="D151">
        <v>11</v>
      </c>
      <c r="E151">
        <v>2019</v>
      </c>
      <c r="F151" s="6">
        <v>40.972000000000001</v>
      </c>
      <c r="G151" s="6">
        <v>100.364</v>
      </c>
      <c r="H151" t="s">
        <v>102</v>
      </c>
      <c r="I151" t="s">
        <v>15</v>
      </c>
      <c r="J151" t="s">
        <v>24</v>
      </c>
      <c r="L151">
        <v>0</v>
      </c>
      <c r="M151">
        <v>3000</v>
      </c>
      <c r="N151">
        <v>1500</v>
      </c>
      <c r="O151">
        <v>4500</v>
      </c>
      <c r="P151">
        <v>4500</v>
      </c>
    </row>
    <row r="152" spans="1:16">
      <c r="A152" t="s">
        <v>13</v>
      </c>
      <c r="B152" s="6">
        <f>6+38/60</f>
        <v>6.6333333333333329</v>
      </c>
      <c r="C152">
        <v>13</v>
      </c>
      <c r="D152">
        <v>11</v>
      </c>
      <c r="E152">
        <v>2019</v>
      </c>
      <c r="F152" s="6">
        <v>38.868000000000002</v>
      </c>
      <c r="G152" s="6">
        <v>111.58</v>
      </c>
      <c r="H152" t="s">
        <v>111</v>
      </c>
      <c r="I152" t="s">
        <v>15</v>
      </c>
      <c r="J152" t="s">
        <v>24</v>
      </c>
      <c r="L152">
        <v>0</v>
      </c>
      <c r="M152">
        <v>7530</v>
      </c>
      <c r="N152">
        <v>1490</v>
      </c>
      <c r="O152">
        <v>9020</v>
      </c>
      <c r="P152">
        <v>9020</v>
      </c>
    </row>
    <row r="153" spans="1:16">
      <c r="A153" t="s">
        <v>13</v>
      </c>
      <c r="B153" s="6">
        <f>10+3/60</f>
        <v>10.050000000000001</v>
      </c>
      <c r="C153">
        <v>17</v>
      </c>
      <c r="D153">
        <v>11</v>
      </c>
      <c r="E153">
        <v>2019</v>
      </c>
      <c r="F153" s="6">
        <v>40.972000000000001</v>
      </c>
      <c r="G153" s="6">
        <v>100.364</v>
      </c>
      <c r="H153" t="s">
        <v>102</v>
      </c>
      <c r="I153" t="s">
        <v>15</v>
      </c>
      <c r="J153" t="s">
        <v>24</v>
      </c>
      <c r="L153">
        <v>0</v>
      </c>
      <c r="M153">
        <v>3000</v>
      </c>
      <c r="N153">
        <v>1500</v>
      </c>
      <c r="O153">
        <v>4500</v>
      </c>
      <c r="P153">
        <v>4500</v>
      </c>
    </row>
    <row r="154" spans="1:16">
      <c r="A154" t="s">
        <v>13</v>
      </c>
      <c r="B154" s="6">
        <f>18+56/60</f>
        <v>18.933333333333334</v>
      </c>
      <c r="C154">
        <v>17</v>
      </c>
      <c r="D154">
        <v>11</v>
      </c>
      <c r="E154">
        <v>2019</v>
      </c>
      <c r="F154">
        <v>44.395000000000003</v>
      </c>
      <c r="G154">
        <v>29.161000000000001</v>
      </c>
      <c r="H154" t="s">
        <v>30</v>
      </c>
      <c r="I154" t="s">
        <v>47</v>
      </c>
      <c r="O154">
        <v>2740</v>
      </c>
      <c r="P154">
        <v>2740</v>
      </c>
    </row>
    <row r="155" spans="1:16">
      <c r="A155" t="s">
        <v>13</v>
      </c>
      <c r="B155" s="6">
        <f>19+4/60</f>
        <v>19.066666666666666</v>
      </c>
      <c r="C155">
        <v>17</v>
      </c>
      <c r="D155">
        <v>11</v>
      </c>
      <c r="E155">
        <v>2019</v>
      </c>
      <c r="F155">
        <v>-54.063000000000002</v>
      </c>
      <c r="G155">
        <v>100.958</v>
      </c>
      <c r="H155" t="s">
        <v>27</v>
      </c>
      <c r="I155" t="s">
        <v>47</v>
      </c>
      <c r="O155">
        <v>920</v>
      </c>
      <c r="P155">
        <v>920</v>
      </c>
    </row>
    <row r="156" spans="1:16">
      <c r="A156" t="s">
        <v>13</v>
      </c>
      <c r="B156" s="6">
        <f>2+14/60</f>
        <v>2.2333333333333334</v>
      </c>
      <c r="C156">
        <v>19</v>
      </c>
      <c r="D156">
        <v>11</v>
      </c>
      <c r="E156">
        <v>2019</v>
      </c>
      <c r="F156">
        <v>-78.415999999999997</v>
      </c>
      <c r="G156">
        <v>89.119</v>
      </c>
      <c r="H156" t="s">
        <v>112</v>
      </c>
      <c r="I156" t="s">
        <v>15</v>
      </c>
      <c r="O156">
        <v>1500</v>
      </c>
      <c r="P156">
        <v>1500</v>
      </c>
    </row>
    <row r="157" spans="1:16">
      <c r="A157" t="s">
        <v>13</v>
      </c>
      <c r="B157" s="6">
        <f>9+2/60</f>
        <v>9.0333333333333332</v>
      </c>
      <c r="C157">
        <v>19</v>
      </c>
      <c r="D157">
        <v>11</v>
      </c>
      <c r="E157">
        <v>2019</v>
      </c>
      <c r="F157">
        <v>14.044</v>
      </c>
      <c r="G157">
        <v>142.40600000000001</v>
      </c>
      <c r="H157" t="s">
        <v>113</v>
      </c>
      <c r="I157" t="s">
        <v>15</v>
      </c>
      <c r="O157">
        <v>2243</v>
      </c>
      <c r="P157">
        <v>2243</v>
      </c>
    </row>
    <row r="158" spans="1:16">
      <c r="A158" t="s">
        <v>13</v>
      </c>
      <c r="B158" s="6">
        <f>20+46/60</f>
        <v>20.766666666666666</v>
      </c>
      <c r="C158">
        <v>22</v>
      </c>
      <c r="D158">
        <v>11</v>
      </c>
      <c r="E158">
        <v>2019</v>
      </c>
      <c r="F158">
        <v>-60.35</v>
      </c>
      <c r="G158">
        <v>-63.527000000000001</v>
      </c>
      <c r="H158" t="s">
        <v>114</v>
      </c>
      <c r="I158" t="s">
        <v>17</v>
      </c>
      <c r="O158">
        <v>1415</v>
      </c>
      <c r="P158">
        <v>1415</v>
      </c>
    </row>
    <row r="159" spans="1:16">
      <c r="A159" t="s">
        <v>13</v>
      </c>
      <c r="B159" s="6">
        <f>58/60</f>
        <v>0.96666666666666667</v>
      </c>
      <c r="C159">
        <v>23</v>
      </c>
      <c r="D159">
        <v>11</v>
      </c>
      <c r="E159">
        <v>2019</v>
      </c>
      <c r="F159" s="6">
        <v>28.247</v>
      </c>
      <c r="G159" s="6">
        <v>102.029</v>
      </c>
      <c r="H159" t="s">
        <v>104</v>
      </c>
      <c r="I159" t="s">
        <v>15</v>
      </c>
      <c r="J159" t="s">
        <v>21</v>
      </c>
      <c r="K159">
        <v>50</v>
      </c>
      <c r="L159">
        <v>15600</v>
      </c>
      <c r="M159">
        <v>9800</v>
      </c>
      <c r="N159">
        <v>4000</v>
      </c>
      <c r="O159">
        <v>29400</v>
      </c>
      <c r="P159">
        <v>14700</v>
      </c>
    </row>
    <row r="160" spans="1:16">
      <c r="A160" t="s">
        <v>13</v>
      </c>
      <c r="B160" s="6">
        <f>17+55/60</f>
        <v>17.916666666666668</v>
      </c>
      <c r="C160">
        <v>25</v>
      </c>
      <c r="D160">
        <v>11</v>
      </c>
      <c r="E160">
        <v>2019</v>
      </c>
      <c r="F160" s="6">
        <v>62.929000000000002</v>
      </c>
      <c r="G160" s="6">
        <v>40.457000000000001</v>
      </c>
      <c r="H160" t="s">
        <v>86</v>
      </c>
      <c r="I160" t="s">
        <v>15</v>
      </c>
      <c r="J160" t="s">
        <v>24</v>
      </c>
      <c r="L160">
        <v>0</v>
      </c>
      <c r="M160">
        <v>4900</v>
      </c>
      <c r="O160">
        <v>4900</v>
      </c>
      <c r="P160">
        <v>4900</v>
      </c>
    </row>
    <row r="161" spans="1:16">
      <c r="A161" t="s">
        <v>13</v>
      </c>
      <c r="B161" s="6">
        <f>21+26/60</f>
        <v>21.433333333333334</v>
      </c>
      <c r="C161">
        <v>26</v>
      </c>
      <c r="D161">
        <v>11</v>
      </c>
      <c r="E161">
        <v>2019</v>
      </c>
      <c r="F161" s="6">
        <v>5.2389999999999999</v>
      </c>
      <c r="G161" s="6">
        <v>-52.768999999999998</v>
      </c>
      <c r="H161" t="s">
        <v>38</v>
      </c>
      <c r="I161" t="s">
        <v>15</v>
      </c>
      <c r="J161" t="s">
        <v>21</v>
      </c>
      <c r="K161">
        <v>60</v>
      </c>
      <c r="L161">
        <v>76000</v>
      </c>
      <c r="M161">
        <v>14000</v>
      </c>
      <c r="O161">
        <v>90000</v>
      </c>
      <c r="P161">
        <v>90000</v>
      </c>
    </row>
    <row r="162" spans="1:16">
      <c r="A162" t="s">
        <v>13</v>
      </c>
      <c r="B162" s="6">
        <f>4+1/60</f>
        <v>4.0166666666666666</v>
      </c>
      <c r="C162">
        <v>27</v>
      </c>
      <c r="D162">
        <v>11</v>
      </c>
      <c r="E162">
        <v>2019</v>
      </c>
      <c r="F162" s="6">
        <v>13.72</v>
      </c>
      <c r="G162" s="6">
        <v>80.23</v>
      </c>
      <c r="H162" t="s">
        <v>115</v>
      </c>
      <c r="I162" t="s">
        <v>15</v>
      </c>
      <c r="J162" t="s">
        <v>21</v>
      </c>
      <c r="K162">
        <v>40</v>
      </c>
      <c r="M162">
        <v>30000</v>
      </c>
      <c r="N162">
        <v>5400</v>
      </c>
      <c r="O162">
        <v>35400</v>
      </c>
      <c r="P162">
        <v>35400</v>
      </c>
    </row>
    <row r="163" spans="1:16">
      <c r="A163" t="s">
        <v>13</v>
      </c>
      <c r="B163" s="6">
        <f>8+11/60</f>
        <v>8.1833333333333336</v>
      </c>
      <c r="C163">
        <v>27</v>
      </c>
      <c r="D163">
        <v>11</v>
      </c>
      <c r="E163">
        <v>2019</v>
      </c>
      <c r="F163">
        <v>-5.0789999999999997</v>
      </c>
      <c r="G163">
        <v>-62.841000000000001</v>
      </c>
      <c r="H163" t="s">
        <v>107</v>
      </c>
      <c r="I163" t="s">
        <v>15</v>
      </c>
      <c r="O163">
        <v>2740</v>
      </c>
      <c r="P163">
        <v>2740</v>
      </c>
    </row>
    <row r="164" spans="1:16">
      <c r="A164" t="s">
        <v>13</v>
      </c>
      <c r="B164" s="6">
        <f>23+55/60</f>
        <v>23.916666666666668</v>
      </c>
      <c r="C164">
        <v>27</v>
      </c>
      <c r="D164">
        <v>11</v>
      </c>
      <c r="E164">
        <v>2019</v>
      </c>
      <c r="F164" s="6">
        <v>38.863</v>
      </c>
      <c r="G164" s="6">
        <v>111.589</v>
      </c>
      <c r="H164" t="s">
        <v>80</v>
      </c>
      <c r="I164" t="s">
        <v>15</v>
      </c>
      <c r="J164" t="s">
        <v>24</v>
      </c>
      <c r="L164">
        <v>0</v>
      </c>
      <c r="M164">
        <v>9500</v>
      </c>
      <c r="N164">
        <v>4000</v>
      </c>
      <c r="O164">
        <v>13500</v>
      </c>
      <c r="P164">
        <v>13500</v>
      </c>
    </row>
    <row r="165" spans="1:16">
      <c r="A165" t="s">
        <v>13</v>
      </c>
      <c r="B165" s="6">
        <f>11+36/60</f>
        <v>11.6</v>
      </c>
      <c r="C165">
        <v>4</v>
      </c>
      <c r="D165">
        <v>12</v>
      </c>
      <c r="E165">
        <v>2019</v>
      </c>
      <c r="F165">
        <v>16.957999999999998</v>
      </c>
      <c r="G165">
        <v>-56.667000000000002</v>
      </c>
      <c r="H165" t="s">
        <v>66</v>
      </c>
      <c r="I165" t="s">
        <v>15</v>
      </c>
      <c r="O165">
        <v>2500</v>
      </c>
      <c r="P165">
        <v>2500</v>
      </c>
    </row>
    <row r="166" spans="1:16">
      <c r="A166" t="s">
        <v>13</v>
      </c>
      <c r="B166" s="6">
        <f>11+54/60</f>
        <v>11.9</v>
      </c>
      <c r="C166">
        <v>4</v>
      </c>
      <c r="D166">
        <v>12</v>
      </c>
      <c r="E166">
        <v>2019</v>
      </c>
      <c r="F166">
        <v>-56.926000000000002</v>
      </c>
      <c r="G166">
        <v>48.984999999999999</v>
      </c>
      <c r="H166" t="s">
        <v>116</v>
      </c>
      <c r="I166" t="s">
        <v>15</v>
      </c>
      <c r="O166">
        <v>2740</v>
      </c>
      <c r="P166">
        <v>2740</v>
      </c>
    </row>
    <row r="167" spans="1:16">
      <c r="A167" t="s">
        <v>22</v>
      </c>
      <c r="B167" s="6">
        <f>17+32/60</f>
        <v>17.533333333333335</v>
      </c>
      <c r="C167">
        <v>5</v>
      </c>
      <c r="D167">
        <v>12</v>
      </c>
      <c r="E167">
        <v>2019</v>
      </c>
      <c r="F167">
        <v>28.41</v>
      </c>
      <c r="G167">
        <v>-80.61</v>
      </c>
      <c r="H167" t="s">
        <v>23</v>
      </c>
      <c r="I167" t="s">
        <v>15</v>
      </c>
      <c r="J167" t="s">
        <v>24</v>
      </c>
      <c r="L167">
        <v>0</v>
      </c>
      <c r="M167">
        <v>27200</v>
      </c>
      <c r="O167">
        <v>27200</v>
      </c>
      <c r="P167">
        <v>4760</v>
      </c>
    </row>
    <row r="168" spans="1:16">
      <c r="A168" t="s">
        <v>13</v>
      </c>
      <c r="B168" s="6">
        <f>8+21/60</f>
        <v>8.35</v>
      </c>
      <c r="C168">
        <v>6</v>
      </c>
      <c r="D168">
        <v>12</v>
      </c>
      <c r="E168">
        <v>2019</v>
      </c>
      <c r="F168" s="6">
        <v>-39.251199999999997</v>
      </c>
      <c r="G168" s="6">
        <v>177.8673</v>
      </c>
      <c r="H168" t="s">
        <v>60</v>
      </c>
      <c r="I168" t="s">
        <v>15</v>
      </c>
      <c r="J168" t="s">
        <v>24</v>
      </c>
      <c r="L168">
        <v>0</v>
      </c>
      <c r="M168">
        <v>950</v>
      </c>
      <c r="O168">
        <v>950</v>
      </c>
      <c r="P168">
        <v>950</v>
      </c>
    </row>
    <row r="169" spans="1:16">
      <c r="A169" t="s">
        <v>13</v>
      </c>
      <c r="B169" s="6">
        <f>9+37/60</f>
        <v>9.6166666666666671</v>
      </c>
      <c r="C169">
        <v>6</v>
      </c>
      <c r="D169">
        <v>12</v>
      </c>
      <c r="E169">
        <v>2019</v>
      </c>
      <c r="F169" s="6">
        <v>45.996000000000002</v>
      </c>
      <c r="G169" s="6">
        <v>63.564</v>
      </c>
      <c r="H169" t="s">
        <v>64</v>
      </c>
      <c r="I169" t="s">
        <v>15</v>
      </c>
      <c r="J169" t="s">
        <v>21</v>
      </c>
      <c r="K169">
        <v>48</v>
      </c>
      <c r="N169">
        <v>6550</v>
      </c>
      <c r="O169">
        <v>6550</v>
      </c>
      <c r="P169">
        <v>6550</v>
      </c>
    </row>
    <row r="170" spans="1:16">
      <c r="A170" t="s">
        <v>13</v>
      </c>
      <c r="B170" s="6">
        <f>2+58/60</f>
        <v>2.9666666666666668</v>
      </c>
      <c r="C170">
        <v>7</v>
      </c>
      <c r="D170">
        <v>12</v>
      </c>
      <c r="E170">
        <v>2019</v>
      </c>
      <c r="F170">
        <v>38.848999999999997</v>
      </c>
      <c r="G170">
        <v>111.608</v>
      </c>
      <c r="H170" t="s">
        <v>102</v>
      </c>
      <c r="I170" t="s">
        <v>15</v>
      </c>
      <c r="J170" t="s">
        <v>24</v>
      </c>
      <c r="L170">
        <v>0</v>
      </c>
      <c r="M170">
        <v>3000</v>
      </c>
      <c r="N170">
        <v>1500</v>
      </c>
      <c r="O170">
        <v>4500</v>
      </c>
      <c r="P170">
        <v>4500</v>
      </c>
    </row>
    <row r="171" spans="1:16">
      <c r="A171" t="s">
        <v>13</v>
      </c>
      <c r="B171" s="6">
        <f>8+55/60</f>
        <v>8.9166666666666661</v>
      </c>
      <c r="C171">
        <v>7</v>
      </c>
      <c r="D171">
        <v>12</v>
      </c>
      <c r="E171">
        <v>2019</v>
      </c>
      <c r="F171" s="6">
        <v>38.868000000000002</v>
      </c>
      <c r="G171" s="6">
        <v>111.58</v>
      </c>
      <c r="H171" t="s">
        <v>102</v>
      </c>
      <c r="I171" t="s">
        <v>15</v>
      </c>
      <c r="J171" t="s">
        <v>24</v>
      </c>
      <c r="L171">
        <v>0</v>
      </c>
      <c r="M171">
        <v>3000</v>
      </c>
      <c r="N171">
        <v>1500</v>
      </c>
      <c r="O171">
        <v>4500</v>
      </c>
      <c r="P171">
        <v>4500</v>
      </c>
    </row>
    <row r="172" spans="1:16">
      <c r="A172" t="s">
        <v>13</v>
      </c>
      <c r="B172" s="6">
        <f>1+27/60</f>
        <v>1.45</v>
      </c>
      <c r="C172">
        <v>11</v>
      </c>
      <c r="D172">
        <v>12</v>
      </c>
      <c r="E172">
        <v>2019</v>
      </c>
      <c r="F172">
        <v>-61.387</v>
      </c>
      <c r="G172">
        <v>-97.49</v>
      </c>
      <c r="H172" t="s">
        <v>57</v>
      </c>
      <c r="I172" t="s">
        <v>15</v>
      </c>
      <c r="O172">
        <v>1050</v>
      </c>
      <c r="P172">
        <v>1050</v>
      </c>
    </row>
    <row r="173" spans="1:16">
      <c r="A173" t="s">
        <v>13</v>
      </c>
      <c r="B173" s="6">
        <f>8+58/60</f>
        <v>8.9666666666666668</v>
      </c>
      <c r="C173">
        <v>11</v>
      </c>
      <c r="D173">
        <v>12</v>
      </c>
      <c r="E173">
        <v>2019</v>
      </c>
      <c r="F173" s="6">
        <v>62.927</v>
      </c>
      <c r="G173" s="6">
        <v>40.450000000000003</v>
      </c>
      <c r="H173" t="s">
        <v>39</v>
      </c>
      <c r="I173" t="s">
        <v>15</v>
      </c>
      <c r="J173" t="s">
        <v>21</v>
      </c>
      <c r="K173">
        <v>48</v>
      </c>
      <c r="N173">
        <v>6550</v>
      </c>
      <c r="O173">
        <v>6550</v>
      </c>
      <c r="P173">
        <v>6550</v>
      </c>
    </row>
    <row r="174" spans="1:16">
      <c r="A174" t="s">
        <v>13</v>
      </c>
      <c r="B174" s="6">
        <f>9+58/60</f>
        <v>9.9666666666666668</v>
      </c>
      <c r="C174">
        <v>11</v>
      </c>
      <c r="D174">
        <v>12</v>
      </c>
      <c r="E174">
        <v>2019</v>
      </c>
      <c r="F174" s="6">
        <v>13.72</v>
      </c>
      <c r="G174" s="6">
        <v>80.23</v>
      </c>
      <c r="H174" t="s">
        <v>62</v>
      </c>
      <c r="I174" t="s">
        <v>15</v>
      </c>
      <c r="J174" t="s">
        <v>21</v>
      </c>
      <c r="K174">
        <v>40</v>
      </c>
      <c r="M174">
        <v>30000</v>
      </c>
      <c r="N174">
        <v>5400</v>
      </c>
      <c r="O174">
        <v>35400</v>
      </c>
      <c r="P174">
        <v>35400</v>
      </c>
    </row>
    <row r="175" spans="1:16">
      <c r="A175" t="s">
        <v>13</v>
      </c>
      <c r="B175" s="6">
        <f>7+25/60</f>
        <v>7.416666666666667</v>
      </c>
      <c r="C175">
        <v>16</v>
      </c>
      <c r="D175">
        <v>12</v>
      </c>
      <c r="E175">
        <v>2019</v>
      </c>
      <c r="F175" s="6">
        <v>28.247</v>
      </c>
      <c r="G175" s="6">
        <v>102.029</v>
      </c>
      <c r="H175" t="s">
        <v>104</v>
      </c>
      <c r="I175" t="s">
        <v>15</v>
      </c>
      <c r="J175" t="s">
        <v>21</v>
      </c>
      <c r="K175">
        <v>50</v>
      </c>
      <c r="L175">
        <v>15600</v>
      </c>
      <c r="M175">
        <v>9800</v>
      </c>
      <c r="N175">
        <v>4000</v>
      </c>
      <c r="O175">
        <v>29400</v>
      </c>
      <c r="P175">
        <v>14700</v>
      </c>
    </row>
    <row r="176" spans="1:16">
      <c r="A176" t="s">
        <v>22</v>
      </c>
      <c r="B176" s="6">
        <f>13/60</f>
        <v>0.21666666666666667</v>
      </c>
      <c r="C176">
        <v>17</v>
      </c>
      <c r="D176">
        <v>12</v>
      </c>
      <c r="E176">
        <v>2019</v>
      </c>
      <c r="F176">
        <v>28.41</v>
      </c>
      <c r="G176">
        <v>-80.61</v>
      </c>
      <c r="H176" t="s">
        <v>23</v>
      </c>
      <c r="I176" t="s">
        <v>15</v>
      </c>
      <c r="J176" t="s">
        <v>24</v>
      </c>
      <c r="L176">
        <v>0</v>
      </c>
      <c r="M176">
        <v>27200</v>
      </c>
      <c r="O176">
        <v>27200</v>
      </c>
      <c r="P176">
        <v>4760</v>
      </c>
    </row>
    <row r="177" spans="1:16">
      <c r="A177" t="s">
        <v>13</v>
      </c>
      <c r="B177" s="6">
        <f>2+46/60</f>
        <v>2.7666666666666666</v>
      </c>
      <c r="C177">
        <v>18</v>
      </c>
      <c r="D177">
        <v>12</v>
      </c>
      <c r="E177">
        <v>2019</v>
      </c>
      <c r="F177">
        <v>-53.893999999999998</v>
      </c>
      <c r="G177">
        <v>98.02</v>
      </c>
      <c r="H177" t="s">
        <v>34</v>
      </c>
      <c r="I177" t="s">
        <v>15</v>
      </c>
      <c r="O177">
        <v>250</v>
      </c>
      <c r="P177">
        <v>250</v>
      </c>
    </row>
    <row r="178" spans="1:16">
      <c r="A178" t="s">
        <v>13</v>
      </c>
      <c r="B178" s="6">
        <f>8+57/60</f>
        <v>8.9499999999999993</v>
      </c>
      <c r="C178">
        <v>18</v>
      </c>
      <c r="D178">
        <v>12</v>
      </c>
      <c r="E178">
        <v>2019</v>
      </c>
      <c r="F178" s="6">
        <v>5.3010000000000002</v>
      </c>
      <c r="G178" s="6">
        <v>-52.837000000000003</v>
      </c>
      <c r="H178" t="s">
        <v>117</v>
      </c>
      <c r="I178" t="s">
        <v>15</v>
      </c>
      <c r="J178" t="s">
        <v>21</v>
      </c>
      <c r="K178">
        <v>48</v>
      </c>
      <c r="N178">
        <v>6550</v>
      </c>
      <c r="O178">
        <v>6550</v>
      </c>
      <c r="P178">
        <v>6550</v>
      </c>
    </row>
    <row r="179" spans="1:16">
      <c r="A179" t="s">
        <v>13</v>
      </c>
      <c r="B179" s="6">
        <f>3+25/60</f>
        <v>3.4166666666666665</v>
      </c>
      <c r="C179">
        <v>20</v>
      </c>
      <c r="D179">
        <v>12</v>
      </c>
      <c r="E179">
        <v>2019</v>
      </c>
      <c r="F179" s="6">
        <v>38.863</v>
      </c>
      <c r="G179" s="6">
        <v>111.589</v>
      </c>
      <c r="H179" t="s">
        <v>74</v>
      </c>
      <c r="I179" t="s">
        <v>15</v>
      </c>
      <c r="J179" t="s">
        <v>24</v>
      </c>
      <c r="L179">
        <v>0</v>
      </c>
      <c r="M179">
        <v>9500</v>
      </c>
      <c r="N179">
        <v>4000</v>
      </c>
      <c r="O179">
        <v>13500</v>
      </c>
      <c r="P179">
        <v>13500</v>
      </c>
    </row>
    <row r="180" spans="1:16">
      <c r="A180" t="s">
        <v>13</v>
      </c>
      <c r="B180" s="6">
        <f>11+40/60</f>
        <v>11.666666666666666</v>
      </c>
      <c r="C180">
        <v>20</v>
      </c>
      <c r="D180">
        <v>12</v>
      </c>
      <c r="E180">
        <v>2019</v>
      </c>
      <c r="F180" s="6">
        <v>28.582999999999998</v>
      </c>
      <c r="G180" s="6">
        <v>-80.582999999999998</v>
      </c>
      <c r="H180" t="s">
        <v>118</v>
      </c>
      <c r="I180" t="s">
        <v>15</v>
      </c>
      <c r="J180" t="s">
        <v>21</v>
      </c>
      <c r="K180">
        <v>48</v>
      </c>
      <c r="M180">
        <v>20740</v>
      </c>
      <c r="O180">
        <v>20740</v>
      </c>
      <c r="P180">
        <v>20740</v>
      </c>
    </row>
    <row r="181" spans="1:16">
      <c r="A181" t="s">
        <v>22</v>
      </c>
      <c r="B181" s="6">
        <f>14+19/60</f>
        <v>14.316666666666666</v>
      </c>
      <c r="C181">
        <v>22</v>
      </c>
      <c r="D181">
        <v>12</v>
      </c>
      <c r="E181">
        <v>2019</v>
      </c>
      <c r="F181" s="6">
        <v>32.943199999999997</v>
      </c>
      <c r="G181" s="6">
        <v>-106.4195</v>
      </c>
      <c r="H181" t="s">
        <v>119</v>
      </c>
      <c r="I181" t="s">
        <v>17</v>
      </c>
      <c r="O181">
        <v>13000</v>
      </c>
      <c r="P181">
        <v>2275</v>
      </c>
    </row>
    <row r="182" spans="1:16">
      <c r="A182" t="s">
        <v>13</v>
      </c>
      <c r="B182" s="6">
        <f>12+6/60</f>
        <v>12.1</v>
      </c>
      <c r="C182">
        <v>24</v>
      </c>
      <c r="D182">
        <v>12</v>
      </c>
      <c r="E182">
        <v>2019</v>
      </c>
      <c r="F182" s="6">
        <v>46.070999999999998</v>
      </c>
      <c r="G182" s="6">
        <v>62.984999999999999</v>
      </c>
      <c r="H182" t="s">
        <v>87</v>
      </c>
      <c r="I182" t="s">
        <v>15</v>
      </c>
      <c r="J182" t="s">
        <v>24</v>
      </c>
      <c r="L182">
        <v>0</v>
      </c>
      <c r="M182">
        <v>30600</v>
      </c>
      <c r="N182">
        <v>11000</v>
      </c>
      <c r="O182">
        <v>41600</v>
      </c>
      <c r="P182">
        <v>41600</v>
      </c>
    </row>
    <row r="183" spans="1:16">
      <c r="A183" t="s">
        <v>13</v>
      </c>
      <c r="B183" s="6">
        <f>23+15/60</f>
        <v>23.25</v>
      </c>
      <c r="C183">
        <v>26</v>
      </c>
      <c r="D183">
        <v>12</v>
      </c>
      <c r="E183">
        <v>2019</v>
      </c>
      <c r="F183" s="6">
        <v>62.887</v>
      </c>
      <c r="G183" s="6">
        <v>40.847000000000001</v>
      </c>
      <c r="H183" t="s">
        <v>101</v>
      </c>
      <c r="I183" t="s">
        <v>15</v>
      </c>
      <c r="J183" t="s">
        <v>24</v>
      </c>
      <c r="L183">
        <v>0</v>
      </c>
      <c r="M183">
        <v>5700</v>
      </c>
      <c r="N183">
        <v>1485</v>
      </c>
      <c r="O183">
        <v>7185</v>
      </c>
      <c r="P183">
        <v>7185</v>
      </c>
    </row>
    <row r="184" spans="1:16">
      <c r="A184" t="s">
        <v>13</v>
      </c>
      <c r="B184" s="6">
        <f>12+48/60</f>
        <v>12.8</v>
      </c>
      <c r="C184">
        <v>27</v>
      </c>
      <c r="D184">
        <v>12</v>
      </c>
      <c r="E184">
        <v>2019</v>
      </c>
      <c r="F184" s="6">
        <v>19.614000000000001</v>
      </c>
      <c r="G184" s="6">
        <v>110.95099999999999</v>
      </c>
      <c r="H184" t="s">
        <v>120</v>
      </c>
      <c r="I184" t="s">
        <v>15</v>
      </c>
      <c r="J184" t="s">
        <v>21</v>
      </c>
      <c r="K184">
        <v>72</v>
      </c>
      <c r="L184">
        <v>50000</v>
      </c>
      <c r="M184">
        <v>17000</v>
      </c>
      <c r="O184">
        <v>67000</v>
      </c>
      <c r="P184">
        <v>67000</v>
      </c>
    </row>
    <row r="185" spans="1:16">
      <c r="A185" t="s">
        <v>13</v>
      </c>
      <c r="B185" s="6">
        <f>17+2/60</f>
        <v>17.033333333333335</v>
      </c>
      <c r="C185">
        <v>27</v>
      </c>
      <c r="D185">
        <v>12</v>
      </c>
      <c r="E185">
        <v>2019</v>
      </c>
      <c r="F185">
        <v>14.175000000000001</v>
      </c>
      <c r="G185">
        <v>-60.801000000000002</v>
      </c>
      <c r="H185" t="s">
        <v>121</v>
      </c>
      <c r="I185" t="s">
        <v>17</v>
      </c>
      <c r="O185">
        <v>689</v>
      </c>
      <c r="P185">
        <v>689</v>
      </c>
    </row>
    <row r="186" spans="1:16">
      <c r="A186" t="s">
        <v>13</v>
      </c>
      <c r="B186" s="6">
        <f>17+13/60</f>
        <v>17.216666666666665</v>
      </c>
      <c r="C186">
        <v>31</v>
      </c>
      <c r="D186">
        <v>12</v>
      </c>
      <c r="E186">
        <v>2019</v>
      </c>
      <c r="F186">
        <v>24.96</v>
      </c>
      <c r="G186">
        <v>50.841999999999999</v>
      </c>
      <c r="H186" t="s">
        <v>122</v>
      </c>
      <c r="I186" t="s">
        <v>17</v>
      </c>
      <c r="O186">
        <v>4348</v>
      </c>
      <c r="P186">
        <v>4348</v>
      </c>
    </row>
    <row r="187" spans="1:16">
      <c r="P187" s="3">
        <f>SUM(P1:P186)</f>
        <v>1919360.875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6F64-42F2-4421-B9F7-CB81ED4D47BF}">
  <dimension ref="A1:G25"/>
  <sheetViews>
    <sheetView workbookViewId="0">
      <selection activeCell="G13" sqref="G13"/>
    </sheetView>
  </sheetViews>
  <sheetFormatPr defaultRowHeight="14.4"/>
  <cols>
    <col min="2" max="2" width="16.6640625" customWidth="1"/>
    <col min="3" max="3" width="15.44140625" customWidth="1"/>
  </cols>
  <sheetData>
    <row r="1" spans="1:7">
      <c r="A1" s="1" t="s">
        <v>2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 ht="15" thickBot="1">
      <c r="A3" s="20" t="s">
        <v>7</v>
      </c>
      <c r="B3" s="20" t="s">
        <v>0</v>
      </c>
      <c r="C3" s="20" t="s">
        <v>1</v>
      </c>
      <c r="D3" s="18"/>
      <c r="E3" s="18"/>
      <c r="F3" s="18"/>
      <c r="G3" s="18"/>
    </row>
    <row r="4" spans="1:7" ht="15" thickTop="1">
      <c r="A4">
        <v>1998</v>
      </c>
      <c r="B4">
        <v>87</v>
      </c>
      <c r="C4">
        <v>2</v>
      </c>
    </row>
    <row r="5" spans="1:7">
      <c r="A5">
        <f t="shared" ref="A5:A25" si="0">A4+1</f>
        <v>1999</v>
      </c>
      <c r="B5">
        <v>70</v>
      </c>
      <c r="C5">
        <v>8</v>
      </c>
    </row>
    <row r="6" spans="1:7">
      <c r="A6">
        <f t="shared" si="0"/>
        <v>2000</v>
      </c>
      <c r="B6">
        <v>81</v>
      </c>
      <c r="C6">
        <v>4</v>
      </c>
    </row>
    <row r="7" spans="1:7">
      <c r="A7">
        <f t="shared" si="0"/>
        <v>2001</v>
      </c>
      <c r="B7">
        <v>56</v>
      </c>
      <c r="C7">
        <v>3</v>
      </c>
    </row>
    <row r="8" spans="1:7">
      <c r="A8">
        <f t="shared" si="0"/>
        <v>2002</v>
      </c>
      <c r="B8">
        <v>61</v>
      </c>
      <c r="C8">
        <v>4</v>
      </c>
    </row>
    <row r="9" spans="1:7">
      <c r="A9">
        <f t="shared" si="0"/>
        <v>2003</v>
      </c>
      <c r="B9">
        <v>60</v>
      </c>
      <c r="C9">
        <v>3</v>
      </c>
    </row>
    <row r="10" spans="1:7">
      <c r="A10">
        <f t="shared" si="0"/>
        <v>2004</v>
      </c>
      <c r="B10">
        <v>54</v>
      </c>
      <c r="C10">
        <v>4</v>
      </c>
    </row>
    <row r="11" spans="1:7">
      <c r="A11">
        <f t="shared" si="0"/>
        <v>2005</v>
      </c>
      <c r="B11">
        <v>55</v>
      </c>
      <c r="C11">
        <v>3</v>
      </c>
    </row>
    <row r="12" spans="1:7">
      <c r="A12">
        <f t="shared" si="0"/>
        <v>2006</v>
      </c>
      <c r="B12">
        <v>67</v>
      </c>
      <c r="C12">
        <v>5</v>
      </c>
    </row>
    <row r="13" spans="1:7">
      <c r="A13">
        <f t="shared" si="0"/>
        <v>2007</v>
      </c>
      <c r="B13">
        <v>68</v>
      </c>
      <c r="C13">
        <v>5</v>
      </c>
    </row>
    <row r="14" spans="1:7">
      <c r="A14">
        <f t="shared" si="0"/>
        <v>2008</v>
      </c>
      <c r="B14">
        <v>69</v>
      </c>
      <c r="C14">
        <v>3</v>
      </c>
    </row>
    <row r="15" spans="1:7">
      <c r="A15">
        <f t="shared" si="0"/>
        <v>2009</v>
      </c>
      <c r="B15">
        <v>78</v>
      </c>
      <c r="C15">
        <v>5</v>
      </c>
    </row>
    <row r="16" spans="1:7">
      <c r="A16">
        <f t="shared" si="0"/>
        <v>2010</v>
      </c>
      <c r="B16">
        <v>74</v>
      </c>
      <c r="C16">
        <v>4</v>
      </c>
    </row>
    <row r="17" spans="1:3">
      <c r="A17">
        <f t="shared" si="0"/>
        <v>2011</v>
      </c>
      <c r="B17">
        <v>84</v>
      </c>
      <c r="C17">
        <v>6</v>
      </c>
    </row>
    <row r="18" spans="1:3">
      <c r="A18">
        <f t="shared" si="0"/>
        <v>2012</v>
      </c>
      <c r="B18">
        <v>78</v>
      </c>
      <c r="C18">
        <v>6</v>
      </c>
    </row>
    <row r="19" spans="1:3">
      <c r="A19">
        <f t="shared" si="0"/>
        <v>2013</v>
      </c>
      <c r="B19">
        <v>81</v>
      </c>
      <c r="C19">
        <v>3</v>
      </c>
    </row>
    <row r="20" spans="1:3">
      <c r="A20">
        <f t="shared" si="0"/>
        <v>2014</v>
      </c>
      <c r="B20">
        <v>92</v>
      </c>
      <c r="C20">
        <v>4</v>
      </c>
    </row>
    <row r="21" spans="1:3">
      <c r="A21">
        <f t="shared" si="0"/>
        <v>2015</v>
      </c>
      <c r="B21">
        <v>86</v>
      </c>
      <c r="C21">
        <v>5</v>
      </c>
    </row>
    <row r="22" spans="1:3">
      <c r="A22">
        <f t="shared" si="0"/>
        <v>2016</v>
      </c>
      <c r="B22">
        <v>85</v>
      </c>
      <c r="C22">
        <v>3</v>
      </c>
    </row>
    <row r="23" spans="1:3">
      <c r="A23">
        <f t="shared" si="0"/>
        <v>2017</v>
      </c>
      <c r="B23">
        <v>90</v>
      </c>
      <c r="C23">
        <v>6</v>
      </c>
    </row>
    <row r="24" spans="1:3">
      <c r="A24">
        <f t="shared" si="0"/>
        <v>2018</v>
      </c>
      <c r="B24">
        <v>114</v>
      </c>
      <c r="C24">
        <v>3</v>
      </c>
    </row>
    <row r="25" spans="1:3">
      <c r="A25">
        <f t="shared" si="0"/>
        <v>2019</v>
      </c>
      <c r="B25">
        <v>102</v>
      </c>
      <c r="C2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61B6-CA0C-439D-B49F-C8791A74A01A}">
  <dimension ref="A1:C33"/>
  <sheetViews>
    <sheetView workbookViewId="0">
      <selection activeCell="B21" sqref="B21"/>
    </sheetView>
  </sheetViews>
  <sheetFormatPr defaultRowHeight="14.4"/>
  <cols>
    <col min="2" max="2" width="189.109375" customWidth="1"/>
  </cols>
  <sheetData>
    <row r="1" spans="1:3" ht="29.4" customHeight="1">
      <c r="A1" s="22"/>
      <c r="B1" s="23" t="s">
        <v>216</v>
      </c>
      <c r="C1" s="22"/>
    </row>
    <row r="2" spans="1:3">
      <c r="A2" s="22"/>
      <c r="B2" s="21" t="s">
        <v>186</v>
      </c>
      <c r="C2" s="22"/>
    </row>
    <row r="3" spans="1:3">
      <c r="A3" s="22"/>
      <c r="B3" s="21" t="s">
        <v>187</v>
      </c>
      <c r="C3" s="22"/>
    </row>
    <row r="4" spans="1:3">
      <c r="A4" s="22"/>
      <c r="B4" s="21" t="s">
        <v>188</v>
      </c>
      <c r="C4" s="22"/>
    </row>
    <row r="5" spans="1:3">
      <c r="A5" s="22"/>
      <c r="B5" s="21" t="s">
        <v>189</v>
      </c>
      <c r="C5" s="22"/>
    </row>
    <row r="6" spans="1:3">
      <c r="A6" s="22"/>
      <c r="B6" s="21" t="s">
        <v>190</v>
      </c>
      <c r="C6" s="22"/>
    </row>
    <row r="7" spans="1:3">
      <c r="A7" s="22"/>
      <c r="B7" s="21" t="s">
        <v>191</v>
      </c>
      <c r="C7" s="22"/>
    </row>
    <row r="8" spans="1:3">
      <c r="A8" s="22"/>
      <c r="B8" s="21" t="s">
        <v>192</v>
      </c>
      <c r="C8" s="22"/>
    </row>
    <row r="9" spans="1:3">
      <c r="A9" s="22"/>
      <c r="B9" s="21" t="s">
        <v>193</v>
      </c>
      <c r="C9" s="22"/>
    </row>
    <row r="10" spans="1:3">
      <c r="A10" s="22"/>
      <c r="B10" s="21" t="s">
        <v>194</v>
      </c>
      <c r="C10" s="22"/>
    </row>
    <row r="11" spans="1:3">
      <c r="A11" s="22"/>
      <c r="B11" s="21" t="s">
        <v>195</v>
      </c>
      <c r="C11" s="22"/>
    </row>
    <row r="12" spans="1:3">
      <c r="A12" s="22"/>
      <c r="B12" s="21" t="s">
        <v>196</v>
      </c>
      <c r="C12" s="22"/>
    </row>
    <row r="13" spans="1:3">
      <c r="A13" s="22"/>
      <c r="B13" s="21" t="s">
        <v>197</v>
      </c>
      <c r="C13" s="22"/>
    </row>
    <row r="14" spans="1:3">
      <c r="A14" s="22"/>
      <c r="B14" s="21" t="s">
        <v>198</v>
      </c>
      <c r="C14" s="22"/>
    </row>
    <row r="15" spans="1:3">
      <c r="A15" s="22"/>
      <c r="B15" s="21" t="s">
        <v>199</v>
      </c>
      <c r="C15" s="22"/>
    </row>
    <row r="16" spans="1:3">
      <c r="A16" s="22"/>
      <c r="B16" s="21" t="s">
        <v>200</v>
      </c>
      <c r="C16" s="22"/>
    </row>
    <row r="17" spans="1:3">
      <c r="A17" s="22"/>
      <c r="B17" s="21" t="s">
        <v>201</v>
      </c>
      <c r="C17" s="22"/>
    </row>
    <row r="18" spans="1:3">
      <c r="A18" s="22"/>
      <c r="B18" s="21" t="s">
        <v>202</v>
      </c>
      <c r="C18" s="22"/>
    </row>
    <row r="19" spans="1:3">
      <c r="A19" s="22"/>
      <c r="B19" s="21" t="s">
        <v>203</v>
      </c>
      <c r="C19" s="22"/>
    </row>
    <row r="20" spans="1:3">
      <c r="A20" s="22"/>
      <c r="B20" s="21" t="s">
        <v>204</v>
      </c>
      <c r="C20" s="22"/>
    </row>
    <row r="21" spans="1:3">
      <c r="A21" s="22"/>
      <c r="B21" s="21" t="s">
        <v>205</v>
      </c>
      <c r="C21" s="22"/>
    </row>
    <row r="22" spans="1:3">
      <c r="A22" s="22"/>
      <c r="B22" s="21" t="s">
        <v>206</v>
      </c>
      <c r="C22" s="22"/>
    </row>
    <row r="23" spans="1:3">
      <c r="A23" s="22"/>
      <c r="B23" s="21" t="s">
        <v>207</v>
      </c>
      <c r="C23" s="22"/>
    </row>
    <row r="24" spans="1:3">
      <c r="A24" s="22"/>
      <c r="B24" s="21" t="s">
        <v>208</v>
      </c>
      <c r="C24" s="22"/>
    </row>
    <row r="25" spans="1:3">
      <c r="A25" s="22"/>
      <c r="B25" s="21" t="s">
        <v>209</v>
      </c>
      <c r="C25" s="22"/>
    </row>
    <row r="26" spans="1:3">
      <c r="A26" s="22"/>
      <c r="B26" s="21" t="s">
        <v>210</v>
      </c>
      <c r="C26" s="22"/>
    </row>
    <row r="27" spans="1:3">
      <c r="A27" s="22"/>
      <c r="B27" s="21" t="s">
        <v>211</v>
      </c>
      <c r="C27" s="22"/>
    </row>
    <row r="28" spans="1:3">
      <c r="A28" s="22"/>
      <c r="B28" s="21" t="s">
        <v>212</v>
      </c>
      <c r="C28" s="22"/>
    </row>
    <row r="29" spans="1:3">
      <c r="A29" s="22"/>
      <c r="B29" s="21" t="s">
        <v>213</v>
      </c>
      <c r="C29" s="22"/>
    </row>
    <row r="30" spans="1:3">
      <c r="A30" s="22"/>
      <c r="B30" s="21" t="s">
        <v>214</v>
      </c>
      <c r="C30" s="22"/>
    </row>
    <row r="31" spans="1:3" ht="26.4">
      <c r="A31" s="22"/>
      <c r="B31" s="21" t="s">
        <v>215</v>
      </c>
      <c r="C31" s="22"/>
    </row>
    <row r="32" spans="1:3">
      <c r="A32" s="22"/>
      <c r="B32" s="22"/>
      <c r="C32" s="22"/>
    </row>
    <row r="33" spans="1:3">
      <c r="A33" s="22"/>
      <c r="B33" s="22"/>
      <c r="C33" s="2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 launches</vt:lpstr>
      <vt:lpstr>2019 re-entries</vt:lpstr>
      <vt:lpstr>Historical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Ryan</dc:creator>
  <cp:lastModifiedBy>Charlotte Thompson</cp:lastModifiedBy>
  <dcterms:created xsi:type="dcterms:W3CDTF">2021-10-12T12:55:52Z</dcterms:created>
  <dcterms:modified xsi:type="dcterms:W3CDTF">2023-05-04T10:59:43Z</dcterms:modified>
</cp:coreProperties>
</file>