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drawings/drawing3.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drawings/drawing4.xml" ContentType="application/vnd.openxmlformats-officedocument.drawing+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14805" windowHeight="8010" firstSheet="28" activeTab="40"/>
  </bookViews>
  <sheets>
    <sheet name="Budget" sheetId="1" r:id="rId1"/>
    <sheet name="NCAA T- Shirt Vendor" sheetId="2" r:id="rId2"/>
    <sheet name="Woodworks BookShelf Co." sheetId="3" r:id="rId3"/>
    <sheet name="Copiers" sheetId="4" r:id="rId4"/>
    <sheet name="Concert" sheetId="5" r:id="rId5"/>
    <sheet name="19th hole" sheetId="6" r:id="rId6"/>
    <sheet name="Quiz1" sheetId="7" r:id="rId7"/>
    <sheet name="NPV" sheetId="8" r:id="rId8"/>
    <sheet name="Quiz" sheetId="9" r:id="rId9"/>
    <sheet name="Sales" sheetId="10" r:id="rId10"/>
    <sheet name="Toy Shop" sheetId="11" r:id="rId11"/>
    <sheet name="Projects" sheetId="12" r:id="rId12"/>
    <sheet name="LP" sheetId="13" r:id="rId13"/>
    <sheet name="Task1" sheetId="14" r:id="rId14"/>
    <sheet name="PC" sheetId="15" r:id="rId15"/>
    <sheet name="Task2" sheetId="16" r:id="rId16"/>
    <sheet name="Investing" sheetId="17" r:id="rId17"/>
    <sheet name="Cattle" sheetId="18" r:id="rId18"/>
    <sheet name="Transport" sheetId="19" r:id="rId19"/>
    <sheet name="Task3" sheetId="20" r:id="rId20"/>
    <sheet name="Task4" sheetId="21" r:id="rId21"/>
    <sheet name="TP1" sheetId="22" r:id="rId22"/>
    <sheet name="Tp2" sheetId="23" r:id="rId23"/>
    <sheet name="Task5" sheetId="24" r:id="rId24"/>
    <sheet name="New Hire" sheetId="25" r:id="rId25"/>
    <sheet name="MLB" sheetId="26" r:id="rId26"/>
    <sheet name="Teachers" sheetId="27" r:id="rId27"/>
    <sheet name="Task6 Q1" sheetId="28" r:id="rId28"/>
    <sheet name="Task6 q2" sheetId="29" r:id="rId29"/>
    <sheet name="Ads" sheetId="30" r:id="rId30"/>
    <sheet name="Coffee" sheetId="31" r:id="rId31"/>
    <sheet name="Posters" sheetId="32" r:id="rId32"/>
    <sheet name="Oil" sheetId="33" r:id="rId33"/>
    <sheet name="Task7" sheetId="34" r:id="rId34"/>
    <sheet name="Funds" sheetId="35" r:id="rId35"/>
    <sheet name="cell" sheetId="36" r:id="rId36"/>
    <sheet name="Hotdog" sheetId="37" r:id="rId37"/>
    <sheet name="Mbook" sheetId="38" r:id="rId38"/>
    <sheet name="Burger" sheetId="39" r:id="rId39"/>
    <sheet name="pro" sheetId="40" r:id="rId40"/>
    <sheet name="Sheet12" sheetId="41" r:id="rId41"/>
  </sheets>
  <externalReferences>
    <externalReference r:id="rId42"/>
  </externalReferences>
  <definedNames>
    <definedName name="solver_adj" localSheetId="29" hidden="1">Ads!$B$7:$C$7</definedName>
    <definedName name="solver_adj" localSheetId="38" hidden="1">Burger!$B$5</definedName>
    <definedName name="solver_adj" localSheetId="17" hidden="1">Cattle!$B$12:$D$12</definedName>
    <definedName name="solver_adj" localSheetId="35" hidden="1">cell!$B$6:$C$6</definedName>
    <definedName name="solver_adj" localSheetId="30" hidden="1">Coffee!$B$10:$C$10</definedName>
    <definedName name="solver_adj" localSheetId="34" hidden="1">Funds!$B$7:$C$7</definedName>
    <definedName name="solver_adj" localSheetId="36" hidden="1">Hotdog!$B$5</definedName>
    <definedName name="solver_adj" localSheetId="16" hidden="1">Investing!$B$12:$F$12</definedName>
    <definedName name="solver_adj" localSheetId="12" hidden="1">LP!$B$6:$C$6</definedName>
    <definedName name="solver_adj" localSheetId="37" hidden="1">Mbook!$B$5:$C$5</definedName>
    <definedName name="solver_adj" localSheetId="25" hidden="1">MLB!$K$7:$N$10</definedName>
    <definedName name="solver_adj" localSheetId="24" hidden="1">'New Hire'!$B$17:$E$19</definedName>
    <definedName name="solver_adj" localSheetId="32" hidden="1">Oil!$F$5:$L$5</definedName>
    <definedName name="solver_adj" localSheetId="14" hidden="1">PC!$B$5:$C$5</definedName>
    <definedName name="solver_adj" localSheetId="31" hidden="1">Posters!$B$6:$C$6</definedName>
    <definedName name="solver_adj" localSheetId="39" hidden="1">pro!$B$20:$M$20</definedName>
    <definedName name="solver_adj" localSheetId="40" hidden="1">Sheet12!$I$22:$P$33</definedName>
    <definedName name="solver_adj" localSheetId="13" hidden="1">Task1!$B$2:$C$2</definedName>
    <definedName name="solver_adj" localSheetId="15" hidden="1">Task2!$B$4:$C$4</definedName>
    <definedName name="solver_adj" localSheetId="19" hidden="1">Task3!$B$6:$K$6</definedName>
    <definedName name="solver_adj" localSheetId="20" hidden="1">Task4!$B$4:$C$4</definedName>
    <definedName name="solver_adj" localSheetId="23" hidden="1">Task5!$K$3:$K$11</definedName>
    <definedName name="solver_adj" localSheetId="27" hidden="1">'Task6 Q1'!$D$5:$D$10</definedName>
    <definedName name="solver_adj" localSheetId="28" hidden="1">'Task6 q2'!$G$6:$I$8</definedName>
    <definedName name="solver_adj" localSheetId="33" hidden="1">Task7!$B$14:$G$14</definedName>
    <definedName name="solver_adj" localSheetId="26" hidden="1">Teachers!$K$10:$N$13</definedName>
    <definedName name="solver_adj" localSheetId="21" hidden="1">'TP1'!$C$13:$E$15</definedName>
    <definedName name="solver_adj" localSheetId="22" hidden="1">'Tp2'!$K$3:$K$11</definedName>
    <definedName name="solver_adj" localSheetId="18" hidden="1">Transport!$B$14:$U$14</definedName>
    <definedName name="solver_cvg" localSheetId="29" hidden="1">0.0001</definedName>
    <definedName name="solver_cvg" localSheetId="38" hidden="1">0.0001</definedName>
    <definedName name="solver_cvg" localSheetId="17" hidden="1">0.0001</definedName>
    <definedName name="solver_cvg" localSheetId="35" hidden="1">0.0001</definedName>
    <definedName name="solver_cvg" localSheetId="30" hidden="1">0.0001</definedName>
    <definedName name="solver_cvg" localSheetId="34" hidden="1">0.0001</definedName>
    <definedName name="solver_cvg" localSheetId="36" hidden="1">0.0001</definedName>
    <definedName name="solver_cvg" localSheetId="16" hidden="1">0.0001</definedName>
    <definedName name="solver_cvg" localSheetId="12" hidden="1">0.0001</definedName>
    <definedName name="solver_cvg" localSheetId="37" hidden="1">0.0001</definedName>
    <definedName name="solver_cvg" localSheetId="25" hidden="1">0.0001</definedName>
    <definedName name="solver_cvg" localSheetId="24" hidden="1">0.0001</definedName>
    <definedName name="solver_cvg" localSheetId="32" hidden="1">0.0001</definedName>
    <definedName name="solver_cvg" localSheetId="14" hidden="1">0.0001</definedName>
    <definedName name="solver_cvg" localSheetId="31" hidden="1">0.0001</definedName>
    <definedName name="solver_cvg" localSheetId="39" hidden="1">0.0001</definedName>
    <definedName name="solver_cvg" localSheetId="40" hidden="1">0.0001</definedName>
    <definedName name="solver_cvg" localSheetId="13" hidden="1">0.0001</definedName>
    <definedName name="solver_cvg" localSheetId="15" hidden="1">0.0001</definedName>
    <definedName name="solver_cvg" localSheetId="19" hidden="1">0.0001</definedName>
    <definedName name="solver_cvg" localSheetId="20" hidden="1">0.0001</definedName>
    <definedName name="solver_cvg" localSheetId="23" hidden="1">0.0001</definedName>
    <definedName name="solver_cvg" localSheetId="27" hidden="1">0.0001</definedName>
    <definedName name="solver_cvg" localSheetId="28" hidden="1">0.0001</definedName>
    <definedName name="solver_cvg" localSheetId="33" hidden="1">0.0001</definedName>
    <definedName name="solver_cvg" localSheetId="26" hidden="1">0.0001</definedName>
    <definedName name="solver_cvg" localSheetId="21" hidden="1">0.0001</definedName>
    <definedName name="solver_cvg" localSheetId="22" hidden="1">0.0001</definedName>
    <definedName name="solver_cvg" localSheetId="18" hidden="1">0.0001</definedName>
    <definedName name="solver_drv" localSheetId="29" hidden="1">2</definedName>
    <definedName name="solver_drv" localSheetId="38" hidden="1">1</definedName>
    <definedName name="solver_drv" localSheetId="17" hidden="1">1</definedName>
    <definedName name="solver_drv" localSheetId="35" hidden="1">1</definedName>
    <definedName name="solver_drv" localSheetId="30" hidden="1">1</definedName>
    <definedName name="solver_drv" localSheetId="34" hidden="1">1</definedName>
    <definedName name="solver_drv" localSheetId="36" hidden="1">1</definedName>
    <definedName name="solver_drv" localSheetId="16" hidden="1">1</definedName>
    <definedName name="solver_drv" localSheetId="12" hidden="1">1</definedName>
    <definedName name="solver_drv" localSheetId="37" hidden="1">1</definedName>
    <definedName name="solver_drv" localSheetId="25" hidden="1">1</definedName>
    <definedName name="solver_drv" localSheetId="24" hidden="1">1</definedName>
    <definedName name="solver_drv" localSheetId="32" hidden="1">1</definedName>
    <definedName name="solver_drv" localSheetId="14" hidden="1">1</definedName>
    <definedName name="solver_drv" localSheetId="31" hidden="1">1</definedName>
    <definedName name="solver_drv" localSheetId="39" hidden="1">1</definedName>
    <definedName name="solver_drv" localSheetId="40" hidden="1">1</definedName>
    <definedName name="solver_drv" localSheetId="13" hidden="1">1</definedName>
    <definedName name="solver_drv" localSheetId="15" hidden="1">1</definedName>
    <definedName name="solver_drv" localSheetId="19" hidden="1">1</definedName>
    <definedName name="solver_drv" localSheetId="20" hidden="1">1</definedName>
    <definedName name="solver_drv" localSheetId="23" hidden="1">1</definedName>
    <definedName name="solver_drv" localSheetId="27" hidden="1">1</definedName>
    <definedName name="solver_drv" localSheetId="28" hidden="1">1</definedName>
    <definedName name="solver_drv" localSheetId="33" hidden="1">1</definedName>
    <definedName name="solver_drv" localSheetId="26" hidden="1">1</definedName>
    <definedName name="solver_drv" localSheetId="21" hidden="1">1</definedName>
    <definedName name="solver_drv" localSheetId="22" hidden="1">1</definedName>
    <definedName name="solver_drv" localSheetId="18" hidden="1">1</definedName>
    <definedName name="solver_eng" localSheetId="29" hidden="1">2</definedName>
    <definedName name="solver_eng" localSheetId="38" hidden="1">1</definedName>
    <definedName name="solver_eng" localSheetId="17" hidden="1">2</definedName>
    <definedName name="solver_eng" localSheetId="35" hidden="1">1</definedName>
    <definedName name="solver_eng" localSheetId="30" hidden="1">2</definedName>
    <definedName name="solver_eng" localSheetId="34" hidden="1">1</definedName>
    <definedName name="solver_eng" localSheetId="36" hidden="1">1</definedName>
    <definedName name="solver_eng" localSheetId="16" hidden="1">2</definedName>
    <definedName name="solver_eng" localSheetId="12" hidden="1">2</definedName>
    <definedName name="solver_eng" localSheetId="37" hidden="1">2</definedName>
    <definedName name="solver_eng" localSheetId="25" hidden="1">2</definedName>
    <definedName name="solver_eng" localSheetId="24" hidden="1">2</definedName>
    <definedName name="solver_eng" localSheetId="32" hidden="1">2</definedName>
    <definedName name="solver_eng" localSheetId="14" hidden="1">2</definedName>
    <definedName name="solver_eng" localSheetId="31" hidden="1">2</definedName>
    <definedName name="solver_eng" localSheetId="39" hidden="1">2</definedName>
    <definedName name="solver_eng" localSheetId="40" hidden="1">2</definedName>
    <definedName name="solver_eng" localSheetId="13" hidden="1">2</definedName>
    <definedName name="solver_eng" localSheetId="15" hidden="1">2</definedName>
    <definedName name="solver_eng" localSheetId="19" hidden="1">2</definedName>
    <definedName name="solver_eng" localSheetId="20" hidden="1">2</definedName>
    <definedName name="solver_eng" localSheetId="23" hidden="1">2</definedName>
    <definedName name="solver_eng" localSheetId="27" hidden="1">2</definedName>
    <definedName name="solver_eng" localSheetId="28" hidden="1">2</definedName>
    <definedName name="solver_eng" localSheetId="33" hidden="1">2</definedName>
    <definedName name="solver_eng" localSheetId="26" hidden="1">2</definedName>
    <definedName name="solver_eng" localSheetId="21" hidden="1">2</definedName>
    <definedName name="solver_eng" localSheetId="22" hidden="1">2</definedName>
    <definedName name="solver_eng" localSheetId="18" hidden="1">2</definedName>
    <definedName name="solver_est" localSheetId="29" hidden="1">1</definedName>
    <definedName name="solver_est" localSheetId="38" hidden="1">1</definedName>
    <definedName name="solver_est" localSheetId="17" hidden="1">1</definedName>
    <definedName name="solver_est" localSheetId="35" hidden="1">1</definedName>
    <definedName name="solver_est" localSheetId="30" hidden="1">1</definedName>
    <definedName name="solver_est" localSheetId="34" hidden="1">1</definedName>
    <definedName name="solver_est" localSheetId="36" hidden="1">1</definedName>
    <definedName name="solver_est" localSheetId="16" hidden="1">1</definedName>
    <definedName name="solver_est" localSheetId="12" hidden="1">1</definedName>
    <definedName name="solver_est" localSheetId="37" hidden="1">1</definedName>
    <definedName name="solver_est" localSheetId="25" hidden="1">1</definedName>
    <definedName name="solver_est" localSheetId="24" hidden="1">1</definedName>
    <definedName name="solver_est" localSheetId="32" hidden="1">1</definedName>
    <definedName name="solver_est" localSheetId="14" hidden="1">1</definedName>
    <definedName name="solver_est" localSheetId="31" hidden="1">1</definedName>
    <definedName name="solver_est" localSheetId="39" hidden="1">1</definedName>
    <definedName name="solver_est" localSheetId="40" hidden="1">1</definedName>
    <definedName name="solver_est" localSheetId="13" hidden="1">1</definedName>
    <definedName name="solver_est" localSheetId="15" hidden="1">1</definedName>
    <definedName name="solver_est" localSheetId="19" hidden="1">1</definedName>
    <definedName name="solver_est" localSheetId="20" hidden="1">1</definedName>
    <definedName name="solver_est" localSheetId="23" hidden="1">1</definedName>
    <definedName name="solver_est" localSheetId="27" hidden="1">1</definedName>
    <definedName name="solver_est" localSheetId="28" hidden="1">1</definedName>
    <definedName name="solver_est" localSheetId="33" hidden="1">1</definedName>
    <definedName name="solver_est" localSheetId="26" hidden="1">1</definedName>
    <definedName name="solver_est" localSheetId="21" hidden="1">1</definedName>
    <definedName name="solver_est" localSheetId="22" hidden="1">1</definedName>
    <definedName name="solver_est" localSheetId="18" hidden="1">1</definedName>
    <definedName name="solver_itr" localSheetId="29" hidden="1">2147483647</definedName>
    <definedName name="solver_itr" localSheetId="38" hidden="1">2147483647</definedName>
    <definedName name="solver_itr" localSheetId="17" hidden="1">2147483647</definedName>
    <definedName name="solver_itr" localSheetId="35" hidden="1">2147483647</definedName>
    <definedName name="solver_itr" localSheetId="30" hidden="1">2147483647</definedName>
    <definedName name="solver_itr" localSheetId="34" hidden="1">2147483647</definedName>
    <definedName name="solver_itr" localSheetId="36" hidden="1">2147483647</definedName>
    <definedName name="solver_itr" localSheetId="16" hidden="1">2147483647</definedName>
    <definedName name="solver_itr" localSheetId="12" hidden="1">2147483647</definedName>
    <definedName name="solver_itr" localSheetId="37" hidden="1">2147483647</definedName>
    <definedName name="solver_itr" localSheetId="25" hidden="1">2147483647</definedName>
    <definedName name="solver_itr" localSheetId="24" hidden="1">2147483647</definedName>
    <definedName name="solver_itr" localSheetId="32" hidden="1">2147483647</definedName>
    <definedName name="solver_itr" localSheetId="14" hidden="1">2147483647</definedName>
    <definedName name="solver_itr" localSheetId="31" hidden="1">2147483647</definedName>
    <definedName name="solver_itr" localSheetId="39" hidden="1">2147483647</definedName>
    <definedName name="solver_itr" localSheetId="40" hidden="1">2147483647</definedName>
    <definedName name="solver_itr" localSheetId="13" hidden="1">2147483647</definedName>
    <definedName name="solver_itr" localSheetId="15" hidden="1">2147483647</definedName>
    <definedName name="solver_itr" localSheetId="19" hidden="1">2147483647</definedName>
    <definedName name="solver_itr" localSheetId="20" hidden="1">2147483647</definedName>
    <definedName name="solver_itr" localSheetId="23" hidden="1">2147483647</definedName>
    <definedName name="solver_itr" localSheetId="27" hidden="1">2147483647</definedName>
    <definedName name="solver_itr" localSheetId="28" hidden="1">2147483647</definedName>
    <definedName name="solver_itr" localSheetId="33" hidden="1">2147483647</definedName>
    <definedName name="solver_itr" localSheetId="26" hidden="1">2147483647</definedName>
    <definedName name="solver_itr" localSheetId="21" hidden="1">2147483647</definedName>
    <definedName name="solver_itr" localSheetId="22" hidden="1">2147483647</definedName>
    <definedName name="solver_itr" localSheetId="18" hidden="1">2147483647</definedName>
    <definedName name="solver_lhs1" localSheetId="29" hidden="1">Ads!$B$7:$C$7</definedName>
    <definedName name="solver_lhs1" localSheetId="38" hidden="1">Burger!$C$18</definedName>
    <definedName name="solver_lhs1" localSheetId="17" hidden="1">Cattle!$E$19:$E$23</definedName>
    <definedName name="solver_lhs1" localSheetId="35" hidden="1">cell!$B$6:$C$6</definedName>
    <definedName name="solver_lhs1" localSheetId="30" hidden="1">Coffee!$B$10</definedName>
    <definedName name="solver_lhs1" localSheetId="34" hidden="1">Funds!$D$18</definedName>
    <definedName name="solver_lhs1" localSheetId="36" hidden="1">Hotdog!$B$5</definedName>
    <definedName name="solver_lhs1" localSheetId="16" hidden="1">Investing!$G$19</definedName>
    <definedName name="solver_lhs1" localSheetId="12" hidden="1">LP!$D$15</definedName>
    <definedName name="solver_lhs1" localSheetId="37" hidden="1">Mbook!$B$5:$C$5</definedName>
    <definedName name="solver_lhs1" localSheetId="25" hidden="1">MLB!$K$11:$N$11</definedName>
    <definedName name="solver_lhs1" localSheetId="24" hidden="1">'New Hire'!$B$20:$E$20</definedName>
    <definedName name="solver_lhs1" localSheetId="32" hidden="1">Oil!$F$5:$L$5</definedName>
    <definedName name="solver_lhs1" localSheetId="14" hidden="1">PC!$D$21</definedName>
    <definedName name="solver_lhs1" localSheetId="31" hidden="1">Posters!$B$6:$C$6</definedName>
    <definedName name="solver_lhs1" localSheetId="39" hidden="1">pro!$B$20:$M$20</definedName>
    <definedName name="solver_lhs1" localSheetId="40" hidden="1">Sheet12!$I$34:$P$34</definedName>
    <definedName name="solver_lhs1" localSheetId="13" hidden="1">Task1!$D$11</definedName>
    <definedName name="solver_lhs1" localSheetId="15" hidden="1">Task2!$D$20:$D$21</definedName>
    <definedName name="solver_lhs1" localSheetId="19" hidden="1">Task3!$L$19:$L$23</definedName>
    <definedName name="solver_lhs1" localSheetId="20" hidden="1">Task4!$D$14:$D$15</definedName>
    <definedName name="solver_lhs1" localSheetId="23" hidden="1">Task5!$I$16:$I$18</definedName>
    <definedName name="solver_lhs1" localSheetId="27" hidden="1">'Task6 Q1'!$B$13:$B$14</definedName>
    <definedName name="solver_lhs1" localSheetId="28" hidden="1">'Task6 q2'!$G$9:$I$9</definedName>
    <definedName name="solver_lhs1" localSheetId="33" hidden="1">Task7!$B$14:$G$14</definedName>
    <definedName name="solver_lhs1" localSheetId="26" hidden="1">Teachers!$K$14:$N$14</definedName>
    <definedName name="solver_lhs1" localSheetId="21" hidden="1">'TP1'!$C$16:$E$16</definedName>
    <definedName name="solver_lhs1" localSheetId="22" hidden="1">'Tp2'!$I$16:$I$18</definedName>
    <definedName name="solver_lhs1" localSheetId="18" hidden="1">Transport!$V$21:$V$23</definedName>
    <definedName name="solver_lhs2" localSheetId="29" hidden="1">Ads!$D$16</definedName>
    <definedName name="solver_lhs2" localSheetId="38" hidden="1">Burger!$C$18</definedName>
    <definedName name="solver_lhs2" localSheetId="35" hidden="1">cell!$D$13</definedName>
    <definedName name="solver_lhs2" localSheetId="30" hidden="1">Coffee!$D$16:$D$18</definedName>
    <definedName name="solver_lhs2" localSheetId="34" hidden="1">Funds!$D$19</definedName>
    <definedName name="solver_lhs2" localSheetId="36" hidden="1">Hotdog!$C$18</definedName>
    <definedName name="solver_lhs2" localSheetId="16" hidden="1">Investing!$G$20</definedName>
    <definedName name="solver_lhs2" localSheetId="12" hidden="1">LP!$D$16</definedName>
    <definedName name="solver_lhs2" localSheetId="37" hidden="1">Mbook!$D$12:$D$13</definedName>
    <definedName name="solver_lhs2" localSheetId="25" hidden="1">MLB!$N$9</definedName>
    <definedName name="solver_lhs2" localSheetId="24" hidden="1">'New Hire'!$F$17:$F$19</definedName>
    <definedName name="solver_lhs2" localSheetId="32" hidden="1">Oil!$M$12</definedName>
    <definedName name="solver_lhs2" localSheetId="14" hidden="1">PC!$D$22</definedName>
    <definedName name="solver_lhs2" localSheetId="31" hidden="1">Posters!$D$13:$D$15</definedName>
    <definedName name="solver_lhs2" localSheetId="39" hidden="1">pro!$N$26:$N$28</definedName>
    <definedName name="solver_lhs2" localSheetId="40" hidden="1">Sheet12!$Q$22:$Q$33</definedName>
    <definedName name="solver_lhs2" localSheetId="13" hidden="1">Task1!$D$12</definedName>
    <definedName name="solver_lhs2" localSheetId="23" hidden="1">Task5!$N$4:$N$6</definedName>
    <definedName name="solver_lhs2" localSheetId="27" hidden="1">'Task6 Q1'!$G$6:$G$8</definedName>
    <definedName name="solver_lhs2" localSheetId="28" hidden="1">'Task6 q2'!$J$6:$J$8</definedName>
    <definedName name="solver_lhs2" localSheetId="33" hidden="1">Task7!$H$21:$H$28</definedName>
    <definedName name="solver_lhs2" localSheetId="26" hidden="1">Teachers!$O$10:$O$13</definedName>
    <definedName name="solver_lhs2" localSheetId="21" hidden="1">'TP1'!$F$13:$F$15</definedName>
    <definedName name="solver_lhs2" localSheetId="22" hidden="1">'Tp2'!$N$4:$N$6</definedName>
    <definedName name="solver_lhs2" localSheetId="18" hidden="1">Transport!$V$24:$V$28</definedName>
    <definedName name="solver_lhs3" localSheetId="29" hidden="1">Ads!$D$17:$D$18</definedName>
    <definedName name="solver_lhs3" localSheetId="16" hidden="1">Investing!$G$21</definedName>
    <definedName name="solver_lhs3" localSheetId="12" hidden="1">LP!$D$17</definedName>
    <definedName name="solver_lhs3" localSheetId="25" hidden="1">MLB!$O$7:$O$10</definedName>
    <definedName name="solver_lhs3" localSheetId="32" hidden="1">Oil!$M$13</definedName>
    <definedName name="solver_lhs3" localSheetId="14" hidden="1">PC!$D$23</definedName>
    <definedName name="solver_lhs3" localSheetId="39" hidden="1">pro!$N$29</definedName>
    <definedName name="solver_lhs3" localSheetId="40" hidden="1">Sheet12!$I$24:$P$24</definedName>
    <definedName name="solver_lhs4" localSheetId="16" hidden="1">Investing!$G$22</definedName>
    <definedName name="solver_lhs4" localSheetId="12" hidden="1">LP!$D$18</definedName>
    <definedName name="solver_lhs4" localSheetId="32" hidden="1">Oil!$M$14</definedName>
    <definedName name="solver_lhs4" localSheetId="14" hidden="1">PC!$D$24</definedName>
    <definedName name="solver_lhs4" localSheetId="39" hidden="1">pro!$N$30:$N$32</definedName>
    <definedName name="solver_lhs4" localSheetId="40" hidden="1">Sheet12!$I$27:$P$27</definedName>
    <definedName name="solver_lhs5" localSheetId="16" hidden="1">Investing!$G$23</definedName>
    <definedName name="solver_lhs5" localSheetId="32" hidden="1">Oil!$M$15</definedName>
    <definedName name="solver_lhs5" localSheetId="40" hidden="1">Sheet12!$I$29:$P$29</definedName>
    <definedName name="solver_lhs6" localSheetId="40" hidden="1">Sheet12!$I$33:$P$33</definedName>
    <definedName name="solver_lhs7" localSheetId="40" hidden="1">Sheet12!$I$34:$P$34</definedName>
    <definedName name="solver_lhs8" localSheetId="40" hidden="1">Sheet12!$Q$22:$Q$33</definedName>
    <definedName name="solver_mip" localSheetId="29" hidden="1">2147483647</definedName>
    <definedName name="solver_mip" localSheetId="38" hidden="1">2147483647</definedName>
    <definedName name="solver_mip" localSheetId="17" hidden="1">2147483647</definedName>
    <definedName name="solver_mip" localSheetId="35" hidden="1">2147483647</definedName>
    <definedName name="solver_mip" localSheetId="30" hidden="1">2147483647</definedName>
    <definedName name="solver_mip" localSheetId="34" hidden="1">2147483647</definedName>
    <definedName name="solver_mip" localSheetId="36" hidden="1">2147483647</definedName>
    <definedName name="solver_mip" localSheetId="16" hidden="1">2147483647</definedName>
    <definedName name="solver_mip" localSheetId="12" hidden="1">2147483647</definedName>
    <definedName name="solver_mip" localSheetId="37" hidden="1">2147483647</definedName>
    <definedName name="solver_mip" localSheetId="25" hidden="1">2147483647</definedName>
    <definedName name="solver_mip" localSheetId="24" hidden="1">2147483647</definedName>
    <definedName name="solver_mip" localSheetId="32" hidden="1">2147483647</definedName>
    <definedName name="solver_mip" localSheetId="14" hidden="1">2147483647</definedName>
    <definedName name="solver_mip" localSheetId="31" hidden="1">2147483647</definedName>
    <definedName name="solver_mip" localSheetId="39" hidden="1">2147483647</definedName>
    <definedName name="solver_mip" localSheetId="40" hidden="1">2147483647</definedName>
    <definedName name="solver_mip" localSheetId="13" hidden="1">2147483647</definedName>
    <definedName name="solver_mip" localSheetId="15" hidden="1">2147483647</definedName>
    <definedName name="solver_mip" localSheetId="19" hidden="1">2147483647</definedName>
    <definedName name="solver_mip" localSheetId="20" hidden="1">2147483647</definedName>
    <definedName name="solver_mip" localSheetId="23" hidden="1">2147483647</definedName>
    <definedName name="solver_mip" localSheetId="27" hidden="1">2147483647</definedName>
    <definedName name="solver_mip" localSheetId="28" hidden="1">2147483647</definedName>
    <definedName name="solver_mip" localSheetId="33" hidden="1">2147483647</definedName>
    <definedName name="solver_mip" localSheetId="26" hidden="1">2147483647</definedName>
    <definedName name="solver_mip" localSheetId="21" hidden="1">2147483647</definedName>
    <definedName name="solver_mip" localSheetId="22" hidden="1">2147483647</definedName>
    <definedName name="solver_mip" localSheetId="18" hidden="1">2147483647</definedName>
    <definedName name="solver_mni" localSheetId="29" hidden="1">30</definedName>
    <definedName name="solver_mni" localSheetId="38" hidden="1">30</definedName>
    <definedName name="solver_mni" localSheetId="17" hidden="1">30</definedName>
    <definedName name="solver_mni" localSheetId="35" hidden="1">30</definedName>
    <definedName name="solver_mni" localSheetId="30" hidden="1">30</definedName>
    <definedName name="solver_mni" localSheetId="34" hidden="1">30</definedName>
    <definedName name="solver_mni" localSheetId="36" hidden="1">30</definedName>
    <definedName name="solver_mni" localSheetId="16" hidden="1">30</definedName>
    <definedName name="solver_mni" localSheetId="12" hidden="1">30</definedName>
    <definedName name="solver_mni" localSheetId="37" hidden="1">30</definedName>
    <definedName name="solver_mni" localSheetId="25" hidden="1">30</definedName>
    <definedName name="solver_mni" localSheetId="24" hidden="1">30</definedName>
    <definedName name="solver_mni" localSheetId="32" hidden="1">30</definedName>
    <definedName name="solver_mni" localSheetId="14" hidden="1">30</definedName>
    <definedName name="solver_mni" localSheetId="31" hidden="1">30</definedName>
    <definedName name="solver_mni" localSheetId="39" hidden="1">30</definedName>
    <definedName name="solver_mni" localSheetId="40" hidden="1">30</definedName>
    <definedName name="solver_mni" localSheetId="13" hidden="1">30</definedName>
    <definedName name="solver_mni" localSheetId="15" hidden="1">30</definedName>
    <definedName name="solver_mni" localSheetId="19" hidden="1">30</definedName>
    <definedName name="solver_mni" localSheetId="20" hidden="1">30</definedName>
    <definedName name="solver_mni" localSheetId="23" hidden="1">30</definedName>
    <definedName name="solver_mni" localSheetId="27" hidden="1">30</definedName>
    <definedName name="solver_mni" localSheetId="28" hidden="1">30</definedName>
    <definedName name="solver_mni" localSheetId="33" hidden="1">30</definedName>
    <definedName name="solver_mni" localSheetId="26" hidden="1">30</definedName>
    <definedName name="solver_mni" localSheetId="21" hidden="1">30</definedName>
    <definedName name="solver_mni" localSheetId="22" hidden="1">30</definedName>
    <definedName name="solver_mni" localSheetId="18" hidden="1">30</definedName>
    <definedName name="solver_mrt" localSheetId="29" hidden="1">0.075</definedName>
    <definedName name="solver_mrt" localSheetId="38" hidden="1">0.075</definedName>
    <definedName name="solver_mrt" localSheetId="17" hidden="1">0.075</definedName>
    <definedName name="solver_mrt" localSheetId="35" hidden="1">0.075</definedName>
    <definedName name="solver_mrt" localSheetId="30" hidden="1">0.075</definedName>
    <definedName name="solver_mrt" localSheetId="34" hidden="1">0.075</definedName>
    <definedName name="solver_mrt" localSheetId="36" hidden="1">0.075</definedName>
    <definedName name="solver_mrt" localSheetId="16" hidden="1">0.075</definedName>
    <definedName name="solver_mrt" localSheetId="12" hidden="1">0.075</definedName>
    <definedName name="solver_mrt" localSheetId="37" hidden="1">0.075</definedName>
    <definedName name="solver_mrt" localSheetId="25" hidden="1">0.075</definedName>
    <definedName name="solver_mrt" localSheetId="24" hidden="1">0.075</definedName>
    <definedName name="solver_mrt" localSheetId="32" hidden="1">0.075</definedName>
    <definedName name="solver_mrt" localSheetId="14" hidden="1">0.075</definedName>
    <definedName name="solver_mrt" localSheetId="31" hidden="1">0.075</definedName>
    <definedName name="solver_mrt" localSheetId="39" hidden="1">0.075</definedName>
    <definedName name="solver_mrt" localSheetId="40" hidden="1">0.075</definedName>
    <definedName name="solver_mrt" localSheetId="13" hidden="1">0.075</definedName>
    <definedName name="solver_mrt" localSheetId="15" hidden="1">0.075</definedName>
    <definedName name="solver_mrt" localSheetId="19" hidden="1">0.075</definedName>
    <definedName name="solver_mrt" localSheetId="20" hidden="1">0.075</definedName>
    <definedName name="solver_mrt" localSheetId="23" hidden="1">0.075</definedName>
    <definedName name="solver_mrt" localSheetId="27" hidden="1">0.075</definedName>
    <definedName name="solver_mrt" localSheetId="28" hidden="1">0.075</definedName>
    <definedName name="solver_mrt" localSheetId="33" hidden="1">0.075</definedName>
    <definedName name="solver_mrt" localSheetId="26" hidden="1">0.075</definedName>
    <definedName name="solver_mrt" localSheetId="21" hidden="1">0.075</definedName>
    <definedName name="solver_mrt" localSheetId="22" hidden="1">0.075</definedName>
    <definedName name="solver_mrt" localSheetId="18" hidden="1">0.075</definedName>
    <definedName name="solver_msl" localSheetId="29" hidden="1">2</definedName>
    <definedName name="solver_msl" localSheetId="38" hidden="1">2</definedName>
    <definedName name="solver_msl" localSheetId="17" hidden="1">2</definedName>
    <definedName name="solver_msl" localSheetId="35" hidden="1">2</definedName>
    <definedName name="solver_msl" localSheetId="30" hidden="1">2</definedName>
    <definedName name="solver_msl" localSheetId="34" hidden="1">2</definedName>
    <definedName name="solver_msl" localSheetId="36" hidden="1">2</definedName>
    <definedName name="solver_msl" localSheetId="16" hidden="1">2</definedName>
    <definedName name="solver_msl" localSheetId="12" hidden="1">2</definedName>
    <definedName name="solver_msl" localSheetId="37" hidden="1">2</definedName>
    <definedName name="solver_msl" localSheetId="25" hidden="1">2</definedName>
    <definedName name="solver_msl" localSheetId="24" hidden="1">2</definedName>
    <definedName name="solver_msl" localSheetId="32" hidden="1">2</definedName>
    <definedName name="solver_msl" localSheetId="14" hidden="1">2</definedName>
    <definedName name="solver_msl" localSheetId="31" hidden="1">2</definedName>
    <definedName name="solver_msl" localSheetId="39" hidden="1">2</definedName>
    <definedName name="solver_msl" localSheetId="40" hidden="1">2</definedName>
    <definedName name="solver_msl" localSheetId="13" hidden="1">2</definedName>
    <definedName name="solver_msl" localSheetId="15" hidden="1">2</definedName>
    <definedName name="solver_msl" localSheetId="19" hidden="1">2</definedName>
    <definedName name="solver_msl" localSheetId="20" hidden="1">2</definedName>
    <definedName name="solver_msl" localSheetId="23" hidden="1">2</definedName>
    <definedName name="solver_msl" localSheetId="27" hidden="1">2</definedName>
    <definedName name="solver_msl" localSheetId="28" hidden="1">2</definedName>
    <definedName name="solver_msl" localSheetId="33" hidden="1">2</definedName>
    <definedName name="solver_msl" localSheetId="26" hidden="1">2</definedName>
    <definedName name="solver_msl" localSheetId="21" hidden="1">2</definedName>
    <definedName name="solver_msl" localSheetId="22" hidden="1">2</definedName>
    <definedName name="solver_msl" localSheetId="18" hidden="1">2</definedName>
    <definedName name="solver_neg" localSheetId="29" hidden="1">1</definedName>
    <definedName name="solver_neg" localSheetId="38" hidden="1">1</definedName>
    <definedName name="solver_neg" localSheetId="17" hidden="1">1</definedName>
    <definedName name="solver_neg" localSheetId="35" hidden="1">1</definedName>
    <definedName name="solver_neg" localSheetId="30" hidden="1">1</definedName>
    <definedName name="solver_neg" localSheetId="34" hidden="1">1</definedName>
    <definedName name="solver_neg" localSheetId="36" hidden="1">1</definedName>
    <definedName name="solver_neg" localSheetId="16" hidden="1">1</definedName>
    <definedName name="solver_neg" localSheetId="12" hidden="1">1</definedName>
    <definedName name="solver_neg" localSheetId="37" hidden="1">1</definedName>
    <definedName name="solver_neg" localSheetId="25" hidden="1">1</definedName>
    <definedName name="solver_neg" localSheetId="24" hidden="1">1</definedName>
    <definedName name="solver_neg" localSheetId="32" hidden="1">1</definedName>
    <definedName name="solver_neg" localSheetId="14" hidden="1">1</definedName>
    <definedName name="solver_neg" localSheetId="31" hidden="1">1</definedName>
    <definedName name="solver_neg" localSheetId="39" hidden="1">1</definedName>
    <definedName name="solver_neg" localSheetId="40" hidden="1">1</definedName>
    <definedName name="solver_neg" localSheetId="13" hidden="1">1</definedName>
    <definedName name="solver_neg" localSheetId="15" hidden="1">1</definedName>
    <definedName name="solver_neg" localSheetId="19" hidden="1">1</definedName>
    <definedName name="solver_neg" localSheetId="20" hidden="1">1</definedName>
    <definedName name="solver_neg" localSheetId="23" hidden="1">1</definedName>
    <definedName name="solver_neg" localSheetId="27" hidden="1">1</definedName>
    <definedName name="solver_neg" localSheetId="28" hidden="1">1</definedName>
    <definedName name="solver_neg" localSheetId="33" hidden="1">1</definedName>
    <definedName name="solver_neg" localSheetId="26" hidden="1">1</definedName>
    <definedName name="solver_neg" localSheetId="21" hidden="1">1</definedName>
    <definedName name="solver_neg" localSheetId="22" hidden="1">1</definedName>
    <definedName name="solver_neg" localSheetId="18" hidden="1">1</definedName>
    <definedName name="solver_nod" localSheetId="29" hidden="1">2147483647</definedName>
    <definedName name="solver_nod" localSheetId="38" hidden="1">2147483647</definedName>
    <definedName name="solver_nod" localSheetId="17" hidden="1">2147483647</definedName>
    <definedName name="solver_nod" localSheetId="35" hidden="1">2147483647</definedName>
    <definedName name="solver_nod" localSheetId="30" hidden="1">2147483647</definedName>
    <definedName name="solver_nod" localSheetId="34" hidden="1">2147483647</definedName>
    <definedName name="solver_nod" localSheetId="36" hidden="1">2147483647</definedName>
    <definedName name="solver_nod" localSheetId="16" hidden="1">2147483647</definedName>
    <definedName name="solver_nod" localSheetId="12" hidden="1">2147483647</definedName>
    <definedName name="solver_nod" localSheetId="37" hidden="1">2147483647</definedName>
    <definedName name="solver_nod" localSheetId="25" hidden="1">2147483647</definedName>
    <definedName name="solver_nod" localSheetId="24" hidden="1">2147483647</definedName>
    <definedName name="solver_nod" localSheetId="32" hidden="1">2147483647</definedName>
    <definedName name="solver_nod" localSheetId="14" hidden="1">2147483647</definedName>
    <definedName name="solver_nod" localSheetId="31" hidden="1">2147483647</definedName>
    <definedName name="solver_nod" localSheetId="39" hidden="1">2147483647</definedName>
    <definedName name="solver_nod" localSheetId="40" hidden="1">2147483647</definedName>
    <definedName name="solver_nod" localSheetId="13" hidden="1">2147483647</definedName>
    <definedName name="solver_nod" localSheetId="15" hidden="1">2147483647</definedName>
    <definedName name="solver_nod" localSheetId="19" hidden="1">2147483647</definedName>
    <definedName name="solver_nod" localSheetId="20" hidden="1">2147483647</definedName>
    <definedName name="solver_nod" localSheetId="23" hidden="1">2147483647</definedName>
    <definedName name="solver_nod" localSheetId="27" hidden="1">2147483647</definedName>
    <definedName name="solver_nod" localSheetId="28" hidden="1">2147483647</definedName>
    <definedName name="solver_nod" localSheetId="33" hidden="1">2147483647</definedName>
    <definedName name="solver_nod" localSheetId="26" hidden="1">2147483647</definedName>
    <definedName name="solver_nod" localSheetId="21" hidden="1">2147483647</definedName>
    <definedName name="solver_nod" localSheetId="22" hidden="1">2147483647</definedName>
    <definedName name="solver_nod" localSheetId="18" hidden="1">2147483647</definedName>
    <definedName name="solver_num" localSheetId="29" hidden="1">3</definedName>
    <definedName name="solver_num" localSheetId="38" hidden="1">1</definedName>
    <definedName name="solver_num" localSheetId="17" hidden="1">1</definedName>
    <definedName name="solver_num" localSheetId="35" hidden="1">2</definedName>
    <definedName name="solver_num" localSheetId="30" hidden="1">2</definedName>
    <definedName name="solver_num" localSheetId="34" hidden="1">2</definedName>
    <definedName name="solver_num" localSheetId="36" hidden="1">2</definedName>
    <definedName name="solver_num" localSheetId="16" hidden="1">5</definedName>
    <definedName name="solver_num" localSheetId="12" hidden="1">4</definedName>
    <definedName name="solver_num" localSheetId="37" hidden="1">2</definedName>
    <definedName name="solver_num" localSheetId="25" hidden="1">3</definedName>
    <definedName name="solver_num" localSheetId="24" hidden="1">2</definedName>
    <definedName name="solver_num" localSheetId="32" hidden="1">5</definedName>
    <definedName name="solver_num" localSheetId="14" hidden="1">4</definedName>
    <definedName name="solver_num" localSheetId="31" hidden="1">2</definedName>
    <definedName name="solver_num" localSheetId="39" hidden="1">4</definedName>
    <definedName name="solver_num" localSheetId="40" hidden="1">2</definedName>
    <definedName name="solver_num" localSheetId="13" hidden="1">2</definedName>
    <definedName name="solver_num" localSheetId="15" hidden="1">1</definedName>
    <definedName name="solver_num" localSheetId="19" hidden="1">1</definedName>
    <definedName name="solver_num" localSheetId="20" hidden="1">1</definedName>
    <definedName name="solver_num" localSheetId="23" hidden="1">2</definedName>
    <definedName name="solver_num" localSheetId="27" hidden="1">2</definedName>
    <definedName name="solver_num" localSheetId="28" hidden="1">2</definedName>
    <definedName name="solver_num" localSheetId="33" hidden="1">2</definedName>
    <definedName name="solver_num" localSheetId="26" hidden="1">2</definedName>
    <definedName name="solver_num" localSheetId="21" hidden="1">2</definedName>
    <definedName name="solver_num" localSheetId="22" hidden="1">2</definedName>
    <definedName name="solver_num" localSheetId="18" hidden="1">2</definedName>
    <definedName name="solver_nwt" localSheetId="29" hidden="1">1</definedName>
    <definedName name="solver_nwt" localSheetId="38" hidden="1">1</definedName>
    <definedName name="solver_nwt" localSheetId="17" hidden="1">1</definedName>
    <definedName name="solver_nwt" localSheetId="35" hidden="1">1</definedName>
    <definedName name="solver_nwt" localSheetId="30" hidden="1">1</definedName>
    <definedName name="solver_nwt" localSheetId="34" hidden="1">1</definedName>
    <definedName name="solver_nwt" localSheetId="36" hidden="1">1</definedName>
    <definedName name="solver_nwt" localSheetId="16" hidden="1">1</definedName>
    <definedName name="solver_nwt" localSheetId="12" hidden="1">1</definedName>
    <definedName name="solver_nwt" localSheetId="37" hidden="1">1</definedName>
    <definedName name="solver_nwt" localSheetId="25" hidden="1">1</definedName>
    <definedName name="solver_nwt" localSheetId="24" hidden="1">1</definedName>
    <definedName name="solver_nwt" localSheetId="32" hidden="1">1</definedName>
    <definedName name="solver_nwt" localSheetId="14" hidden="1">1</definedName>
    <definedName name="solver_nwt" localSheetId="31" hidden="1">1</definedName>
    <definedName name="solver_nwt" localSheetId="39" hidden="1">1</definedName>
    <definedName name="solver_nwt" localSheetId="40" hidden="1">1</definedName>
    <definedName name="solver_nwt" localSheetId="13" hidden="1">1</definedName>
    <definedName name="solver_nwt" localSheetId="15" hidden="1">1</definedName>
    <definedName name="solver_nwt" localSheetId="19" hidden="1">1</definedName>
    <definedName name="solver_nwt" localSheetId="20" hidden="1">1</definedName>
    <definedName name="solver_nwt" localSheetId="23" hidden="1">1</definedName>
    <definedName name="solver_nwt" localSheetId="27" hidden="1">1</definedName>
    <definedName name="solver_nwt" localSheetId="28" hidden="1">1</definedName>
    <definedName name="solver_nwt" localSheetId="33" hidden="1">1</definedName>
    <definedName name="solver_nwt" localSheetId="26" hidden="1">1</definedName>
    <definedName name="solver_nwt" localSheetId="21" hidden="1">1</definedName>
    <definedName name="solver_nwt" localSheetId="22" hidden="1">1</definedName>
    <definedName name="solver_nwt" localSheetId="18" hidden="1">1</definedName>
    <definedName name="solver_opt" localSheetId="29" hidden="1">Ads!$B$11</definedName>
    <definedName name="solver_opt" localSheetId="38" hidden="1">Burger!$B$15</definedName>
    <definedName name="solver_opt" localSheetId="17" hidden="1">Cattle!$B$16</definedName>
    <definedName name="solver_opt" localSheetId="35" hidden="1">cell!$B$10</definedName>
    <definedName name="solver_opt" localSheetId="30" hidden="1">Coffee!$B$13</definedName>
    <definedName name="solver_opt" localSheetId="34" hidden="1">Funds!$B$15</definedName>
    <definedName name="solver_opt" localSheetId="36" hidden="1">Hotdog!$B$15</definedName>
    <definedName name="solver_opt" localSheetId="16" hidden="1">Investing!$B$16</definedName>
    <definedName name="solver_opt" localSheetId="12" hidden="1">LP!$B$9</definedName>
    <definedName name="solver_opt" localSheetId="37" hidden="1">Mbook!$B$9</definedName>
    <definedName name="solver_opt" localSheetId="25" hidden="1">MLB!$H$12</definedName>
    <definedName name="solver_opt" localSheetId="24" hidden="1">'New Hire'!$L$19</definedName>
    <definedName name="solver_opt" localSheetId="32" hidden="1">Oil!$F$9</definedName>
    <definedName name="solver_opt" localSheetId="14" hidden="1">PC!$D$15</definedName>
    <definedName name="solver_opt" localSheetId="31" hidden="1">Posters!$B$10</definedName>
    <definedName name="solver_opt" localSheetId="39" hidden="1">pro!$B$23</definedName>
    <definedName name="solver_opt" localSheetId="40" hidden="1">Sheet12!$E$20</definedName>
    <definedName name="solver_opt" localSheetId="13" hidden="1">Task1!$B$5</definedName>
    <definedName name="solver_opt" localSheetId="15" hidden="1">Task2!$D$14</definedName>
    <definedName name="solver_opt" localSheetId="19" hidden="1">Task3!$B$15</definedName>
    <definedName name="solver_opt" localSheetId="20" hidden="1">Task4!$B$10</definedName>
    <definedName name="solver_opt" localSheetId="23" hidden="1">Task5!$N$10</definedName>
    <definedName name="solver_opt" localSheetId="27" hidden="1">'Task6 Q1'!$M$8</definedName>
    <definedName name="solver_opt" localSheetId="28" hidden="1">'Task6 q2'!$E$13</definedName>
    <definedName name="solver_opt" localSheetId="33" hidden="1">Task7!$B$18</definedName>
    <definedName name="solver_opt" localSheetId="26" hidden="1">Teachers!$H$12</definedName>
    <definedName name="solver_opt" localSheetId="21" hidden="1">'TP1'!$N$10</definedName>
    <definedName name="solver_opt" localSheetId="22" hidden="1">'Tp2'!$N$10</definedName>
    <definedName name="solver_opt" localSheetId="18" hidden="1">Transport!$B$18</definedName>
    <definedName name="solver_pre" localSheetId="29" hidden="1">0.000001</definedName>
    <definedName name="solver_pre" localSheetId="38" hidden="1">0.000001</definedName>
    <definedName name="solver_pre" localSheetId="17" hidden="1">0.000001</definedName>
    <definedName name="solver_pre" localSheetId="35" hidden="1">0.000001</definedName>
    <definedName name="solver_pre" localSheetId="30" hidden="1">0.000001</definedName>
    <definedName name="solver_pre" localSheetId="34" hidden="1">0.000001</definedName>
    <definedName name="solver_pre" localSheetId="36" hidden="1">0.000001</definedName>
    <definedName name="solver_pre" localSheetId="16" hidden="1">0.000001</definedName>
    <definedName name="solver_pre" localSheetId="12" hidden="1">0.000001</definedName>
    <definedName name="solver_pre" localSheetId="37" hidden="1">0.000001</definedName>
    <definedName name="solver_pre" localSheetId="25" hidden="1">0.000001</definedName>
    <definedName name="solver_pre" localSheetId="24" hidden="1">0.000001</definedName>
    <definedName name="solver_pre" localSheetId="32" hidden="1">0.000001</definedName>
    <definedName name="solver_pre" localSheetId="14" hidden="1">0.000001</definedName>
    <definedName name="solver_pre" localSheetId="31" hidden="1">0.000001</definedName>
    <definedName name="solver_pre" localSheetId="39" hidden="1">0.000001</definedName>
    <definedName name="solver_pre" localSheetId="40" hidden="1">0.000001</definedName>
    <definedName name="solver_pre" localSheetId="13" hidden="1">0.000001</definedName>
    <definedName name="solver_pre" localSheetId="15" hidden="1">0.000001</definedName>
    <definedName name="solver_pre" localSheetId="19" hidden="1">0.000001</definedName>
    <definedName name="solver_pre" localSheetId="20" hidden="1">0.000001</definedName>
    <definedName name="solver_pre" localSheetId="23" hidden="1">0.000001</definedName>
    <definedName name="solver_pre" localSheetId="27" hidden="1">0.000001</definedName>
    <definedName name="solver_pre" localSheetId="28" hidden="1">0.000001</definedName>
    <definedName name="solver_pre" localSheetId="33" hidden="1">0.000001</definedName>
    <definedName name="solver_pre" localSheetId="26" hidden="1">0.000001</definedName>
    <definedName name="solver_pre" localSheetId="21" hidden="1">0.000001</definedName>
    <definedName name="solver_pre" localSheetId="22" hidden="1">0.000001</definedName>
    <definedName name="solver_pre" localSheetId="18" hidden="1">0.000001</definedName>
    <definedName name="solver_rbv" localSheetId="29" hidden="1">2</definedName>
    <definedName name="solver_rbv" localSheetId="38" hidden="1">1</definedName>
    <definedName name="solver_rbv" localSheetId="17" hidden="1">1</definedName>
    <definedName name="solver_rbv" localSheetId="35" hidden="1">1</definedName>
    <definedName name="solver_rbv" localSheetId="30" hidden="1">1</definedName>
    <definedName name="solver_rbv" localSheetId="34" hidden="1">1</definedName>
    <definedName name="solver_rbv" localSheetId="36" hidden="1">1</definedName>
    <definedName name="solver_rbv" localSheetId="16" hidden="1">1</definedName>
    <definedName name="solver_rbv" localSheetId="12" hidden="1">1</definedName>
    <definedName name="solver_rbv" localSheetId="37" hidden="1">1</definedName>
    <definedName name="solver_rbv" localSheetId="25" hidden="1">1</definedName>
    <definedName name="solver_rbv" localSheetId="24" hidden="1">1</definedName>
    <definedName name="solver_rbv" localSheetId="32" hidden="1">1</definedName>
    <definedName name="solver_rbv" localSheetId="14" hidden="1">1</definedName>
    <definedName name="solver_rbv" localSheetId="31" hidden="1">1</definedName>
    <definedName name="solver_rbv" localSheetId="39" hidden="1">1</definedName>
    <definedName name="solver_rbv" localSheetId="40" hidden="1">1</definedName>
    <definedName name="solver_rbv" localSheetId="13" hidden="1">1</definedName>
    <definedName name="solver_rbv" localSheetId="15" hidden="1">1</definedName>
    <definedName name="solver_rbv" localSheetId="19" hidden="1">1</definedName>
    <definedName name="solver_rbv" localSheetId="20" hidden="1">1</definedName>
    <definedName name="solver_rbv" localSheetId="23" hidden="1">1</definedName>
    <definedName name="solver_rbv" localSheetId="27" hidden="1">1</definedName>
    <definedName name="solver_rbv" localSheetId="28" hidden="1">1</definedName>
    <definedName name="solver_rbv" localSheetId="33" hidden="1">1</definedName>
    <definedName name="solver_rbv" localSheetId="26" hidden="1">1</definedName>
    <definedName name="solver_rbv" localSheetId="21" hidden="1">1</definedName>
    <definedName name="solver_rbv" localSheetId="22" hidden="1">1</definedName>
    <definedName name="solver_rbv" localSheetId="18" hidden="1">1</definedName>
    <definedName name="solver_rel1" localSheetId="29" hidden="1">4</definedName>
    <definedName name="solver_rel1" localSheetId="38" hidden="1">3</definedName>
    <definedName name="solver_rel1" localSheetId="17" hidden="1">3</definedName>
    <definedName name="solver_rel1" localSheetId="35" hidden="1">4</definedName>
    <definedName name="solver_rel1" localSheetId="30" hidden="1">4</definedName>
    <definedName name="solver_rel1" localSheetId="34" hidden="1">2</definedName>
    <definedName name="solver_rel1" localSheetId="36" hidden="1">4</definedName>
    <definedName name="solver_rel1" localSheetId="16" hidden="1">1</definedName>
    <definedName name="solver_rel1" localSheetId="12" hidden="1">1</definedName>
    <definedName name="solver_rel1" localSheetId="37" hidden="1">4</definedName>
    <definedName name="solver_rel1" localSheetId="25" hidden="1">2</definedName>
    <definedName name="solver_rel1" localSheetId="24" hidden="1">1</definedName>
    <definedName name="solver_rel1" localSheetId="32" hidden="1">5</definedName>
    <definedName name="solver_rel1" localSheetId="14" hidden="1">1</definedName>
    <definedName name="solver_rel1" localSheetId="31" hidden="1">4</definedName>
    <definedName name="solver_rel1" localSheetId="39" hidden="1">5</definedName>
    <definedName name="solver_rel1" localSheetId="40" hidden="1">2</definedName>
    <definedName name="solver_rel1" localSheetId="13" hidden="1">1</definedName>
    <definedName name="solver_rel1" localSheetId="15" hidden="1">1</definedName>
    <definedName name="solver_rel1" localSheetId="19" hidden="1">2</definedName>
    <definedName name="solver_rel1" localSheetId="20" hidden="1">1</definedName>
    <definedName name="solver_rel1" localSheetId="23" hidden="1">1</definedName>
    <definedName name="solver_rel1" localSheetId="27" hidden="1">1</definedName>
    <definedName name="solver_rel1" localSheetId="28" hidden="1">2</definedName>
    <definedName name="solver_rel1" localSheetId="33" hidden="1">5</definedName>
    <definedName name="solver_rel1" localSheetId="26" hidden="1">2</definedName>
    <definedName name="solver_rel1" localSheetId="21" hidden="1">2</definedName>
    <definedName name="solver_rel1" localSheetId="22" hidden="1">1</definedName>
    <definedName name="solver_rel1" localSheetId="18" hidden="1">1</definedName>
    <definedName name="solver_rel2" localSheetId="29" hidden="1">3</definedName>
    <definedName name="solver_rel2" localSheetId="38" hidden="1">3</definedName>
    <definedName name="solver_rel2" localSheetId="35" hidden="1">1</definedName>
    <definedName name="solver_rel2" localSheetId="30" hidden="1">1</definedName>
    <definedName name="solver_rel2" localSheetId="34" hidden="1">3</definedName>
    <definedName name="solver_rel2" localSheetId="36" hidden="1">3</definedName>
    <definedName name="solver_rel2" localSheetId="16" hidden="1">3</definedName>
    <definedName name="solver_rel2" localSheetId="12" hidden="1">3</definedName>
    <definedName name="solver_rel2" localSheetId="37" hidden="1">1</definedName>
    <definedName name="solver_rel2" localSheetId="25" hidden="1">2</definedName>
    <definedName name="solver_rel2" localSheetId="24" hidden="1">2</definedName>
    <definedName name="solver_rel2" localSheetId="32" hidden="1">3</definedName>
    <definedName name="solver_rel2" localSheetId="14" hidden="1">1</definedName>
    <definedName name="solver_rel2" localSheetId="31" hidden="1">1</definedName>
    <definedName name="solver_rel2" localSheetId="39" hidden="1">1</definedName>
    <definedName name="solver_rel2" localSheetId="40" hidden="1">2</definedName>
    <definedName name="solver_rel2" localSheetId="13" hidden="1">1</definedName>
    <definedName name="solver_rel2" localSheetId="23" hidden="1">2</definedName>
    <definedName name="solver_rel2" localSheetId="27" hidden="1">2</definedName>
    <definedName name="solver_rel2" localSheetId="28" hidden="1">1</definedName>
    <definedName name="solver_rel2" localSheetId="33" hidden="1">3</definedName>
    <definedName name="solver_rel2" localSheetId="26" hidden="1">2</definedName>
    <definedName name="solver_rel2" localSheetId="21" hidden="1">1</definedName>
    <definedName name="solver_rel2" localSheetId="22" hidden="1">2</definedName>
    <definedName name="solver_rel2" localSheetId="18" hidden="1">2</definedName>
    <definedName name="solver_rel3" localSheetId="29" hidden="1">1</definedName>
    <definedName name="solver_rel3" localSheetId="16" hidden="1">3</definedName>
    <definedName name="solver_rel3" localSheetId="12" hidden="1">3</definedName>
    <definedName name="solver_rel3" localSheetId="25" hidden="1">1</definedName>
    <definedName name="solver_rel3" localSheetId="32" hidden="1">1</definedName>
    <definedName name="solver_rel3" localSheetId="14" hidden="1">1</definedName>
    <definedName name="solver_rel3" localSheetId="39" hidden="1">1</definedName>
    <definedName name="solver_rel3" localSheetId="40" hidden="1">2</definedName>
    <definedName name="solver_rel4" localSheetId="16" hidden="1">1</definedName>
    <definedName name="solver_rel4" localSheetId="12" hidden="1">3</definedName>
    <definedName name="solver_rel4" localSheetId="32" hidden="1">2</definedName>
    <definedName name="solver_rel4" localSheetId="14" hidden="1">1</definedName>
    <definedName name="solver_rel4" localSheetId="39" hidden="1">3</definedName>
    <definedName name="solver_rel4" localSheetId="40" hidden="1">2</definedName>
    <definedName name="solver_rel5" localSheetId="16" hidden="1">1</definedName>
    <definedName name="solver_rel5" localSheetId="32" hidden="1">1</definedName>
    <definedName name="solver_rel5" localSheetId="40" hidden="1">2</definedName>
    <definedName name="solver_rel6" localSheetId="40" hidden="1">2</definedName>
    <definedName name="solver_rel7" localSheetId="40" hidden="1">3</definedName>
    <definedName name="solver_rel8" localSheetId="40" hidden="1">2</definedName>
    <definedName name="solver_rhs1" localSheetId="29" hidden="1">integer</definedName>
    <definedName name="solver_rhs1" localSheetId="38" hidden="1">Burger!$E$18</definedName>
    <definedName name="solver_rhs1" localSheetId="17" hidden="1">Cattle!$G$19:$G$23</definedName>
    <definedName name="solver_rhs1" localSheetId="35" hidden="1">integer</definedName>
    <definedName name="solver_rhs1" localSheetId="30" hidden="1">integer</definedName>
    <definedName name="solver_rhs1" localSheetId="34" hidden="1">Funds!$F$18</definedName>
    <definedName name="solver_rhs1" localSheetId="36" hidden="1">integer</definedName>
    <definedName name="solver_rhs1" localSheetId="16" hidden="1">Investing!$I$19</definedName>
    <definedName name="solver_rhs1" localSheetId="12" hidden="1">LP!$F$15</definedName>
    <definedName name="solver_rhs1" localSheetId="37" hidden="1">integer</definedName>
    <definedName name="solver_rhs1" localSheetId="25" hidden="1">MLB!$K$13:$N$13</definedName>
    <definedName name="solver_rhs1" localSheetId="24" hidden="1">'New Hire'!$B$22:$E$22</definedName>
    <definedName name="solver_rhs1" localSheetId="32" hidden="1">binary</definedName>
    <definedName name="solver_rhs1" localSheetId="14" hidden="1">PC!$F$21</definedName>
    <definedName name="solver_rhs1" localSheetId="31" hidden="1">integer</definedName>
    <definedName name="solver_rhs1" localSheetId="39" hidden="1">binary</definedName>
    <definedName name="solver_rhs1" localSheetId="40" hidden="1">Sheet12!$I$36:$P$36</definedName>
    <definedName name="solver_rhs1" localSheetId="13" hidden="1">Task1!$F$11</definedName>
    <definedName name="solver_rhs1" localSheetId="15" hidden="1">Task2!$F$20:$F$21</definedName>
    <definedName name="solver_rhs1" localSheetId="19" hidden="1">Task3!$N$19:$N$23</definedName>
    <definedName name="solver_rhs1" localSheetId="20" hidden="1">Task4!$F$14:$F$15</definedName>
    <definedName name="solver_rhs1" localSheetId="23" hidden="1">Task5!$K$16:$K$18</definedName>
    <definedName name="solver_rhs1" localSheetId="27" hidden="1">'Task6 Q1'!$D$13:$D$14</definedName>
    <definedName name="solver_rhs1" localSheetId="28" hidden="1">'Task6 q2'!$G$11:$I$11</definedName>
    <definedName name="solver_rhs1" localSheetId="33" hidden="1">binary</definedName>
    <definedName name="solver_rhs1" localSheetId="26" hidden="1">Teachers!$K$16:$N$16</definedName>
    <definedName name="solver_rhs1" localSheetId="21" hidden="1">'TP1'!$C$7:$E$7</definedName>
    <definedName name="solver_rhs1" localSheetId="22" hidden="1">'Tp2'!$K$16:$K$18</definedName>
    <definedName name="solver_rhs1" localSheetId="18" hidden="1">Transport!$X$21:$X$23</definedName>
    <definedName name="solver_rhs2" localSheetId="29" hidden="1">Ads!$F$16</definedName>
    <definedName name="solver_rhs2" localSheetId="38" hidden="1">Burger!$E$18</definedName>
    <definedName name="solver_rhs2" localSheetId="35" hidden="1">cell!$F$13</definedName>
    <definedName name="solver_rhs2" localSheetId="30" hidden="1">Coffee!$F$16:$F$18</definedName>
    <definedName name="solver_rhs2" localSheetId="34" hidden="1">Funds!$F$19</definedName>
    <definedName name="solver_rhs2" localSheetId="36" hidden="1">Hotdog!$E$18</definedName>
    <definedName name="solver_rhs2" localSheetId="16" hidden="1">Investing!$I$20</definedName>
    <definedName name="solver_rhs2" localSheetId="12" hidden="1">LP!$F$16</definedName>
    <definedName name="solver_rhs2" localSheetId="37" hidden="1">Mbook!$F$12:$F$13</definedName>
    <definedName name="solver_rhs2" localSheetId="25" hidden="1">0</definedName>
    <definedName name="solver_rhs2" localSheetId="24" hidden="1">'New Hire'!$H$17:$H$19</definedName>
    <definedName name="solver_rhs2" localSheetId="32" hidden="1">Oil!$O$12</definedName>
    <definedName name="solver_rhs2" localSheetId="14" hidden="1">PC!$F$22</definedName>
    <definedName name="solver_rhs2" localSheetId="31" hidden="1">Posters!$F$13:$F$15</definedName>
    <definedName name="solver_rhs2" localSheetId="39" hidden="1">pro!$P$26:$P$28</definedName>
    <definedName name="solver_rhs2" localSheetId="40" hidden="1">Sheet12!$S$22:$S$33</definedName>
    <definedName name="solver_rhs2" localSheetId="13" hidden="1">Task1!$F$12</definedName>
    <definedName name="solver_rhs2" localSheetId="23" hidden="1">Task5!$P$4:$P$6</definedName>
    <definedName name="solver_rhs2" localSheetId="27" hidden="1">'Task6 Q1'!$I$6:$I$8</definedName>
    <definedName name="solver_rhs2" localSheetId="28" hidden="1">'Task6 q2'!$L$6:$L$8</definedName>
    <definedName name="solver_rhs2" localSheetId="33" hidden="1">Task7!$J$21:$J$28</definedName>
    <definedName name="solver_rhs2" localSheetId="26" hidden="1">Teachers!$Q$10:$Q$13</definedName>
    <definedName name="solver_rhs2" localSheetId="21" hidden="1">'TP1'!$F$4:$F$6</definedName>
    <definedName name="solver_rhs2" localSheetId="22" hidden="1">'Tp2'!$P$4:$P$6</definedName>
    <definedName name="solver_rhs2" localSheetId="18" hidden="1">Transport!$X$24:$X$28</definedName>
    <definedName name="solver_rhs3" localSheetId="29" hidden="1">Ads!$F$17:$F$18</definedName>
    <definedName name="solver_rhs3" localSheetId="16" hidden="1">Investing!$I$21</definedName>
    <definedName name="solver_rhs3" localSheetId="12" hidden="1">LP!$F$17</definedName>
    <definedName name="solver_rhs3" localSheetId="25" hidden="1">MLB!$Q$7:$Q$10</definedName>
    <definedName name="solver_rhs3" localSheetId="32" hidden="1">Oil!$O$13</definedName>
    <definedName name="solver_rhs3" localSheetId="14" hidden="1">PC!$F$23</definedName>
    <definedName name="solver_rhs3" localSheetId="39" hidden="1">pro!$P$29</definedName>
    <definedName name="solver_rhs3" localSheetId="40" hidden="1">0</definedName>
    <definedName name="solver_rhs4" localSheetId="16" hidden="1">Investing!$I$22</definedName>
    <definedName name="solver_rhs4" localSheetId="12" hidden="1">LP!$F$18</definedName>
    <definedName name="solver_rhs4" localSheetId="32" hidden="1">Oil!$O$14</definedName>
    <definedName name="solver_rhs4" localSheetId="14" hidden="1">PC!$F$24</definedName>
    <definedName name="solver_rhs4" localSheetId="39" hidden="1">pro!$P$30:$P$32</definedName>
    <definedName name="solver_rhs4" localSheetId="40" hidden="1">0</definedName>
    <definedName name="solver_rhs5" localSheetId="16" hidden="1">Investing!$I$23</definedName>
    <definedName name="solver_rhs5" localSheetId="32" hidden="1">Oil!$O$15</definedName>
    <definedName name="solver_rhs5" localSheetId="40" hidden="1">0</definedName>
    <definedName name="solver_rhs6" localSheetId="40" hidden="1">0</definedName>
    <definedName name="solver_rhs7" localSheetId="40" hidden="1">Sheet12!$I$36:$P$36</definedName>
    <definedName name="solver_rhs8" localSheetId="40" hidden="1">Sheet12!$S$22:$S$33</definedName>
    <definedName name="solver_rlx" localSheetId="29" hidden="1">2</definedName>
    <definedName name="solver_rlx" localSheetId="38" hidden="1">2</definedName>
    <definedName name="solver_rlx" localSheetId="17" hidden="1">2</definedName>
    <definedName name="solver_rlx" localSheetId="35" hidden="1">2</definedName>
    <definedName name="solver_rlx" localSheetId="30" hidden="1">2</definedName>
    <definedName name="solver_rlx" localSheetId="34" hidden="1">2</definedName>
    <definedName name="solver_rlx" localSheetId="36" hidden="1">2</definedName>
    <definedName name="solver_rlx" localSheetId="16" hidden="1">2</definedName>
    <definedName name="solver_rlx" localSheetId="12" hidden="1">2</definedName>
    <definedName name="solver_rlx" localSheetId="37" hidden="1">2</definedName>
    <definedName name="solver_rlx" localSheetId="25" hidden="1">2</definedName>
    <definedName name="solver_rlx" localSheetId="24" hidden="1">2</definedName>
    <definedName name="solver_rlx" localSheetId="32" hidden="1">2</definedName>
    <definedName name="solver_rlx" localSheetId="14" hidden="1">2</definedName>
    <definedName name="solver_rlx" localSheetId="31" hidden="1">2</definedName>
    <definedName name="solver_rlx" localSheetId="39" hidden="1">2</definedName>
    <definedName name="solver_rlx" localSheetId="40" hidden="1">2</definedName>
    <definedName name="solver_rlx" localSheetId="13" hidden="1">2</definedName>
    <definedName name="solver_rlx" localSheetId="15" hidden="1">2</definedName>
    <definedName name="solver_rlx" localSheetId="19" hidden="1">2</definedName>
    <definedName name="solver_rlx" localSheetId="20" hidden="1">2</definedName>
    <definedName name="solver_rlx" localSheetId="23" hidden="1">2</definedName>
    <definedName name="solver_rlx" localSheetId="27" hidden="1">2</definedName>
    <definedName name="solver_rlx" localSheetId="28" hidden="1">2</definedName>
    <definedName name="solver_rlx" localSheetId="33" hidden="1">2</definedName>
    <definedName name="solver_rlx" localSheetId="26" hidden="1">2</definedName>
    <definedName name="solver_rlx" localSheetId="21" hidden="1">2</definedName>
    <definedName name="solver_rlx" localSheetId="22" hidden="1">2</definedName>
    <definedName name="solver_rlx" localSheetId="18" hidden="1">2</definedName>
    <definedName name="solver_rsd" localSheetId="29" hidden="1">0</definedName>
    <definedName name="solver_rsd" localSheetId="38" hidden="1">0</definedName>
    <definedName name="solver_rsd" localSheetId="17" hidden="1">0</definedName>
    <definedName name="solver_rsd" localSheetId="35" hidden="1">0</definedName>
    <definedName name="solver_rsd" localSheetId="30" hidden="1">0</definedName>
    <definedName name="solver_rsd" localSheetId="34" hidden="1">0</definedName>
    <definedName name="solver_rsd" localSheetId="36" hidden="1">0</definedName>
    <definedName name="solver_rsd" localSheetId="16" hidden="1">0</definedName>
    <definedName name="solver_rsd" localSheetId="12" hidden="1">0</definedName>
    <definedName name="solver_rsd" localSheetId="37" hidden="1">0</definedName>
    <definedName name="solver_rsd" localSheetId="25" hidden="1">0</definedName>
    <definedName name="solver_rsd" localSheetId="24" hidden="1">0</definedName>
    <definedName name="solver_rsd" localSheetId="32" hidden="1">0</definedName>
    <definedName name="solver_rsd" localSheetId="14" hidden="1">0</definedName>
    <definedName name="solver_rsd" localSheetId="31" hidden="1">0</definedName>
    <definedName name="solver_rsd" localSheetId="39" hidden="1">0</definedName>
    <definedName name="solver_rsd" localSheetId="40" hidden="1">0</definedName>
    <definedName name="solver_rsd" localSheetId="13" hidden="1">0</definedName>
    <definedName name="solver_rsd" localSheetId="15" hidden="1">0</definedName>
    <definedName name="solver_rsd" localSheetId="19" hidden="1">0</definedName>
    <definedName name="solver_rsd" localSheetId="20" hidden="1">0</definedName>
    <definedName name="solver_rsd" localSheetId="23" hidden="1">0</definedName>
    <definedName name="solver_rsd" localSheetId="27" hidden="1">0</definedName>
    <definedName name="solver_rsd" localSheetId="28" hidden="1">0</definedName>
    <definedName name="solver_rsd" localSheetId="33" hidden="1">0</definedName>
    <definedName name="solver_rsd" localSheetId="26" hidden="1">0</definedName>
    <definedName name="solver_rsd" localSheetId="21" hidden="1">0</definedName>
    <definedName name="solver_rsd" localSheetId="22" hidden="1">0</definedName>
    <definedName name="solver_rsd" localSheetId="18" hidden="1">0</definedName>
    <definedName name="solver_scl" localSheetId="29" hidden="1">2</definedName>
    <definedName name="solver_scl" localSheetId="38" hidden="1">1</definedName>
    <definedName name="solver_scl" localSheetId="17" hidden="1">1</definedName>
    <definedName name="solver_scl" localSheetId="35" hidden="1">1</definedName>
    <definedName name="solver_scl" localSheetId="30" hidden="1">1</definedName>
    <definedName name="solver_scl" localSheetId="34" hidden="1">1</definedName>
    <definedName name="solver_scl" localSheetId="36" hidden="1">1</definedName>
    <definedName name="solver_scl" localSheetId="16" hidden="1">1</definedName>
    <definedName name="solver_scl" localSheetId="12" hidden="1">1</definedName>
    <definedName name="solver_scl" localSheetId="37" hidden="1">1</definedName>
    <definedName name="solver_scl" localSheetId="25" hidden="1">1</definedName>
    <definedName name="solver_scl" localSheetId="24" hidden="1">1</definedName>
    <definedName name="solver_scl" localSheetId="32" hidden="1">1</definedName>
    <definedName name="solver_scl" localSheetId="14" hidden="1">1</definedName>
    <definedName name="solver_scl" localSheetId="31" hidden="1">1</definedName>
    <definedName name="solver_scl" localSheetId="39" hidden="1">1</definedName>
    <definedName name="solver_scl" localSheetId="40" hidden="1">1</definedName>
    <definedName name="solver_scl" localSheetId="13" hidden="1">1</definedName>
    <definedName name="solver_scl" localSheetId="15" hidden="1">1</definedName>
    <definedName name="solver_scl" localSheetId="19" hidden="1">1</definedName>
    <definedName name="solver_scl" localSheetId="20" hidden="1">1</definedName>
    <definedName name="solver_scl" localSheetId="23" hidden="1">1</definedName>
    <definedName name="solver_scl" localSheetId="27" hidden="1">1</definedName>
    <definedName name="solver_scl" localSheetId="28" hidden="1">1</definedName>
    <definedName name="solver_scl" localSheetId="33" hidden="1">1</definedName>
    <definedName name="solver_scl" localSheetId="26" hidden="1">1</definedName>
    <definedName name="solver_scl" localSheetId="21" hidden="1">1</definedName>
    <definedName name="solver_scl" localSheetId="22" hidden="1">1</definedName>
    <definedName name="solver_scl" localSheetId="18" hidden="1">1</definedName>
    <definedName name="solver_sho" localSheetId="29" hidden="1">2</definedName>
    <definedName name="solver_sho" localSheetId="38" hidden="1">2</definedName>
    <definedName name="solver_sho" localSheetId="17" hidden="1">2</definedName>
    <definedName name="solver_sho" localSheetId="35" hidden="1">2</definedName>
    <definedName name="solver_sho" localSheetId="30" hidden="1">2</definedName>
    <definedName name="solver_sho" localSheetId="34" hidden="1">2</definedName>
    <definedName name="solver_sho" localSheetId="36" hidden="1">2</definedName>
    <definedName name="solver_sho" localSheetId="16" hidden="1">2</definedName>
    <definedName name="solver_sho" localSheetId="12" hidden="1">2</definedName>
    <definedName name="solver_sho" localSheetId="37" hidden="1">2</definedName>
    <definedName name="solver_sho" localSheetId="25" hidden="1">2</definedName>
    <definedName name="solver_sho" localSheetId="24" hidden="1">2</definedName>
    <definedName name="solver_sho" localSheetId="32" hidden="1">2</definedName>
    <definedName name="solver_sho" localSheetId="14" hidden="1">2</definedName>
    <definedName name="solver_sho" localSheetId="31" hidden="1">2</definedName>
    <definedName name="solver_sho" localSheetId="39" hidden="1">2</definedName>
    <definedName name="solver_sho" localSheetId="40" hidden="1">2</definedName>
    <definedName name="solver_sho" localSheetId="13" hidden="1">2</definedName>
    <definedName name="solver_sho" localSheetId="15" hidden="1">2</definedName>
    <definedName name="solver_sho" localSheetId="19" hidden="1">2</definedName>
    <definedName name="solver_sho" localSheetId="20" hidden="1">2</definedName>
    <definedName name="solver_sho" localSheetId="23" hidden="1">2</definedName>
    <definedName name="solver_sho" localSheetId="27" hidden="1">2</definedName>
    <definedName name="solver_sho" localSheetId="28" hidden="1">2</definedName>
    <definedName name="solver_sho" localSheetId="33" hidden="1">2</definedName>
    <definedName name="solver_sho" localSheetId="26" hidden="1">2</definedName>
    <definedName name="solver_sho" localSheetId="21" hidden="1">2</definedName>
    <definedName name="solver_sho" localSheetId="22" hidden="1">2</definedName>
    <definedName name="solver_sho" localSheetId="18" hidden="1">2</definedName>
    <definedName name="solver_ssz" localSheetId="29" hidden="1">100</definedName>
    <definedName name="solver_ssz" localSheetId="38" hidden="1">100</definedName>
    <definedName name="solver_ssz" localSheetId="17" hidden="1">100</definedName>
    <definedName name="solver_ssz" localSheetId="35" hidden="1">100</definedName>
    <definedName name="solver_ssz" localSheetId="30" hidden="1">100</definedName>
    <definedName name="solver_ssz" localSheetId="34" hidden="1">100</definedName>
    <definedName name="solver_ssz" localSheetId="36" hidden="1">100</definedName>
    <definedName name="solver_ssz" localSheetId="16" hidden="1">100</definedName>
    <definedName name="solver_ssz" localSheetId="12" hidden="1">100</definedName>
    <definedName name="solver_ssz" localSheetId="37" hidden="1">100</definedName>
    <definedName name="solver_ssz" localSheetId="25" hidden="1">100</definedName>
    <definedName name="solver_ssz" localSheetId="24" hidden="1">100</definedName>
    <definedName name="solver_ssz" localSheetId="32" hidden="1">100</definedName>
    <definedName name="solver_ssz" localSheetId="14" hidden="1">100</definedName>
    <definedName name="solver_ssz" localSheetId="31" hidden="1">100</definedName>
    <definedName name="solver_ssz" localSheetId="39" hidden="1">100</definedName>
    <definedName name="solver_ssz" localSheetId="40" hidden="1">100</definedName>
    <definedName name="solver_ssz" localSheetId="13" hidden="1">100</definedName>
    <definedName name="solver_ssz" localSheetId="15" hidden="1">100</definedName>
    <definedName name="solver_ssz" localSheetId="19" hidden="1">100</definedName>
    <definedName name="solver_ssz" localSheetId="20" hidden="1">100</definedName>
    <definedName name="solver_ssz" localSheetId="23" hidden="1">100</definedName>
    <definedName name="solver_ssz" localSheetId="27" hidden="1">100</definedName>
    <definedName name="solver_ssz" localSheetId="28" hidden="1">100</definedName>
    <definedName name="solver_ssz" localSheetId="33" hidden="1">100</definedName>
    <definedName name="solver_ssz" localSheetId="26" hidden="1">100</definedName>
    <definedName name="solver_ssz" localSheetId="21" hidden="1">100</definedName>
    <definedName name="solver_ssz" localSheetId="22" hidden="1">100</definedName>
    <definedName name="solver_ssz" localSheetId="18" hidden="1">100</definedName>
    <definedName name="solver_tim" localSheetId="29" hidden="1">2147483647</definedName>
    <definedName name="solver_tim" localSheetId="38" hidden="1">2147483647</definedName>
    <definedName name="solver_tim" localSheetId="17" hidden="1">2147483647</definedName>
    <definedName name="solver_tim" localSheetId="35" hidden="1">2147483647</definedName>
    <definedName name="solver_tim" localSheetId="30" hidden="1">2147483647</definedName>
    <definedName name="solver_tim" localSheetId="34" hidden="1">2147483647</definedName>
    <definedName name="solver_tim" localSheetId="36" hidden="1">2147483647</definedName>
    <definedName name="solver_tim" localSheetId="16" hidden="1">2147483647</definedName>
    <definedName name="solver_tim" localSheetId="12" hidden="1">2147483647</definedName>
    <definedName name="solver_tim" localSheetId="37" hidden="1">2147483647</definedName>
    <definedName name="solver_tim" localSheetId="25" hidden="1">2147483647</definedName>
    <definedName name="solver_tim" localSheetId="24" hidden="1">2147483647</definedName>
    <definedName name="solver_tim" localSheetId="32" hidden="1">2147483647</definedName>
    <definedName name="solver_tim" localSheetId="14" hidden="1">2147483647</definedName>
    <definedName name="solver_tim" localSheetId="31" hidden="1">2147483647</definedName>
    <definedName name="solver_tim" localSheetId="39" hidden="1">2147483647</definedName>
    <definedName name="solver_tim" localSheetId="40" hidden="1">2147483647</definedName>
    <definedName name="solver_tim" localSheetId="13" hidden="1">2147483647</definedName>
    <definedName name="solver_tim" localSheetId="15" hidden="1">2147483647</definedName>
    <definedName name="solver_tim" localSheetId="19" hidden="1">2147483647</definedName>
    <definedName name="solver_tim" localSheetId="20" hidden="1">2147483647</definedName>
    <definedName name="solver_tim" localSheetId="23" hidden="1">2147483647</definedName>
    <definedName name="solver_tim" localSheetId="27" hidden="1">2147483647</definedName>
    <definedName name="solver_tim" localSheetId="28" hidden="1">2147483647</definedName>
    <definedName name="solver_tim" localSheetId="33" hidden="1">2147483647</definedName>
    <definedName name="solver_tim" localSheetId="26" hidden="1">2147483647</definedName>
    <definedName name="solver_tim" localSheetId="21" hidden="1">2147483647</definedName>
    <definedName name="solver_tim" localSheetId="22" hidden="1">2147483647</definedName>
    <definedName name="solver_tim" localSheetId="18" hidden="1">2147483647</definedName>
    <definedName name="solver_tol" localSheetId="29" hidden="1">0.01</definedName>
    <definedName name="solver_tol" localSheetId="38" hidden="1">0.01</definedName>
    <definedName name="solver_tol" localSheetId="17" hidden="1">0.01</definedName>
    <definedName name="solver_tol" localSheetId="35" hidden="1">0.01</definedName>
    <definedName name="solver_tol" localSheetId="30" hidden="1">0.01</definedName>
    <definedName name="solver_tol" localSheetId="34" hidden="1">0.01</definedName>
    <definedName name="solver_tol" localSheetId="36" hidden="1">0.01</definedName>
    <definedName name="solver_tol" localSheetId="16" hidden="1">0.01</definedName>
    <definedName name="solver_tol" localSheetId="12" hidden="1">0.01</definedName>
    <definedName name="solver_tol" localSheetId="37" hidden="1">0.01</definedName>
    <definedName name="solver_tol" localSheetId="25" hidden="1">0.01</definedName>
    <definedName name="solver_tol" localSheetId="24" hidden="1">0.01</definedName>
    <definedName name="solver_tol" localSheetId="32" hidden="1">0.01</definedName>
    <definedName name="solver_tol" localSheetId="14" hidden="1">0.01</definedName>
    <definedName name="solver_tol" localSheetId="31" hidden="1">0.01</definedName>
    <definedName name="solver_tol" localSheetId="39" hidden="1">0.01</definedName>
    <definedName name="solver_tol" localSheetId="40" hidden="1">0.01</definedName>
    <definedName name="solver_tol" localSheetId="13" hidden="1">0.01</definedName>
    <definedName name="solver_tol" localSheetId="15" hidden="1">0.01</definedName>
    <definedName name="solver_tol" localSheetId="19" hidden="1">0.01</definedName>
    <definedName name="solver_tol" localSheetId="20" hidden="1">0.01</definedName>
    <definedName name="solver_tol" localSheetId="23" hidden="1">0.01</definedName>
    <definedName name="solver_tol" localSheetId="27" hidden="1">0.01</definedName>
    <definedName name="solver_tol" localSheetId="28" hidden="1">0.01</definedName>
    <definedName name="solver_tol" localSheetId="33" hidden="1">0.01</definedName>
    <definedName name="solver_tol" localSheetId="26" hidden="1">0.01</definedName>
    <definedName name="solver_tol" localSheetId="21" hidden="1">0.01</definedName>
    <definedName name="solver_tol" localSheetId="22" hidden="1">0.01</definedName>
    <definedName name="solver_tol" localSheetId="18" hidden="1">0.01</definedName>
    <definedName name="solver_typ" localSheetId="29" hidden="1">1</definedName>
    <definedName name="solver_typ" localSheetId="38" hidden="1">1</definedName>
    <definedName name="solver_typ" localSheetId="17" hidden="1">2</definedName>
    <definedName name="solver_typ" localSheetId="35" hidden="1">1</definedName>
    <definedName name="solver_typ" localSheetId="30" hidden="1">1</definedName>
    <definedName name="solver_typ" localSheetId="34" hidden="1">2</definedName>
    <definedName name="solver_typ" localSheetId="36" hidden="1">1</definedName>
    <definedName name="solver_typ" localSheetId="16" hidden="1">1</definedName>
    <definedName name="solver_typ" localSheetId="12" hidden="1">1</definedName>
    <definedName name="solver_typ" localSheetId="37" hidden="1">1</definedName>
    <definedName name="solver_typ" localSheetId="25" hidden="1">2</definedName>
    <definedName name="solver_typ" localSheetId="24" hidden="1">2</definedName>
    <definedName name="solver_typ" localSheetId="32" hidden="1">1</definedName>
    <definedName name="solver_typ" localSheetId="14" hidden="1">1</definedName>
    <definedName name="solver_typ" localSheetId="31" hidden="1">1</definedName>
    <definedName name="solver_typ" localSheetId="39" hidden="1">1</definedName>
    <definedName name="solver_typ" localSheetId="40" hidden="1">1</definedName>
    <definedName name="solver_typ" localSheetId="13" hidden="1">1</definedName>
    <definedName name="solver_typ" localSheetId="15" hidden="1">1</definedName>
    <definedName name="solver_typ" localSheetId="19" hidden="1">2</definedName>
    <definedName name="solver_typ" localSheetId="20" hidden="1">1</definedName>
    <definedName name="solver_typ" localSheetId="23" hidden="1">2</definedName>
    <definedName name="solver_typ" localSheetId="27" hidden="1">2</definedName>
    <definedName name="solver_typ" localSheetId="28" hidden="1">1</definedName>
    <definedName name="solver_typ" localSheetId="33" hidden="1">2</definedName>
    <definedName name="solver_typ" localSheetId="26" hidden="1">1</definedName>
    <definedName name="solver_typ" localSheetId="21" hidden="1">2</definedName>
    <definedName name="solver_typ" localSheetId="22" hidden="1">2</definedName>
    <definedName name="solver_typ" localSheetId="18" hidden="1">2</definedName>
    <definedName name="solver_val" localSheetId="29" hidden="1">0</definedName>
    <definedName name="solver_val" localSheetId="38" hidden="1">0</definedName>
    <definedName name="solver_val" localSheetId="17" hidden="1">0</definedName>
    <definedName name="solver_val" localSheetId="35" hidden="1">0</definedName>
    <definedName name="solver_val" localSheetId="30" hidden="1">0</definedName>
    <definedName name="solver_val" localSheetId="34" hidden="1">0</definedName>
    <definedName name="solver_val" localSheetId="36" hidden="1">0</definedName>
    <definedName name="solver_val" localSheetId="16" hidden="1">0</definedName>
    <definedName name="solver_val" localSheetId="12" hidden="1">0</definedName>
    <definedName name="solver_val" localSheetId="37" hidden="1">0</definedName>
    <definedName name="solver_val" localSheetId="25" hidden="1">0</definedName>
    <definedName name="solver_val" localSheetId="24" hidden="1">0</definedName>
    <definedName name="solver_val" localSheetId="32" hidden="1">0</definedName>
    <definedName name="solver_val" localSheetId="14" hidden="1">0</definedName>
    <definedName name="solver_val" localSheetId="31" hidden="1">0</definedName>
    <definedName name="solver_val" localSheetId="39" hidden="1">0</definedName>
    <definedName name="solver_val" localSheetId="40" hidden="1">0</definedName>
    <definedName name="solver_val" localSheetId="13" hidden="1">0</definedName>
    <definedName name="solver_val" localSheetId="15" hidden="1">0</definedName>
    <definedName name="solver_val" localSheetId="19" hidden="1">0</definedName>
    <definedName name="solver_val" localSheetId="20" hidden="1">0</definedName>
    <definedName name="solver_val" localSheetId="23" hidden="1">0</definedName>
    <definedName name="solver_val" localSheetId="27" hidden="1">0</definedName>
    <definedName name="solver_val" localSheetId="28" hidden="1">0</definedName>
    <definedName name="solver_val" localSheetId="33" hidden="1">0</definedName>
    <definedName name="solver_val" localSheetId="26" hidden="1">0</definedName>
    <definedName name="solver_val" localSheetId="21" hidden="1">0</definedName>
    <definedName name="solver_val" localSheetId="22" hidden="1">0</definedName>
    <definedName name="solver_val" localSheetId="18" hidden="1">0</definedName>
    <definedName name="solver_ver" localSheetId="29" hidden="1">3</definedName>
    <definedName name="solver_ver" localSheetId="38" hidden="1">3</definedName>
    <definedName name="solver_ver" localSheetId="17" hidden="1">3</definedName>
    <definedName name="solver_ver" localSheetId="35" hidden="1">3</definedName>
    <definedName name="solver_ver" localSheetId="30" hidden="1">3</definedName>
    <definedName name="solver_ver" localSheetId="34" hidden="1">3</definedName>
    <definedName name="solver_ver" localSheetId="36" hidden="1">3</definedName>
    <definedName name="solver_ver" localSheetId="16" hidden="1">3</definedName>
    <definedName name="solver_ver" localSheetId="12" hidden="1">3</definedName>
    <definedName name="solver_ver" localSheetId="37" hidden="1">3</definedName>
    <definedName name="solver_ver" localSheetId="25" hidden="1">3</definedName>
    <definedName name="solver_ver" localSheetId="24" hidden="1">3</definedName>
    <definedName name="solver_ver" localSheetId="32" hidden="1">3</definedName>
    <definedName name="solver_ver" localSheetId="14" hidden="1">3</definedName>
    <definedName name="solver_ver" localSheetId="31" hidden="1">3</definedName>
    <definedName name="solver_ver" localSheetId="39" hidden="1">3</definedName>
    <definedName name="solver_ver" localSheetId="40" hidden="1">3</definedName>
    <definedName name="solver_ver" localSheetId="13" hidden="1">3</definedName>
    <definedName name="solver_ver" localSheetId="15" hidden="1">3</definedName>
    <definedName name="solver_ver" localSheetId="19" hidden="1">3</definedName>
    <definedName name="solver_ver" localSheetId="20" hidden="1">3</definedName>
    <definedName name="solver_ver" localSheetId="23" hidden="1">3</definedName>
    <definedName name="solver_ver" localSheetId="27" hidden="1">3</definedName>
    <definedName name="solver_ver" localSheetId="28" hidden="1">3</definedName>
    <definedName name="solver_ver" localSheetId="33" hidden="1">3</definedName>
    <definedName name="solver_ver" localSheetId="26" hidden="1">3</definedName>
    <definedName name="solver_ver" localSheetId="21" hidden="1">3</definedName>
    <definedName name="solver_ver" localSheetId="22" hidden="1">3</definedName>
    <definedName name="solver_ver" localSheetId="18" hidden="1">3</definedName>
  </definedNames>
  <calcPr calcId="144525"/>
</workbook>
</file>

<file path=xl/calcChain.xml><?xml version="1.0" encoding="utf-8"?>
<calcChain xmlns="http://schemas.openxmlformats.org/spreadsheetml/2006/main">
  <c r="E20" i="41" l="1"/>
  <c r="J34" i="41"/>
  <c r="K34" i="41"/>
  <c r="L34" i="41"/>
  <c r="M34" i="41"/>
  <c r="N34" i="41"/>
  <c r="O34" i="41"/>
  <c r="P34" i="41"/>
  <c r="I34" i="41"/>
  <c r="Q23" i="41"/>
  <c r="Q24" i="41"/>
  <c r="Q25" i="41"/>
  <c r="Q26" i="41"/>
  <c r="Q27" i="41"/>
  <c r="Q28" i="41"/>
  <c r="Q29" i="41"/>
  <c r="Q30" i="41"/>
  <c r="Q31" i="41"/>
  <c r="Q32" i="41"/>
  <c r="Q33" i="41"/>
  <c r="Q22" i="41"/>
  <c r="N31" i="40"/>
  <c r="N32" i="40"/>
  <c r="N30" i="40"/>
  <c r="N27" i="40" l="1"/>
  <c r="N28" i="40"/>
  <c r="N26" i="40"/>
  <c r="N29" i="40" l="1"/>
  <c r="B23" i="40"/>
  <c r="B7" i="39" l="1"/>
  <c r="E18" i="39" s="1"/>
  <c r="D13" i="38"/>
  <c r="D12" i="38"/>
  <c r="B9" i="38"/>
  <c r="E18" i="37"/>
  <c r="B8" i="37"/>
  <c r="B10" i="37" s="1"/>
  <c r="B7" i="37"/>
  <c r="C18" i="37" s="1"/>
  <c r="D6" i="36"/>
  <c r="E6" i="36"/>
  <c r="D13" i="36"/>
  <c r="D19" i="35"/>
  <c r="D18" i="35"/>
  <c r="D11" i="35"/>
  <c r="C11" i="35"/>
  <c r="B11" i="35"/>
  <c r="H22" i="34"/>
  <c r="H23" i="34"/>
  <c r="H24" i="34"/>
  <c r="H25" i="34"/>
  <c r="H26" i="34"/>
  <c r="H27" i="34"/>
  <c r="H28" i="34"/>
  <c r="H21" i="34"/>
  <c r="B18" i="34"/>
  <c r="M15" i="33"/>
  <c r="M14" i="33"/>
  <c r="M13" i="33"/>
  <c r="M12" i="33"/>
  <c r="F9" i="33"/>
  <c r="D15" i="32"/>
  <c r="D14" i="32"/>
  <c r="D13" i="32"/>
  <c r="B10" i="32"/>
  <c r="D17" i="31"/>
  <c r="D18" i="31"/>
  <c r="D16" i="31"/>
  <c r="B13" i="31"/>
  <c r="D18" i="30"/>
  <c r="D17" i="30"/>
  <c r="D16" i="30"/>
  <c r="B11" i="30"/>
  <c r="B8" i="39" l="1"/>
  <c r="C18" i="39"/>
  <c r="B10" i="39"/>
  <c r="B12" i="39"/>
  <c r="B12" i="37"/>
  <c r="B15" i="37" s="1"/>
  <c r="D10" i="36"/>
  <c r="B10" i="36"/>
  <c r="B15" i="35"/>
  <c r="E13" i="29"/>
  <c r="H9" i="29"/>
  <c r="I9" i="29"/>
  <c r="G9" i="29"/>
  <c r="J7" i="29"/>
  <c r="J8" i="29"/>
  <c r="J6" i="29"/>
  <c r="G7" i="28"/>
  <c r="G8" i="28"/>
  <c r="G6" i="28"/>
  <c r="B14" i="28"/>
  <c r="B13" i="28"/>
  <c r="M7" i="28"/>
  <c r="H12" i="27"/>
  <c r="L14" i="27"/>
  <c r="M14" i="27"/>
  <c r="N14" i="27"/>
  <c r="K14" i="27"/>
  <c r="O11" i="27"/>
  <c r="O12" i="27"/>
  <c r="O13" i="27"/>
  <c r="O10" i="27"/>
  <c r="H12" i="26"/>
  <c r="L11" i="26"/>
  <c r="M11" i="26"/>
  <c r="N11" i="26"/>
  <c r="K11" i="26"/>
  <c r="O8" i="26"/>
  <c r="O9" i="26"/>
  <c r="O10" i="26"/>
  <c r="O7" i="26"/>
  <c r="L19" i="25"/>
  <c r="C20" i="25"/>
  <c r="D20" i="25"/>
  <c r="E20" i="25"/>
  <c r="B20" i="25"/>
  <c r="F18" i="25"/>
  <c r="F19" i="25"/>
  <c r="F17" i="25"/>
  <c r="I18" i="24"/>
  <c r="I17" i="24"/>
  <c r="I16" i="24"/>
  <c r="N10" i="24"/>
  <c r="N6" i="24"/>
  <c r="N5" i="24"/>
  <c r="N4" i="24"/>
  <c r="I18" i="23"/>
  <c r="I17" i="23"/>
  <c r="I16" i="23"/>
  <c r="N10" i="23"/>
  <c r="N6" i="23"/>
  <c r="N5" i="23"/>
  <c r="N4" i="23"/>
  <c r="N10" i="22"/>
  <c r="N5" i="22"/>
  <c r="N6" i="22"/>
  <c r="N4" i="22"/>
  <c r="I18" i="22"/>
  <c r="I17" i="22"/>
  <c r="I16" i="22"/>
  <c r="B20" i="22"/>
  <c r="D16" i="22"/>
  <c r="E16" i="22"/>
  <c r="C16" i="22"/>
  <c r="F14" i="22"/>
  <c r="F15" i="22"/>
  <c r="F13" i="22"/>
  <c r="D15" i="21"/>
  <c r="D14" i="21"/>
  <c r="B10" i="21"/>
  <c r="L23" i="20"/>
  <c r="L22" i="20"/>
  <c r="L21" i="20"/>
  <c r="L20" i="20"/>
  <c r="B13" i="20"/>
  <c r="B12" i="20"/>
  <c r="L19" i="20"/>
  <c r="V24" i="19"/>
  <c r="V25" i="19"/>
  <c r="V26" i="19"/>
  <c r="V27" i="19"/>
  <c r="V28" i="19"/>
  <c r="V22" i="19"/>
  <c r="V23" i="19"/>
  <c r="V21" i="19"/>
  <c r="B18" i="19"/>
  <c r="B16" i="18"/>
  <c r="E20" i="18"/>
  <c r="E21" i="18"/>
  <c r="E22" i="18"/>
  <c r="E23" i="18"/>
  <c r="E19" i="18"/>
  <c r="I23" i="17"/>
  <c r="G23" i="17"/>
  <c r="G22" i="17"/>
  <c r="I21" i="17"/>
  <c r="G21" i="17"/>
  <c r="I20" i="17"/>
  <c r="G20" i="17"/>
  <c r="G19" i="17"/>
  <c r="B16" i="17"/>
  <c r="D21" i="16"/>
  <c r="D20" i="16"/>
  <c r="D8" i="16"/>
  <c r="B15" i="39" l="1"/>
  <c r="M6" i="28"/>
  <c r="M8" i="28" s="1"/>
  <c r="B14" i="20"/>
  <c r="B15" i="20" s="1"/>
  <c r="D14" i="16"/>
  <c r="D24" i="15"/>
  <c r="D23" i="15"/>
  <c r="D13" i="15"/>
  <c r="D12" i="15"/>
  <c r="D11" i="15"/>
  <c r="D9" i="15"/>
  <c r="D22" i="15"/>
  <c r="D21" i="15"/>
  <c r="D12" i="14"/>
  <c r="D11" i="14"/>
  <c r="B5" i="14"/>
  <c r="D18" i="13"/>
  <c r="D16" i="13"/>
  <c r="D17" i="13"/>
  <c r="B9" i="13"/>
  <c r="D15" i="13"/>
  <c r="D14" i="15" l="1"/>
  <c r="D15" i="15" s="1"/>
  <c r="J18" i="12"/>
  <c r="G18" i="12"/>
  <c r="J7" i="12"/>
  <c r="J8" i="12"/>
  <c r="J9" i="12"/>
  <c r="J10" i="12"/>
  <c r="J11" i="12"/>
  <c r="J12" i="12"/>
  <c r="J13" i="12"/>
  <c r="J14" i="12"/>
  <c r="J15" i="12"/>
  <c r="J16" i="12"/>
  <c r="J17" i="12"/>
  <c r="J6" i="12"/>
  <c r="G7" i="12"/>
  <c r="G8" i="12"/>
  <c r="G9" i="12"/>
  <c r="G10" i="12"/>
  <c r="G11" i="12"/>
  <c r="G12" i="12"/>
  <c r="G13" i="12"/>
  <c r="G14" i="12"/>
  <c r="G15" i="12"/>
  <c r="G16" i="12"/>
  <c r="G17" i="12"/>
  <c r="G6" i="12"/>
  <c r="D7" i="12"/>
  <c r="D8" i="12"/>
  <c r="D9" i="12"/>
  <c r="D10" i="12"/>
  <c r="D11" i="12"/>
  <c r="D12" i="12"/>
  <c r="D13" i="12"/>
  <c r="D14" i="12"/>
  <c r="D15" i="12"/>
  <c r="D16" i="12"/>
  <c r="D17" i="12"/>
  <c r="D6" i="12"/>
  <c r="D18" i="12" l="1"/>
  <c r="F21" i="12" s="1"/>
  <c r="M10" i="11"/>
  <c r="H5" i="11"/>
  <c r="I5" i="11" s="1"/>
  <c r="L4" i="11"/>
  <c r="K4" i="11"/>
  <c r="J4" i="11"/>
  <c r="I4" i="11"/>
  <c r="B10" i="11"/>
  <c r="B8" i="11"/>
  <c r="B11" i="11"/>
  <c r="H4" i="11"/>
  <c r="J80" i="10"/>
  <c r="J79" i="10"/>
  <c r="J78" i="10"/>
  <c r="J77" i="10"/>
  <c r="J76" i="10"/>
  <c r="J75" i="10"/>
  <c r="J74" i="10"/>
  <c r="J73" i="10"/>
  <c r="J72" i="10"/>
  <c r="J71" i="10"/>
  <c r="J70" i="10"/>
  <c r="J69" i="10"/>
  <c r="J68" i="10"/>
  <c r="J67" i="10"/>
  <c r="J66" i="10"/>
  <c r="J65" i="10"/>
  <c r="J64" i="10"/>
  <c r="J63" i="10"/>
  <c r="J62" i="10"/>
  <c r="J61" i="10"/>
  <c r="J60" i="10"/>
  <c r="J59" i="10"/>
  <c r="J58" i="10"/>
  <c r="J57" i="10"/>
  <c r="J56" i="10"/>
  <c r="J55" i="10"/>
  <c r="J54" i="10"/>
  <c r="J53" i="10"/>
  <c r="J52" i="10"/>
  <c r="J51" i="10"/>
  <c r="J50" i="10"/>
  <c r="J49" i="10"/>
  <c r="J48" i="10"/>
  <c r="J47" i="10"/>
  <c r="J46" i="10"/>
  <c r="J45" i="10"/>
  <c r="J44" i="10"/>
  <c r="J43" i="10"/>
  <c r="J42" i="10"/>
  <c r="J41" i="10"/>
  <c r="J40" i="10"/>
  <c r="J39" i="10"/>
  <c r="J38" i="10"/>
  <c r="J37" i="10"/>
  <c r="J36" i="10"/>
  <c r="J35" i="10"/>
  <c r="J34" i="10"/>
  <c r="J33" i="10"/>
  <c r="J32" i="10"/>
  <c r="J31" i="10"/>
  <c r="J30" i="10"/>
  <c r="J29" i="10"/>
  <c r="J28" i="10"/>
  <c r="J27" i="10"/>
  <c r="J26" i="10"/>
  <c r="J25" i="10"/>
  <c r="J24" i="10"/>
  <c r="J23" i="10"/>
  <c r="J22" i="10"/>
  <c r="L50" i="10" s="1"/>
  <c r="E21" i="10"/>
  <c r="F21" i="10" s="1"/>
  <c r="D21" i="10"/>
  <c r="E20" i="10"/>
  <c r="F20" i="10" s="1"/>
  <c r="D20" i="10"/>
  <c r="F19" i="10"/>
  <c r="E19" i="10"/>
  <c r="D19" i="10"/>
  <c r="E18" i="10"/>
  <c r="F18" i="10" s="1"/>
  <c r="D18" i="10"/>
  <c r="E17" i="10"/>
  <c r="F17" i="10" s="1"/>
  <c r="D17" i="10"/>
  <c r="E16" i="10"/>
  <c r="F16" i="10" s="1"/>
  <c r="D16" i="10"/>
  <c r="F15" i="10"/>
  <c r="E15" i="10"/>
  <c r="D15" i="10"/>
  <c r="E14" i="10"/>
  <c r="F14" i="10" s="1"/>
  <c r="D14" i="10"/>
  <c r="E13" i="10"/>
  <c r="F13" i="10" s="1"/>
  <c r="D13" i="10"/>
  <c r="E12" i="10"/>
  <c r="F12" i="10" s="1"/>
  <c r="D12" i="10"/>
  <c r="F11" i="10"/>
  <c r="E11" i="10"/>
  <c r="D11" i="10"/>
  <c r="E10" i="10"/>
  <c r="F10" i="10" s="1"/>
  <c r="D10" i="10"/>
  <c r="E9" i="10"/>
  <c r="F9" i="10" s="1"/>
  <c r="D9" i="10"/>
  <c r="E8" i="10"/>
  <c r="F8" i="10" s="1"/>
  <c r="D8" i="10"/>
  <c r="F7" i="10"/>
  <c r="E7" i="10"/>
  <c r="D7" i="10"/>
  <c r="E6" i="10"/>
  <c r="F6" i="10" s="1"/>
  <c r="D6" i="10"/>
  <c r="E5" i="10"/>
  <c r="F5" i="10" s="1"/>
  <c r="D5" i="10"/>
  <c r="E4" i="10"/>
  <c r="F4" i="10" s="1"/>
  <c r="D4" i="10"/>
  <c r="F3" i="10"/>
  <c r="E3" i="10"/>
  <c r="D3" i="10"/>
  <c r="D22" i="10" s="1"/>
  <c r="E2" i="10"/>
  <c r="F2" i="10" s="1"/>
  <c r="F22" i="10" l="1"/>
  <c r="J82" i="10"/>
  <c r="J5" i="11"/>
  <c r="K5" i="11" s="1"/>
  <c r="L5" i="11" s="1"/>
  <c r="H6" i="11"/>
  <c r="E27" i="10"/>
  <c r="M5" i="11" l="1"/>
  <c r="I6" i="11"/>
  <c r="J6" i="11"/>
  <c r="H7" i="11"/>
  <c r="B5" i="9"/>
  <c r="B16" i="8"/>
  <c r="F10" i="8"/>
  <c r="F11" i="8" s="1"/>
  <c r="F12" i="8" s="1"/>
  <c r="F13" i="8" s="1"/>
  <c r="F14" i="8" s="1"/>
  <c r="F15" i="8" s="1"/>
  <c r="F16" i="8" s="1"/>
  <c r="F17" i="8" s="1"/>
  <c r="F18" i="8" s="1"/>
  <c r="F19" i="8" s="1"/>
  <c r="F20" i="8" s="1"/>
  <c r="F21" i="8" s="1"/>
  <c r="F22" i="8" s="1"/>
  <c r="F23" i="8" s="1"/>
  <c r="F24" i="8" s="1"/>
  <c r="F25" i="8" s="1"/>
  <c r="F26" i="8" s="1"/>
  <c r="F27" i="8" s="1"/>
  <c r="F28" i="8" s="1"/>
  <c r="F9" i="8"/>
  <c r="K6" i="11" l="1"/>
  <c r="L6" i="11" s="1"/>
  <c r="H8" i="11"/>
  <c r="J7" i="11"/>
  <c r="I7" i="11"/>
  <c r="B15" i="8"/>
  <c r="B17" i="8" s="1"/>
  <c r="G11" i="7"/>
  <c r="E8" i="7"/>
  <c r="E7" i="7"/>
  <c r="E6" i="7"/>
  <c r="E5" i="7"/>
  <c r="E4" i="7"/>
  <c r="E3" i="7"/>
  <c r="D6" i="7"/>
  <c r="D7" i="7"/>
  <c r="D8" i="7"/>
  <c r="D4" i="7"/>
  <c r="D9" i="7"/>
  <c r="D3" i="7"/>
  <c r="D5" i="7"/>
  <c r="F8" i="7"/>
  <c r="G8" i="7"/>
  <c r="E9" i="7"/>
  <c r="F4" i="7"/>
  <c r="F5" i="7"/>
  <c r="F6" i="7"/>
  <c r="F7" i="7"/>
  <c r="F3" i="7"/>
  <c r="G4" i="7"/>
  <c r="G5" i="7"/>
  <c r="G6" i="7"/>
  <c r="G7" i="7"/>
  <c r="G3" i="7"/>
  <c r="G9" i="7" s="1"/>
  <c r="B44" i="6"/>
  <c r="B45" i="6" s="1"/>
  <c r="H38" i="6"/>
  <c r="G38" i="6"/>
  <c r="F38" i="6"/>
  <c r="H27" i="6"/>
  <c r="H28" i="6"/>
  <c r="H29" i="6"/>
  <c r="H30" i="6"/>
  <c r="H31" i="6"/>
  <c r="H32" i="6"/>
  <c r="H33" i="6"/>
  <c r="H34" i="6"/>
  <c r="H35" i="6"/>
  <c r="H36" i="6"/>
  <c r="H37" i="6"/>
  <c r="H26" i="6"/>
  <c r="G27" i="6"/>
  <c r="G28" i="6"/>
  <c r="G29" i="6"/>
  <c r="G30" i="6"/>
  <c r="G31" i="6"/>
  <c r="G32" i="6"/>
  <c r="G33" i="6"/>
  <c r="G34" i="6"/>
  <c r="G35" i="6"/>
  <c r="G36" i="6"/>
  <c r="G37" i="6"/>
  <c r="G26" i="6"/>
  <c r="F27" i="6"/>
  <c r="F28" i="6"/>
  <c r="F29" i="6"/>
  <c r="F30" i="6"/>
  <c r="F31" i="6"/>
  <c r="F32" i="6"/>
  <c r="F33" i="6"/>
  <c r="F34" i="6"/>
  <c r="F35" i="6"/>
  <c r="F36" i="6"/>
  <c r="F37" i="6"/>
  <c r="F26" i="6"/>
  <c r="D27" i="6"/>
  <c r="D28" i="6"/>
  <c r="D29" i="6"/>
  <c r="D30" i="6"/>
  <c r="D31" i="6"/>
  <c r="D32" i="6"/>
  <c r="D33" i="6"/>
  <c r="D34" i="6"/>
  <c r="D35" i="6"/>
  <c r="D36" i="6"/>
  <c r="D37" i="6"/>
  <c r="D26" i="6"/>
  <c r="C27" i="6"/>
  <c r="C28" i="6"/>
  <c r="C29" i="6"/>
  <c r="C30" i="6"/>
  <c r="C31" i="6"/>
  <c r="C32" i="6"/>
  <c r="C33" i="6"/>
  <c r="C34" i="6"/>
  <c r="C35" i="6"/>
  <c r="C36" i="6"/>
  <c r="C37" i="6"/>
  <c r="B27" i="6"/>
  <c r="B28" i="6"/>
  <c r="B29" i="6"/>
  <c r="B30" i="6"/>
  <c r="B31" i="6"/>
  <c r="B32" i="6"/>
  <c r="B33" i="6"/>
  <c r="B34" i="6"/>
  <c r="B35" i="6"/>
  <c r="B36" i="6"/>
  <c r="B37" i="6"/>
  <c r="C26" i="6"/>
  <c r="B26" i="6"/>
  <c r="B13" i="5"/>
  <c r="B8" i="5"/>
  <c r="B18" i="5" s="1"/>
  <c r="M6" i="11" l="1"/>
  <c r="K7" i="11"/>
  <c r="L7" i="11" s="1"/>
  <c r="M7" i="11" s="1"/>
  <c r="I8" i="11"/>
  <c r="J8" i="11"/>
  <c r="F9" i="7"/>
  <c r="B48" i="6"/>
  <c r="B47" i="6"/>
  <c r="B23" i="5"/>
  <c r="B25" i="5" s="1"/>
  <c r="K8" i="11" l="1"/>
  <c r="L8" i="11" s="1"/>
  <c r="B50" i="6"/>
  <c r="L10" i="11" l="1"/>
  <c r="M8" i="11"/>
  <c r="B14" i="11"/>
  <c r="B15" i="11" s="1"/>
  <c r="J42" i="6"/>
  <c r="I81" i="6"/>
  <c r="B18" i="4" l="1"/>
  <c r="B17" i="4"/>
  <c r="B14" i="4"/>
  <c r="B6" i="4"/>
  <c r="B3" i="4"/>
  <c r="D33" i="3" l="1"/>
  <c r="C33" i="3"/>
  <c r="B33" i="3"/>
  <c r="D32" i="3"/>
  <c r="C32" i="3"/>
  <c r="B32" i="3"/>
  <c r="E33" i="3"/>
  <c r="D31" i="3"/>
  <c r="E31" i="3" s="1"/>
  <c r="C31" i="3"/>
  <c r="B31" i="3"/>
  <c r="D30" i="3"/>
  <c r="C30" i="3"/>
  <c r="F30" i="3" s="1"/>
  <c r="B30" i="3"/>
  <c r="E30" i="3"/>
  <c r="F31" i="3"/>
  <c r="F32" i="3"/>
  <c r="F29" i="3"/>
  <c r="E29" i="3"/>
  <c r="D29" i="3"/>
  <c r="C29" i="3"/>
  <c r="B29" i="3"/>
  <c r="D28" i="3"/>
  <c r="C28" i="3"/>
  <c r="B28" i="3"/>
  <c r="F28" i="3"/>
  <c r="E28" i="3"/>
  <c r="C21" i="3"/>
  <c r="B21" i="3"/>
  <c r="C17" i="3"/>
  <c r="C23" i="3" s="1"/>
  <c r="B17" i="3"/>
  <c r="B23" i="3" s="1"/>
  <c r="B26" i="2"/>
  <c r="B25" i="2"/>
  <c r="B27" i="2" s="1"/>
  <c r="B22" i="2"/>
  <c r="B23" i="2" s="1"/>
  <c r="B13" i="1"/>
  <c r="B20" i="1"/>
  <c r="B21" i="1" s="1"/>
  <c r="B10" i="1"/>
  <c r="B6" i="1"/>
  <c r="F33" i="3" l="1"/>
  <c r="E32" i="3"/>
</calcChain>
</file>

<file path=xl/sharedStrings.xml><?xml version="1.0" encoding="utf-8"?>
<sst xmlns="http://schemas.openxmlformats.org/spreadsheetml/2006/main" count="1144" uniqueCount="538">
  <si>
    <t>Budget</t>
  </si>
  <si>
    <t>Income:</t>
  </si>
  <si>
    <t>Salary:</t>
  </si>
  <si>
    <t xml:space="preserve">Taxes(22%): </t>
  </si>
  <si>
    <t>Medical:</t>
  </si>
  <si>
    <t>Dental:</t>
  </si>
  <si>
    <t>Retirement:</t>
  </si>
  <si>
    <t xml:space="preserve">Net Income: </t>
  </si>
  <si>
    <t xml:space="preserve">Expenses: </t>
  </si>
  <si>
    <t>Food:</t>
  </si>
  <si>
    <t>Rent:</t>
  </si>
  <si>
    <t>Car/Transportation</t>
  </si>
  <si>
    <t>Travel</t>
  </si>
  <si>
    <t>Pet</t>
  </si>
  <si>
    <t>Savings</t>
  </si>
  <si>
    <t>Loan</t>
  </si>
  <si>
    <t>Total Expenses:</t>
  </si>
  <si>
    <t>Net Savings:</t>
  </si>
  <si>
    <t xml:space="preserve">Scenario </t>
  </si>
  <si>
    <t>Randy is a t-shirt vendor who plans to order t-shirts with the names of the NCAA final four teams from a manufacturer and then sell them to fans.  The fixed cost of any order is $750, the variable cost per T-shirt to Randy is $8, and Randy’s selling price is $18.  However, this price will be charged only until a week after the tournament. After that time, Randy figures that the interest in the t-shirts will be low, so he plans to sell all remaining t-shirts, if any, at $6 each.  His best guess is that the demand for the t-shirts during the full price period will be 1500.  He is thinking about ordering 1450 t-shirts, but he wants to build a spreadsheet model that will let him experiment with the uncertain demand and his order quantity.  How should he proceed?</t>
  </si>
  <si>
    <t>NCAA T-Shirt Vendor</t>
  </si>
  <si>
    <t>Givens:</t>
  </si>
  <si>
    <t>Costs:</t>
  </si>
  <si>
    <t xml:space="preserve">Fixed: </t>
  </si>
  <si>
    <t>Variable:</t>
  </si>
  <si>
    <t>per shirt</t>
  </si>
  <si>
    <t>No. of shirts ordered:</t>
  </si>
  <si>
    <t>Total Cost:</t>
  </si>
  <si>
    <t>Revenue:</t>
  </si>
  <si>
    <t>Full Price:</t>
  </si>
  <si>
    <t>Reduced price:</t>
  </si>
  <si>
    <t>Number of shirts sold (FP):</t>
  </si>
  <si>
    <t>Number of shirts sold (RP):</t>
  </si>
  <si>
    <t>Total revenue:</t>
  </si>
  <si>
    <t>Total Profit:</t>
  </si>
  <si>
    <t>Demand:</t>
  </si>
  <si>
    <t>used min function</t>
  </si>
  <si>
    <t>used max function</t>
  </si>
  <si>
    <t>used sum function</t>
  </si>
  <si>
    <t>Scenario</t>
  </si>
  <si>
    <t>The Woodworks Company produces a variety of custom-designed wood furniture, made from either cherry or oak. The company knows that wood prices and labor costs are likely to increase in the future. The table below shows the number of board-feet and labor hours required for a bookshelf, the current costs per board-foot and labor hour, and the anticipated annual increases in these costs. Build a spreadsheet model that enables the company to experiment with the growth rates in wood and labor costs so that a manager can see, both numerically and graphically, how the costs of bookshelves vary in the next few years.</t>
  </si>
  <si>
    <t>Resource</t>
  </si>
  <si>
    <t>Cherry</t>
  </si>
  <si>
    <t>Oak</t>
  </si>
  <si>
    <t>Labor</t>
  </si>
  <si>
    <t>Required per Bookshelf</t>
  </si>
  <si>
    <t>Current Unit Cost</t>
  </si>
  <si>
    <t>Anticipated Annual Cost Increase</t>
  </si>
  <si>
    <t>Woodworks Bookshelf Co.</t>
  </si>
  <si>
    <t>Unit Cost:</t>
  </si>
  <si>
    <t>Board Feet:</t>
  </si>
  <si>
    <t>Materials Cost:</t>
  </si>
  <si>
    <t>No. of labours:</t>
  </si>
  <si>
    <t>Labour rate:</t>
  </si>
  <si>
    <t>Labour Cost:</t>
  </si>
  <si>
    <t>Materials:</t>
  </si>
  <si>
    <t>Labours:</t>
  </si>
  <si>
    <t>Cost Increases:</t>
  </si>
  <si>
    <t>Year</t>
  </si>
  <si>
    <t>Total Cherry</t>
  </si>
  <si>
    <t>Total Oak</t>
  </si>
  <si>
    <t>Number of copiers</t>
  </si>
  <si>
    <t>maximum copies per year</t>
  </si>
  <si>
    <t>daily demand</t>
  </si>
  <si>
    <t>annual demand</t>
  </si>
  <si>
    <t>copies made per year</t>
  </si>
  <si>
    <t>Costs</t>
  </si>
  <si>
    <t>rent</t>
  </si>
  <si>
    <t>copier rental</t>
  </si>
  <si>
    <t>opera cost</t>
  </si>
  <si>
    <t>Total Annual Cost</t>
  </si>
  <si>
    <t>Selling Price</t>
  </si>
  <si>
    <t>Total Annual Revenue</t>
  </si>
  <si>
    <t>Profit</t>
  </si>
  <si>
    <t>Screaming Blue Jays Concert</t>
  </si>
  <si>
    <t>Number of Concerts</t>
  </si>
  <si>
    <t>Concerts Per Week</t>
  </si>
  <si>
    <t>Weeks On Tour</t>
  </si>
  <si>
    <t>Total Concerts</t>
  </si>
  <si>
    <t>Expected Concert Attendance</t>
  </si>
  <si>
    <t>Max Capacity</t>
  </si>
  <si>
    <t>Attendance (%)</t>
  </si>
  <si>
    <t>Tickets Sold</t>
  </si>
  <si>
    <t>Fixed Startup Cost</t>
  </si>
  <si>
    <t>Venue Rental Cost</t>
  </si>
  <si>
    <t>Per show</t>
  </si>
  <si>
    <t>Total Cost</t>
  </si>
  <si>
    <t>Revenue</t>
  </si>
  <si>
    <t>Ticket Price</t>
  </si>
  <si>
    <t>Concession sales</t>
  </si>
  <si>
    <t>Per Person</t>
  </si>
  <si>
    <t>Total Revenue</t>
  </si>
  <si>
    <t>Sold</t>
  </si>
  <si>
    <r>
      <rPr>
        <b/>
        <sz val="20"/>
        <color theme="1"/>
        <rFont val="Calibri"/>
        <family val="2"/>
        <scheme val="minor"/>
      </rPr>
      <t>Scenario</t>
    </r>
    <r>
      <rPr>
        <sz val="11"/>
        <color theme="1"/>
        <rFont val="Calibri"/>
        <family val="2"/>
        <scheme val="minor"/>
      </rPr>
      <t xml:space="preserve">
The 19th Hole sells golf clubs at its golf outlet stores throughout the US.  The company knows that the demand for its club varies considerably with price.  In the last year, the demand at each price level was recorded in the table below
The company wants to estimate the relationship between demand and price and then use this estimated relationship to answer the following questions: 
Assuming the unit cost of producing a set of clubs is $250, and the price must be a multiple of $10, what price should the company charge to maximize its profit?
How does the optimal price depend on the unit cost of producing a set of clubs?
Is the model an accurate representation of reality?
  </t>
    </r>
  </si>
  <si>
    <t>Month</t>
  </si>
  <si>
    <t>Price</t>
  </si>
  <si>
    <t>Demand (00s)</t>
  </si>
  <si>
    <t>Linear:</t>
  </si>
  <si>
    <t>Intercept(b)</t>
  </si>
  <si>
    <t>Slope (m)</t>
  </si>
  <si>
    <t>Power</t>
  </si>
  <si>
    <t>y=ax^b</t>
  </si>
  <si>
    <t>Constant a</t>
  </si>
  <si>
    <t>Exponential b</t>
  </si>
  <si>
    <t>Power:</t>
  </si>
  <si>
    <t>Exponential:</t>
  </si>
  <si>
    <t>y=ae^(bx)</t>
  </si>
  <si>
    <t>Predictions based on models</t>
  </si>
  <si>
    <t>Linear</t>
  </si>
  <si>
    <t>Exponential</t>
  </si>
  <si>
    <t>y=mx+b</t>
  </si>
  <si>
    <t>Absolute Percent error</t>
  </si>
  <si>
    <t>Average</t>
  </si>
  <si>
    <t>Model of the business</t>
  </si>
  <si>
    <t>per set of clubs</t>
  </si>
  <si>
    <t>Sale Price:</t>
  </si>
  <si>
    <t>Multiple by 10</t>
  </si>
  <si>
    <t>From the power model</t>
  </si>
  <si>
    <t>Actual Demand:</t>
  </si>
  <si>
    <t>Cost:</t>
  </si>
  <si>
    <t>Profit:</t>
  </si>
  <si>
    <t>Sell at a price of $530 to get Profit $10,42,213</t>
  </si>
  <si>
    <t>COST</t>
  </si>
  <si>
    <t>DEMAND</t>
  </si>
  <si>
    <t>Revenue (millions of USD)</t>
  </si>
  <si>
    <t>Year Number</t>
  </si>
  <si>
    <t>Power: y=ax^b</t>
  </si>
  <si>
    <t>Exponential: y=ae^(bx)</t>
  </si>
  <si>
    <t>a</t>
  </si>
  <si>
    <t>b</t>
  </si>
  <si>
    <t>Actual Data</t>
  </si>
  <si>
    <t>Forecast</t>
  </si>
  <si>
    <t>Absolute Error</t>
  </si>
  <si>
    <r>
      <rPr>
        <b/>
        <sz val="22"/>
        <color theme="1"/>
        <rFont val="Calibri"/>
        <family val="2"/>
        <scheme val="minor"/>
      </rPr>
      <t>Scenario</t>
    </r>
    <r>
      <rPr>
        <sz val="11"/>
        <color theme="1"/>
        <rFont val="Calibri"/>
        <family val="2"/>
        <scheme val="minor"/>
      </rPr>
      <t xml:space="preserve">
A large drug company, Gopher Drugs, is deciding whether one of its new drugs, Iguazu, is worth pursuing.  Iguazu is in the final stages of development and will be ready to enter the market one year from now.  The final cost of development, to be incurred at the beginning of year 1, is $9.3M.  The company estimates that the demand for Iguazu will gradually grow and then decline over its useful lifetime of 20 years.  Specifically the company expects its gross margins (revenue minus cost) to be $1.2M in year 1, then to increase at an annual rate of 10% through year 8, and finally to decrease at an annual rate of 5% through year 20.  Gopher Drugs wants to develop a spreadsheet model of its 20-year cash flows, assuming its cash flows, other than the initial development cost, are incurred at the end of the respective years.  Using an annual discount rate of 12% for purposes of calculating net present value (NPV), the drug company wants to answer the following questions: 
Is the drug worth pursuing, or should Gopher Drugs abandon it now and not incur the $9.3M development cost?
How do changes in the model change the answer to the prior question?</t>
    </r>
  </si>
  <si>
    <t>Gopher Drugs</t>
  </si>
  <si>
    <t xml:space="preserve">Development Cost: </t>
  </si>
  <si>
    <t>in Million</t>
  </si>
  <si>
    <t>years</t>
  </si>
  <si>
    <t>Lifetime:</t>
  </si>
  <si>
    <t>Year 1 margin:</t>
  </si>
  <si>
    <t>Increase Through year:</t>
  </si>
  <si>
    <t>Rate of increase:</t>
  </si>
  <si>
    <t>Rate of decrease:</t>
  </si>
  <si>
    <t>Discount rate:</t>
  </si>
  <si>
    <t>Gross Margin ($M)</t>
  </si>
  <si>
    <t>End Of Year</t>
  </si>
  <si>
    <t>Cash Flows:</t>
  </si>
  <si>
    <t>(Net) Present Value:</t>
  </si>
  <si>
    <t>Development Cost:</t>
  </si>
  <si>
    <t>Net Present Value:</t>
  </si>
  <si>
    <t>Investment</t>
  </si>
  <si>
    <t>Discount</t>
  </si>
  <si>
    <t>Cash Inflow (end of year)</t>
  </si>
  <si>
    <t>Net Present Value</t>
  </si>
  <si>
    <t>Year no.</t>
  </si>
  <si>
    <t>Average of Seasonally Adjusted Sales</t>
  </si>
  <si>
    <t>Percentage of Growth</t>
  </si>
  <si>
    <t>Error</t>
  </si>
  <si>
    <t>Average Growth</t>
  </si>
  <si>
    <t>Exponential curve</t>
  </si>
  <si>
    <t>y=ae^bx</t>
  </si>
  <si>
    <t>Millions</t>
  </si>
  <si>
    <t>1 year</t>
  </si>
  <si>
    <t>units</t>
  </si>
  <si>
    <t>Unit Price</t>
  </si>
  <si>
    <t>Price Unchangable</t>
  </si>
  <si>
    <t>1 to 5</t>
  </si>
  <si>
    <t>Variable costs percent</t>
  </si>
  <si>
    <t>Variable Costs</t>
  </si>
  <si>
    <t>SGA Cost</t>
  </si>
  <si>
    <t>year 1 then Drops 2% annually</t>
  </si>
  <si>
    <t>SGA Cost Percent</t>
  </si>
  <si>
    <t>SGA</t>
  </si>
  <si>
    <t>Present Value</t>
  </si>
  <si>
    <t>Financial Estimates for Potential Projects (in $millions)</t>
  </si>
  <si>
    <t>Project Index</t>
  </si>
  <si>
    <t>Partnership Percentage</t>
  </si>
  <si>
    <t>Capex Year 1</t>
  </si>
  <si>
    <t>Capex Year 2</t>
  </si>
  <si>
    <t>Capex Year 3</t>
  </si>
  <si>
    <t>NPV</t>
  </si>
  <si>
    <t>FA1</t>
  </si>
  <si>
    <t>FA2</t>
  </si>
  <si>
    <t>FA3</t>
  </si>
  <si>
    <r>
      <rPr>
        <b/>
        <sz val="22"/>
        <color theme="1"/>
        <rFont val="Calibri"/>
        <family val="2"/>
        <scheme val="minor"/>
      </rPr>
      <t>Scenario</t>
    </r>
    <r>
      <rPr>
        <sz val="11"/>
        <color theme="1"/>
        <rFont val="Calibri"/>
        <family val="2"/>
        <scheme val="minor"/>
      </rPr>
      <t xml:space="preserve">
Bluejay Natural Gas is a large energy company based out of Baltimore, MD. The company offers a wide range of energy products and has annual revenues of approximately $50 billion. Because of the diverse nature of the company, its Manager for Project Development, Julie Kavoli, is under continual pressure to manage project proposals from the functional areas of the company. At any point in time, there might be dozens of projects at various stages requiring a wide variety of capital expenditures, promising widely varying future revenue streams, and containing varying degrees of risk. Julie has a difficult balancing act. The company's CEO, Cordelia Kareeni, is very concerned about keeping capital expenditures within a fixed budget and managing risk. The heads of the company's functional areas are less worried about budgets and risks; they are most concerned that their pet projects are approved. Julie also knows that many of the proposed projects, especially those requiring large capital expenditures, must be led by senior project managers with the appropriate experience and skills, and she is keenly aware that the company has only a limited supply of such managers. 
Julie is currently preparing to meet with all parties involved to discuss project proposals for the next three years. She has proposals from the various functional areas for projects they would like to undertake. Each of these is accompanied by a schedule of capital expenditures over the next three years and a financial analysis of the expected revenue streams. These lead to a net present value (NPV) for each proposal, using the company's discount rate of 12%.
Several of the projects, if approved, must be undertaken in joint partnership with another company. For example, if project 3 is approved, Bluejay Natural Gas will take a 50% share in the project, and the other 50% will be shared by a partner.  In this case, Bluejay Natural Gas will only incur 50% of the expenditures and receive only 50% of the revenues.  </t>
    </r>
  </si>
  <si>
    <t xml:space="preserve">Functional Area </t>
  </si>
  <si>
    <t>Discount rate</t>
  </si>
  <si>
    <t>Share 1</t>
  </si>
  <si>
    <t>Share 2</t>
  </si>
  <si>
    <t>Share 3</t>
  </si>
  <si>
    <t>A/N</t>
  </si>
  <si>
    <t>A candidate for mayor has allocated $40,000 for last minute advertising in the days preceding the election.  Two types of ads will be used: radio and television.  Each radio ad costs $200 and reaches an estimated 3000 people.  Each television ad costs $500 and reaches an estimated 7000 people.  The campaigning mayor would like to reach as many people as possible, but she has stipulated that at least 10 ads of each type be used.  Also, the number of radio ads must be at least as great as the number of television ads. 
How many ads of each type should be used?
How many people will be reached?</t>
  </si>
  <si>
    <t>Variables:</t>
  </si>
  <si>
    <t>No. of Radio Ads</t>
  </si>
  <si>
    <t>No. of TV ads</t>
  </si>
  <si>
    <t>Objective (max)</t>
  </si>
  <si>
    <t>Constraint table:</t>
  </si>
  <si>
    <t>LHS</t>
  </si>
  <si>
    <t>RHS</t>
  </si>
  <si>
    <t>Sign</t>
  </si>
  <si>
    <t>Formula()</t>
  </si>
  <si>
    <t>&lt;=</t>
  </si>
  <si>
    <t>coefficients for objects</t>
  </si>
  <si>
    <t>No.of people reached</t>
  </si>
  <si>
    <t>Atleast 10 Radio</t>
  </si>
  <si>
    <t>Atleast 10 TV</t>
  </si>
  <si>
    <t>&gt;=</t>
  </si>
  <si>
    <t>R&gt;=T</t>
  </si>
  <si>
    <t>Summary sentence</t>
  </si>
  <si>
    <t>Purchase 175 Radio Ads and 10 TV ads To reach a maximum of 595,000 people.</t>
  </si>
  <si>
    <t>2X+Y&lt;=120</t>
  </si>
  <si>
    <t>2X+3Y&lt;=240</t>
  </si>
  <si>
    <t>Profit per unit</t>
  </si>
  <si>
    <t>Total profit</t>
  </si>
  <si>
    <r>
      <rPr>
        <b/>
        <sz val="16"/>
        <color theme="1"/>
        <rFont val="Calibri"/>
        <family val="2"/>
        <scheme val="minor"/>
      </rPr>
      <t>Scenario</t>
    </r>
    <r>
      <rPr>
        <sz val="11"/>
        <color theme="1"/>
        <rFont val="Calibri"/>
        <family val="2"/>
        <scheme val="minor"/>
      </rPr>
      <t xml:space="preserve">
The PC Tech company assembles and then tests two models of computers, Basic and XP.  For the coming month, the company wants to decide how many of each model to assemble and then test.  No computers are in inventory from the previous month, and because these models are going to be changed after this month, the company doesn’t want to hold any inventory after this month.  It believes the most it can sell this month are 600 Basics and 1200 XPs.  Each Basic sells for $300 and each XP sells for $450. The cost of component parts for a Basic is $150; for an XP it is $225.  Labor is required for assembly and testing.  There are at most 10,000 assembly hours and 3,000 testing hours available.  Each labor hour for assembling costs $11 and each labor hour for testing costs $15.  Each Basic requires five hours for assembling and one hour for testing.  Each XP requires six hours for assembling and two hours for testing. PC Tech wants to know how many of each model it should produce (assemble and test) to maximize its net profit, but it cannot use more labor hours that are available, and it does not want to produce more than it can sell. 
</t>
    </r>
  </si>
  <si>
    <t>Objective:</t>
  </si>
  <si>
    <t>Constraints:</t>
  </si>
  <si>
    <t>Basic</t>
  </si>
  <si>
    <t>XP</t>
  </si>
  <si>
    <t>Atmost 600 basics</t>
  </si>
  <si>
    <t>Atmost 1200 XPs</t>
  </si>
  <si>
    <t>Total</t>
  </si>
  <si>
    <t>Parts</t>
  </si>
  <si>
    <t>Assembly hours</t>
  </si>
  <si>
    <t>Testing hours</t>
  </si>
  <si>
    <t>Assembling hr</t>
  </si>
  <si>
    <t>Testing hr</t>
  </si>
  <si>
    <t>Assembly cost per hr</t>
  </si>
  <si>
    <t>Testing cost per hr</t>
  </si>
  <si>
    <t>bench</t>
  </si>
  <si>
    <t>tables</t>
  </si>
  <si>
    <t>Labor hours</t>
  </si>
  <si>
    <t>Wood used</t>
  </si>
  <si>
    <t>labor hrs</t>
  </si>
  <si>
    <t>Rate of Return (%)</t>
  </si>
  <si>
    <t>L.A. Municipal Bond</t>
  </si>
  <si>
    <t>Thompson Electronics, Inc.</t>
  </si>
  <si>
    <t>United Aerospace Corp.</t>
  </si>
  <si>
    <t>Palmer Technologies</t>
  </si>
  <si>
    <t>HDN Stock (high risk)</t>
  </si>
  <si>
    <r>
      <rPr>
        <b/>
        <sz val="16"/>
        <color theme="1"/>
        <rFont val="Calibri"/>
        <family val="2"/>
        <scheme val="minor"/>
      </rPr>
      <t>Scenario</t>
    </r>
    <r>
      <rPr>
        <sz val="11"/>
        <color theme="1"/>
        <rFont val="Calibri"/>
        <family val="2"/>
        <scheme val="minor"/>
      </rPr>
      <t xml:space="preserve">
A brokerage firm has been instructed by a client to invest $250,000. The client requests the firm select whatever stocks and bonds they believe are well-rated, but with the following guidelines:
Municipal bonds constitute at least 20% of investment.
At least 40% of the investment is placed in tech stocks.
No more than 50% of the amount invested in municipal bonds should be high risk.
The table below lists the rate of return for five different investment options.</t>
    </r>
  </si>
  <si>
    <t>Objective: (max)</t>
  </si>
  <si>
    <t>x1</t>
  </si>
  <si>
    <t>x2</t>
  </si>
  <si>
    <t>x3</t>
  </si>
  <si>
    <t>x4</t>
  </si>
  <si>
    <t>x5</t>
  </si>
  <si>
    <t>Actual Return:</t>
  </si>
  <si>
    <t>Constraint:</t>
  </si>
  <si>
    <t>Muni 20%</t>
  </si>
  <si>
    <t>40% in tech</t>
  </si>
  <si>
    <t>no more than 50% in high risk</t>
  </si>
  <si>
    <t>Oat Product (units/lb)</t>
  </si>
  <si>
    <t>Enriched Grain (units/lb)</t>
  </si>
  <si>
    <t>Mineral Product (units/lb)</t>
  </si>
  <si>
    <t>Minimum Daily Requirement (units)</t>
  </si>
  <si>
    <t>A</t>
  </si>
  <si>
    <t>B</t>
  </si>
  <si>
    <t>C</t>
  </si>
  <si>
    <t>D</t>
  </si>
  <si>
    <t>E</t>
  </si>
  <si>
    <t>Cost/lb</t>
  </si>
  <si>
    <t>Diet Requirement (Ingredients)</t>
  </si>
  <si>
    <t>Objective: (min)</t>
  </si>
  <si>
    <t>Cost</t>
  </si>
  <si>
    <r>
      <rPr>
        <b/>
        <sz val="14"/>
        <color theme="1"/>
        <rFont val="Calibri"/>
        <family val="2"/>
        <scheme val="minor"/>
      </rPr>
      <t>Scenario</t>
    </r>
    <r>
      <rPr>
        <sz val="11"/>
        <color theme="1"/>
        <rFont val="Calibri"/>
        <family val="2"/>
        <scheme val="minor"/>
      </rPr>
      <t xml:space="preserve">
Johns Hopkins is setting up three Charter schools in Baltimore City: Kyoko HS, Devon HS, and Manny HS. Each high school has a capacity of 900 students. The Mayor hires your company to assign accepted students to these three new high schools.  Busses will be provided to students who live more than walking distance (defined as 1.5 miles) to the schools. Baltimore City has been partitioned into five neighborhoods: A, B, C, D and E.  Kyoko HS is in sector B, Devon HS is in sector C, and Manny HS is in sector E. If a student lives in a sector and is assigned to the high school in that sector, the student can walk to school and does not get a bus. All students must be assigned a school. The table below shows the distance (in miles) from each sector to each school. Minimize the total student miles travelled by bus. </t>
    </r>
  </si>
  <si>
    <t>Sector</t>
  </si>
  <si>
    <t>Distance to Kyoko HS (in Sector B)</t>
  </si>
  <si>
    <t>Distance to Devon HS (in Sector C)</t>
  </si>
  <si>
    <t>Distance to Manny HS (in Sector E)</t>
  </si>
  <si>
    <t>Number of Students</t>
  </si>
  <si>
    <t>AB</t>
  </si>
  <si>
    <t>AC</t>
  </si>
  <si>
    <t>AE</t>
  </si>
  <si>
    <t>BB</t>
  </si>
  <si>
    <t>BC</t>
  </si>
  <si>
    <t>BE</t>
  </si>
  <si>
    <t>CB</t>
  </si>
  <si>
    <t>CC</t>
  </si>
  <si>
    <t>CE</t>
  </si>
  <si>
    <t>DB</t>
  </si>
  <si>
    <t>DC</t>
  </si>
  <si>
    <t>DE</t>
  </si>
  <si>
    <t>EB</t>
  </si>
  <si>
    <t>EC</t>
  </si>
  <si>
    <t>EE</t>
  </si>
  <si>
    <t>Objective (min)</t>
  </si>
  <si>
    <t>&lt;--miles</t>
  </si>
  <si>
    <t>Student miles</t>
  </si>
  <si>
    <t>Constraints</t>
  </si>
  <si>
    <t>900 in B</t>
  </si>
  <si>
    <t>900 in C</t>
  </si>
  <si>
    <t>900 in E</t>
  </si>
  <si>
    <t>700 in A</t>
  </si>
  <si>
    <t>500 in B</t>
  </si>
  <si>
    <t>100 in C</t>
  </si>
  <si>
    <t>800 in D</t>
  </si>
  <si>
    <t>400 in E</t>
  </si>
  <si>
    <t>=</t>
  </si>
  <si>
    <r>
      <rPr>
        <b/>
        <sz val="11"/>
        <color theme="1"/>
        <rFont val="Calibri"/>
        <family val="2"/>
        <scheme val="minor"/>
      </rPr>
      <t>Scenario</t>
    </r>
    <r>
      <rPr>
        <sz val="11"/>
        <color theme="1"/>
        <rFont val="Calibri"/>
        <family val="2"/>
        <scheme val="minor"/>
      </rPr>
      <t xml:space="preserve">
A bus company believes that it will need the following number of bus drivers during each of the next five years: 60 drivers in year 1, 70 drivers in year 2, 50 drivers in year 3, 65 drivers in year 4; and 75 drivers in year 5.
At the beginning of each year, the bus company must decide how many new drivers to hire and how many current drivers to fire. It costs $4000 to hire a new driver and $2000 to fire a current driver. A driver's salary is $10,000 per year.
At the beginning of year 1, the company has 50 drivers. A driver hired at the beginning of a year can be used to meet the current year's requirements and is paid full salary for the current year.
As a consultant for the bus company, you have been asked to determine how to minimize the bus company's total costs (which include salary, hiring, and firing costs) over the next five years.</t>
    </r>
  </si>
  <si>
    <t>Variables</t>
  </si>
  <si>
    <t>hire</t>
  </si>
  <si>
    <t>fire</t>
  </si>
  <si>
    <t>Drivers</t>
  </si>
  <si>
    <t>Salary</t>
  </si>
  <si>
    <t>Labor p</t>
  </si>
  <si>
    <t>y1</t>
  </si>
  <si>
    <t>y2</t>
  </si>
  <si>
    <t>y3</t>
  </si>
  <si>
    <t>y4</t>
  </si>
  <si>
    <t>y5</t>
  </si>
  <si>
    <t>H cost</t>
  </si>
  <si>
    <t>F cost</t>
  </si>
  <si>
    <r>
      <rPr>
        <b/>
        <sz val="16"/>
        <color theme="1"/>
        <rFont val="Calibri"/>
        <family val="2"/>
        <scheme val="minor"/>
      </rPr>
      <t>Scenario</t>
    </r>
    <r>
      <rPr>
        <sz val="11"/>
        <color theme="1"/>
        <rFont val="Calibri"/>
        <family val="2"/>
        <scheme val="minor"/>
      </rPr>
      <t xml:space="preserve">
A Nike factory in Hanover, MD, makes soccer balls and basketballs. A soccer ball takes 1.5 hours of machine time and 3 hours of a worker's time in its making while a basketball takes 3 hours of machine time and 1 hour of a worker's time. In a day, the factory can produce no more than 42 hours of machine time and 24 hours of worker's time. The profit on a soccer ball is $20 and the profit on a basketball is $10. The manager wants to maximize the daily profit.</t>
    </r>
  </si>
  <si>
    <t>Soccerballs</t>
  </si>
  <si>
    <t>basket balls</t>
  </si>
  <si>
    <t>mt</t>
  </si>
  <si>
    <t>wt</t>
  </si>
  <si>
    <t>Data table</t>
  </si>
  <si>
    <t>Des Moine</t>
  </si>
  <si>
    <t>Evanston</t>
  </si>
  <si>
    <t>Lauderdale</t>
  </si>
  <si>
    <t>Albany</t>
  </si>
  <si>
    <t>Boston</t>
  </si>
  <si>
    <t>Cleveland</t>
  </si>
  <si>
    <t>Output</t>
  </si>
  <si>
    <t>Demand</t>
  </si>
  <si>
    <t>Sources</t>
  </si>
  <si>
    <t>Destinations</t>
  </si>
  <si>
    <t>Shipment table</t>
  </si>
  <si>
    <t>Total cost</t>
  </si>
  <si>
    <t>Origin</t>
  </si>
  <si>
    <t>Destination</t>
  </si>
  <si>
    <t>Unit cost</t>
  </si>
  <si>
    <t>Shipment</t>
  </si>
  <si>
    <t>Supply c</t>
  </si>
  <si>
    <t>Outflow</t>
  </si>
  <si>
    <t>sign</t>
  </si>
  <si>
    <t>capacity</t>
  </si>
  <si>
    <t>Demand c</t>
  </si>
  <si>
    <t>Inflow</t>
  </si>
  <si>
    <t>Capacity</t>
  </si>
  <si>
    <t>plant 1</t>
  </si>
  <si>
    <t>plant 2</t>
  </si>
  <si>
    <t>plant 3</t>
  </si>
  <si>
    <t>Project A</t>
  </si>
  <si>
    <t>Project B</t>
  </si>
  <si>
    <t>Project C</t>
  </si>
  <si>
    <r>
      <rPr>
        <b/>
        <sz val="16"/>
        <color theme="1"/>
        <rFont val="Calibri"/>
        <family val="2"/>
        <scheme val="minor"/>
      </rPr>
      <t>Scenario</t>
    </r>
    <r>
      <rPr>
        <sz val="11"/>
        <color theme="1"/>
        <rFont val="Calibri"/>
        <family val="2"/>
        <scheme val="minor"/>
      </rPr>
      <t xml:space="preserve">
A company has three new hires: Jones, Smith, and Wilson. They can be sent to any one of four offices: in Omaha, Dallas, New York, or Miami. Only one candidate can be sent to each office. The cost to relocate each candidate to each of the offices is shown in the table below.</t>
    </r>
  </si>
  <si>
    <t>Omaha</t>
  </si>
  <si>
    <t>Miami</t>
  </si>
  <si>
    <t>Dallas</t>
  </si>
  <si>
    <t>New York</t>
  </si>
  <si>
    <t>Jones</t>
  </si>
  <si>
    <t>Smith</t>
  </si>
  <si>
    <t>Wilson</t>
  </si>
  <si>
    <r>
      <rPr>
        <b/>
        <sz val="16"/>
        <color theme="1"/>
        <rFont val="Calibri"/>
        <family val="2"/>
        <scheme val="minor"/>
      </rPr>
      <t>Scenario</t>
    </r>
    <r>
      <rPr>
        <sz val="11"/>
        <color theme="1"/>
        <rFont val="Calibri"/>
        <family val="2"/>
        <scheme val="minor"/>
      </rPr>
      <t xml:space="preserve">
Crews of Major League Baseball (MLB) umpires are currently in the cities of Seattle, Arlington, Oakland, and Baltimore. The crews need to get sent to games that are soon beginning in Kansas City, Chicago, Detroit, and Toronto. Estimated travel distances (in miles) between the cities are shown in the table below.
Due to a union requirement, the MLB is not allowed to send any crew from Oakland to Toronto.
Assign one umpire crew to each city (only one per city) to minimize the total distance traveled.</t>
    </r>
  </si>
  <si>
    <t>Chicago</t>
  </si>
  <si>
    <t>Detroit</t>
  </si>
  <si>
    <t>Toronto</t>
  </si>
  <si>
    <t>Seattle</t>
  </si>
  <si>
    <t>Arlington</t>
  </si>
  <si>
    <t>Oakland</t>
  </si>
  <si>
    <t>X</t>
  </si>
  <si>
    <t>Baltimore</t>
  </si>
  <si>
    <t>Kansas</t>
  </si>
  <si>
    <t>Assignment table</t>
  </si>
  <si>
    <t>objective</t>
  </si>
  <si>
    <t>min</t>
  </si>
  <si>
    <t>Distance</t>
  </si>
  <si>
    <r>
      <rPr>
        <b/>
        <sz val="14"/>
        <color theme="1"/>
        <rFont val="Calibri"/>
        <family val="2"/>
        <scheme val="minor"/>
      </rPr>
      <t>Scenario</t>
    </r>
    <r>
      <rPr>
        <sz val="11"/>
        <color theme="1"/>
        <rFont val="Calibri"/>
        <family val="2"/>
        <scheme val="minor"/>
      </rPr>
      <t xml:space="preserve">
Richard Whiteless, chairman of a college’s business department, has decided to apply a new method in assigning professors to courses next semester. As a criterion for judging who should teach each course, Professor Whiteless reviews the past two years’ teaching evaluations (which were filled out by students). Since each of the four professors taught each of the four courses at one time or another during the two-year period, Whiteless is able to record a course rating for each instructor. These ratings are shown in the following table. Find the best assignment of professors to courses to maximize the overall teaching rating.</t>
    </r>
  </si>
  <si>
    <t>Statistics</t>
  </si>
  <si>
    <t>Management</t>
  </si>
  <si>
    <t>Finance</t>
  </si>
  <si>
    <t>Economics</t>
  </si>
  <si>
    <t>Bain</t>
  </si>
  <si>
    <t>Carey</t>
  </si>
  <si>
    <t>Dio</t>
  </si>
  <si>
    <t>Powell</t>
  </si>
  <si>
    <t>Teaching Rating</t>
  </si>
  <si>
    <r>
      <rPr>
        <b/>
        <sz val="16"/>
        <color theme="1"/>
        <rFont val="Calibri"/>
        <family val="2"/>
        <scheme val="minor"/>
      </rPr>
      <t>Scenario</t>
    </r>
    <r>
      <rPr>
        <sz val="11"/>
        <color theme="1"/>
        <rFont val="Calibri"/>
        <family val="2"/>
        <scheme val="minor"/>
      </rPr>
      <t xml:space="preserve">
Maxie and Bianca own Umbrella Corporation, LLC, and they are the top producers of high quality Johns Hopkins Basketball jerseys. Despite prior team records, these jerseys are in hot demand. 
Maxie and Bianca operate two factories, Factory 1 and Factory 2. They have large orders from retail stores in three locations: Store A, Store B, and Store C. The transportation costs from Factory 1 to the three stores are $22, 14, and $30 per jersey, respectively. The transportation costs from Factory 2 to the three stores are $16, $20, and $24 per jerrespectively. Factory 1 can produce at most 100 jerseys in a week. Factory 2 can produce at most 120 jerseys in a week.  Stores A, B and C demand 80, 60, and 70 jerseys each week. 
The manufacturing costs are $6.00 per jersey at Factory 1 and $6.25 per jersey at Factory 2.
Maxie and Bianca are savvy businesswomen and want to minimize their costs. Find the number of jerseys that should be shipped from each factory to each store such that the total costs from transportation and manufacturing are minimized.</t>
    </r>
  </si>
  <si>
    <t>F1</t>
  </si>
  <si>
    <t>F2</t>
  </si>
  <si>
    <t>S A</t>
  </si>
  <si>
    <t>S B</t>
  </si>
  <si>
    <t>S C</t>
  </si>
  <si>
    <t>per unit</t>
  </si>
  <si>
    <t>SA</t>
  </si>
  <si>
    <t>SB</t>
  </si>
  <si>
    <t>SC</t>
  </si>
  <si>
    <t>F1 unit cost</t>
  </si>
  <si>
    <t>F2 unit cost</t>
  </si>
  <si>
    <t>Manufacturing cost</t>
  </si>
  <si>
    <t>Transportation cost</t>
  </si>
  <si>
    <t>To:</t>
  </si>
  <si>
    <t>From:</t>
  </si>
  <si>
    <t>SUM</t>
  </si>
  <si>
    <t>Objective(max)</t>
  </si>
  <si>
    <t>Total Jerseys made</t>
  </si>
  <si>
    <r>
      <rPr>
        <b/>
        <sz val="14"/>
        <color theme="1"/>
        <rFont val="Calibri"/>
        <family val="2"/>
        <scheme val="minor"/>
      </rPr>
      <t>Scenario</t>
    </r>
    <r>
      <rPr>
        <sz val="11"/>
        <color theme="1"/>
        <rFont val="Calibri"/>
        <family val="2"/>
        <scheme val="minor"/>
      </rPr>
      <t xml:space="preserve">
Liz Bailey is the owner of Princess Brides, a wedding dress retailer. She uses radio to market and two types of ads are available – those during prime time and those at other times. Each prime time ad costs $390 and reaches 8,200 people on average. Off-peak ads cost $240 and reach 5,100 people on average. Bailey has a budget of $1800 per week for advertising. She wants at least 2 prime time ads and no more than 6 off-peak ads. Find the best mix of ads to purchase so the most people are reached.</t>
    </r>
  </si>
  <si>
    <t>Princess Brides</t>
  </si>
  <si>
    <t>Peak</t>
  </si>
  <si>
    <t>Off peak</t>
  </si>
  <si>
    <t>People Reached</t>
  </si>
  <si>
    <t>atleast 2 prime ads</t>
  </si>
  <si>
    <t>no more than 6 off peak ads</t>
  </si>
  <si>
    <r>
      <rPr>
        <b/>
        <sz val="16"/>
        <color theme="1"/>
        <rFont val="Calibri"/>
        <family val="2"/>
        <scheme val="minor"/>
      </rPr>
      <t>Scenario</t>
    </r>
    <r>
      <rPr>
        <sz val="11"/>
        <color theme="1"/>
        <rFont val="Calibri"/>
        <family val="2"/>
        <scheme val="minor"/>
      </rPr>
      <t xml:space="preserve">
Bolsa de Café is a specialty coffee shop selling custom blends of coffee using 3 types of beans.  They sell two products: 20 lb bags of blended coffee beans (whole) and individual bags of ground beans sold by the pound in bulk.  The ground beans can be produced in any quantity.  Both bags are composed of three different beans.  The 20lb bags sell for $85 and bags of ground beans sell for $1.50/lb.  Find the number of 20lb bags and number of pounds of ground beans to produce subject to the constraints in the table below so that profit is maximized.</t>
    </r>
  </si>
  <si>
    <t>Bean</t>
  </si>
  <si>
    <t>Units per 20 lb bag</t>
  </si>
  <si>
    <t>Units per lb</t>
  </si>
  <si>
    <t>Amount available (lbs)</t>
  </si>
  <si>
    <t>20lb</t>
  </si>
  <si>
    <t>lb</t>
  </si>
  <si>
    <r>
      <rPr>
        <b/>
        <sz val="11"/>
        <color theme="1"/>
        <rFont val="Calibri"/>
        <family val="2"/>
        <scheme val="minor"/>
      </rPr>
      <t>Scenario</t>
    </r>
    <r>
      <rPr>
        <sz val="11"/>
        <color theme="1"/>
        <rFont val="Calibri"/>
        <family val="2"/>
        <scheme val="minor"/>
      </rPr>
      <t xml:space="preserve">
University art student Hilda Hernandez runs a small business printing and selling wall posters. She sells two sizes of wall posters, a large 3- by 4-foot poster and a smaller 2- by 3-foot poster. The profit earned from the sale of each large poster is $5; each smaller poster earns $7. Because of her classroom schedule, Hilda has the following weekly constraints: (1) up to four large posters can be sold, (2) up to six smaller posters can be sold, and (3) up to 15 hours can be spent on posters during the week, with each large poster requiring 3 hours of work and each smaller one taking 1.5 hour.
With the semester almost over, Hilda plans on taking a 3-month summer vacation to England. She wants to maximize her profit in her final week before leaving, and she doesn’t want to leave any unfinished posters behind. 
</t>
    </r>
  </si>
  <si>
    <t>3/4 poster</t>
  </si>
  <si>
    <t>2/3 poster</t>
  </si>
  <si>
    <t>upto four 3/4</t>
  </si>
  <si>
    <t>upto 6 2/3</t>
  </si>
  <si>
    <t>upto 15 hrs</t>
  </si>
  <si>
    <t>Name</t>
  </si>
  <si>
    <t>Expected Annual Return ($1000)</t>
  </si>
  <si>
    <t>Cost for Block of Shares ($1000)</t>
  </si>
  <si>
    <t>Trans-Texas Oil</t>
  </si>
  <si>
    <t>British Petroleum (BP)</t>
  </si>
  <si>
    <t>Houston Drilling</t>
  </si>
  <si>
    <t>Texas Petroleum</t>
  </si>
  <si>
    <t>San Diego Oil</t>
  </si>
  <si>
    <t>California Petro.</t>
  </si>
  <si>
    <t>Dutch Shell</t>
  </si>
  <si>
    <t>A financial investment firm specializes in recommending oil stock portfolios for clients.  One such client made the following specifications:
At least two Texas oil firms must be in the portfolio
No more than one investment can be made in foreign oil companies (companies outside of the United States).
One of two California oil stocks must be purchased.
Up to $3 million for investing to purchase single blocks of stock per table below. 
Find the allocation of investments to maximize the return.</t>
  </si>
  <si>
    <t>variables</t>
  </si>
  <si>
    <t>x6</t>
  </si>
  <si>
    <t>x7</t>
  </si>
  <si>
    <t>(0,1)</t>
  </si>
  <si>
    <t>Return</t>
  </si>
  <si>
    <t>(1000s)</t>
  </si>
  <si>
    <t>Atleast two Texas</t>
  </si>
  <si>
    <t>Nomore than in f oil</t>
  </si>
  <si>
    <t>one of two Cali</t>
  </si>
  <si>
    <r>
      <rPr>
        <b/>
        <sz val="16"/>
        <color theme="1"/>
        <rFont val="Calibri"/>
        <family val="2"/>
        <scheme val="minor"/>
      </rPr>
      <t>Scenario</t>
    </r>
    <r>
      <rPr>
        <sz val="11"/>
        <color theme="1"/>
        <rFont val="Calibri"/>
        <family val="2"/>
        <scheme val="minor"/>
      </rPr>
      <t xml:space="preserve">
Horizon Wireless, a cellular telephone company, is expanding into a new city. Relay towers are necessary to provide wireless telephone coverage to the different areas of the city. A grid is superimposed on a map of the city to help determine where the towers should be located. The grid consists of 8 areas labeled A through H. Six possible tower locations (numbered L1–L6) have been identified, and each location could serve several areas. The table below indicates the areas served by each of the towers.
Horizon wants to make sure that all areas of the city are served, while minimizing the number of towers that need to be built.</t>
    </r>
  </si>
  <si>
    <t>Tower Location</t>
  </si>
  <si>
    <t>Areas Served</t>
  </si>
  <si>
    <t>L1</t>
  </si>
  <si>
    <t>A, C, D</t>
  </si>
  <si>
    <t>L2</t>
  </si>
  <si>
    <t>B, D, G</t>
  </si>
  <si>
    <t>L3</t>
  </si>
  <si>
    <t>B, C, E, F</t>
  </si>
  <si>
    <t>L4</t>
  </si>
  <si>
    <t>E, F, H</t>
  </si>
  <si>
    <t>L5</t>
  </si>
  <si>
    <t>D, G, H</t>
  </si>
  <si>
    <t>L6</t>
  </si>
  <si>
    <t>A, D, F</t>
  </si>
  <si>
    <t>l1</t>
  </si>
  <si>
    <t>l2</t>
  </si>
  <si>
    <t>l3</t>
  </si>
  <si>
    <t>l4</t>
  </si>
  <si>
    <t>l5</t>
  </si>
  <si>
    <t>l6</t>
  </si>
  <si>
    <t>A,C,D</t>
  </si>
  <si>
    <t>B,D,G</t>
  </si>
  <si>
    <t>B,C,E,F</t>
  </si>
  <si>
    <t>E,F,H</t>
  </si>
  <si>
    <t>D,G,H</t>
  </si>
  <si>
    <t>A,D,H</t>
  </si>
  <si>
    <t>Tower</t>
  </si>
  <si>
    <t>F</t>
  </si>
  <si>
    <t>G</t>
  </si>
  <si>
    <t>H</t>
  </si>
  <si>
    <r>
      <rPr>
        <b/>
        <sz val="16"/>
        <color theme="1"/>
        <rFont val="Calibri"/>
        <family val="2"/>
        <scheme val="minor"/>
      </rPr>
      <t>Scenario</t>
    </r>
    <r>
      <rPr>
        <sz val="11"/>
        <color theme="1"/>
        <rFont val="Calibri"/>
        <family val="2"/>
        <scheme val="minor"/>
      </rPr>
      <t xml:space="preserve">
Ryan, a financial investor for PB&amp;J, is evaluating two stocks in a particular industry.  He want to minimize the variance of a portfolio consisting of these two stocks, but wants to have an expected return of 9%.  After obtaining historical data on past variances and returns, he develops the following non-linear program:
X = proportion of money to invest in Stock 1
Y = proportion of money to invest in Stock 2
All funds must be invested. Historical return on Stock 1 is 11%; Historical return on Stock 2 is 8%.
Min: Var = 0.16x^2+0.2xy+0.9y^2</t>
    </r>
  </si>
  <si>
    <t>x</t>
  </si>
  <si>
    <t>y</t>
  </si>
  <si>
    <t>Variance</t>
  </si>
  <si>
    <t>Non-linear variables:</t>
  </si>
  <si>
    <t>x^2</t>
  </si>
  <si>
    <t>xy</t>
  </si>
  <si>
    <t>y^2</t>
  </si>
  <si>
    <t>Formulas</t>
  </si>
  <si>
    <t>Coefficients</t>
  </si>
  <si>
    <t>All funds invested</t>
  </si>
  <si>
    <t>Exp.return 9%</t>
  </si>
  <si>
    <r>
      <rPr>
        <b/>
        <sz val="16"/>
        <color theme="1"/>
        <rFont val="Calibri"/>
        <family val="2"/>
        <scheme val="minor"/>
      </rPr>
      <t>Scenario</t>
    </r>
    <r>
      <rPr>
        <sz val="11"/>
        <color theme="1"/>
        <rFont val="Calibri"/>
        <family val="2"/>
        <scheme val="minor"/>
      </rPr>
      <t xml:space="preserve">
Motorcross of Wisconsin produces two models of snowmobiles, XJ6 and XJ8.  In any given production-planning week, Motorcross has 40 hours available in its final testing bay.  Each XJ6 requires 1 hour to test and each XJ8 requires 2 hours.  The revenue (in $1,000s) is given as follows:
 If X = # of XJ6 and Y = # of XJ8, the revenue is then R=X(4−0.1X)+Y(5−.02Y)
Find the number of XJ6 and XJ8s to produce so that the revenue is maximized.</t>
    </r>
  </si>
  <si>
    <t>Constraint</t>
  </si>
  <si>
    <t>y= XJ8</t>
  </si>
  <si>
    <t>x=  XJ6</t>
  </si>
  <si>
    <t>4-0.1x</t>
  </si>
  <si>
    <t>5-0.2y</t>
  </si>
  <si>
    <r>
      <rPr>
        <b/>
        <sz val="16"/>
        <color theme="1"/>
        <rFont val="Calibri"/>
        <family val="2"/>
        <scheme val="minor"/>
      </rPr>
      <t>Scenario</t>
    </r>
    <r>
      <rPr>
        <sz val="11"/>
        <color theme="1"/>
        <rFont val="Calibri"/>
        <family val="2"/>
        <scheme val="minor"/>
      </rPr>
      <t xml:space="preserve">
Hot dogs are sold at Camden Yards during the Baltimore Orioles’ baseball games. The current price is $2.50 per hot dog, but management is thinking about changing the price to increase profit. 
The price determines the number of hot dogs sold. If 
x is the number of hot dogs sold, then the price is given by 
p(x)=−0.0001x+4. 
Costs associated with the selling of hot dogs include a fixed cost of $1500 for equipment and a variable cost of $0.80 per hot dog.</t>
    </r>
  </si>
  <si>
    <t>price</t>
  </si>
  <si>
    <t>Variable</t>
  </si>
  <si>
    <t>v.cost</t>
  </si>
  <si>
    <t>cost</t>
  </si>
  <si>
    <t>total cost</t>
  </si>
  <si>
    <t>sold</t>
  </si>
  <si>
    <r>
      <rPr>
        <b/>
        <sz val="14"/>
        <color theme="1"/>
        <rFont val="Calibri"/>
        <family val="2"/>
        <scheme val="minor"/>
      </rPr>
      <t>Scenario</t>
    </r>
    <r>
      <rPr>
        <sz val="11"/>
        <color theme="1"/>
        <rFont val="Calibri"/>
        <family val="2"/>
        <scheme val="minor"/>
      </rPr>
      <t xml:space="preserve">
Justin Brody is the production manager for a math textbook manufacturing company. The company produces Geometry and Calculus texts. Each Geometry text generates a profit of $80 and requires 3 hours assembly time and 4 hours of proofing. Each Calculus text generates $45 of profit and requires 5 hours of assembly and 2 hours of proofing. There are 360 hours of assembly time and 240 hours of proofing time available each month.</t>
    </r>
  </si>
  <si>
    <t>Geometry</t>
  </si>
  <si>
    <t>Calculus</t>
  </si>
  <si>
    <t>Assembly time</t>
  </si>
  <si>
    <t>Proofreading time</t>
  </si>
  <si>
    <r>
      <rPr>
        <b/>
        <sz val="16"/>
        <color theme="1"/>
        <rFont val="Calibri"/>
        <family val="2"/>
        <scheme val="minor"/>
      </rPr>
      <t>Scenario</t>
    </r>
    <r>
      <rPr>
        <sz val="11"/>
        <color theme="1"/>
        <rFont val="Calibri"/>
        <family val="2"/>
        <scheme val="minor"/>
      </rPr>
      <t xml:space="preserve">
The demand for hamburgers sold at M&amp;T Stadium (home of the Baltimore Ravens) depends on the price. If p is the price of a hamburger, then the demand is given by −10000p+70000. If the vendor’s fixed costs are $2,500 and variable costs are $0.60 per hamburger, find the price of a hamburger that will maximize the profit.</t>
    </r>
  </si>
  <si>
    <t>Number</t>
  </si>
  <si>
    <t>Functional Area</t>
  </si>
  <si>
    <t>Partnership %</t>
  </si>
  <si>
    <t>FA 1</t>
  </si>
  <si>
    <t>FA 2</t>
  </si>
  <si>
    <t>FA 3</t>
  </si>
  <si>
    <t>Total NPV</t>
  </si>
  <si>
    <t>in millions</t>
  </si>
  <si>
    <t>Year 1</t>
  </si>
  <si>
    <t>Year 2</t>
  </si>
  <si>
    <t>Year 3</t>
  </si>
  <si>
    <t>Total expenditure</t>
  </si>
  <si>
    <t xml:space="preserve">Approved Cap Ex. Year Totals </t>
  </si>
  <si>
    <t xml:space="preserve">Year 2 </t>
  </si>
  <si>
    <t xml:space="preserve">Year 3 </t>
  </si>
  <si>
    <t>Functional Area:</t>
  </si>
  <si>
    <t xml:space="preserve">FA 1 </t>
  </si>
  <si>
    <t>Manager 1</t>
  </si>
  <si>
    <t>Manager 2</t>
  </si>
  <si>
    <t>Manager 3</t>
  </si>
  <si>
    <t>Manager 4</t>
  </si>
  <si>
    <t>Manager 5</t>
  </si>
  <si>
    <t>Manager 6</t>
  </si>
  <si>
    <t>Manager 7</t>
  </si>
  <si>
    <t>Manager 8</t>
  </si>
  <si>
    <t>Project 1</t>
  </si>
  <si>
    <t>Project 2</t>
  </si>
  <si>
    <t>Project 3</t>
  </si>
  <si>
    <t>Project 4</t>
  </si>
  <si>
    <t>Project 5</t>
  </si>
  <si>
    <t>Project 6</t>
  </si>
  <si>
    <t>Project 7</t>
  </si>
  <si>
    <t>Project 8</t>
  </si>
  <si>
    <t>Project 9</t>
  </si>
  <si>
    <t>Project 10</t>
  </si>
  <si>
    <t>Project 11</t>
  </si>
  <si>
    <t>Project 12</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</si>
</sst>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6" formatCode="&quot;$&quot;#,##0_);[Red]\(&quot;$&quot;#,##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_(&quot;$&quot;* #,##0.0_);_(&quot;$&quot;* \(#,##0.0\);_(&quot;$&quot;* &quot;-&quot;??_);_(@_)"/>
    <numFmt numFmtId="166" formatCode="0.0"/>
    <numFmt numFmtId="167" formatCode="0.0%"/>
    <numFmt numFmtId="168" formatCode="&quot;$&quot;#,##0.00"/>
    <numFmt numFmtId="169" formatCode="_(* #,##0_);_(* \(#,##0\);_(* &quot;-&quot;??_);_(@_)"/>
  </numFmts>
  <fonts count="28">
    <font>
      <sz val="11"/>
      <color theme="1"/>
      <name val="Calibri"/>
      <family val="2"/>
      <scheme val="minor"/>
    </font>
    <font>
      <sz val="11"/>
      <color theme="1"/>
      <name val="Calibri"/>
      <family val="2"/>
      <scheme val="minor"/>
    </font>
    <font>
      <b/>
      <sz val="15"/>
      <color theme="3"/>
      <name val="Calibri"/>
      <family val="2"/>
      <scheme val="minor"/>
    </font>
    <font>
      <b/>
      <sz val="11"/>
      <color theme="1"/>
      <name val="Calibri"/>
      <family val="2"/>
      <scheme val="minor"/>
    </font>
    <font>
      <b/>
      <sz val="24"/>
      <color rgb="FF1F1F1F"/>
      <name val="Var(--cds-font-family-source-sa"/>
    </font>
    <font>
      <sz val="11"/>
      <color rgb="FF1F1F1F"/>
      <name val="Var(--cds-font-family-source-sa"/>
    </font>
    <font>
      <b/>
      <sz val="14"/>
      <color theme="3"/>
      <name val="Calibri"/>
      <family val="2"/>
      <scheme val="minor"/>
    </font>
    <font>
      <b/>
      <sz val="11"/>
      <color rgb="FF1F1F1F"/>
      <name val="Var(--cds-font-family-source-sa"/>
    </font>
    <font>
      <sz val="11"/>
      <color theme="2"/>
      <name val="Calibri"/>
      <family val="2"/>
      <scheme val="minor"/>
    </font>
    <font>
      <sz val="11"/>
      <color theme="0" tint="-0.14999847407452621"/>
      <name val="Calibri"/>
      <family val="2"/>
      <scheme val="minor"/>
    </font>
    <font>
      <b/>
      <sz val="20"/>
      <color theme="1"/>
      <name val="Calibri"/>
      <family val="2"/>
      <scheme val="minor"/>
    </font>
    <font>
      <b/>
      <sz val="11"/>
      <color theme="1"/>
      <name val="Var(--cds-font-family-source-sa"/>
    </font>
    <font>
      <sz val="11"/>
      <color theme="1"/>
      <name val="Var(--cds-font-family-source-sa"/>
    </font>
    <font>
      <sz val="12"/>
      <color rgb="FF1F1F1F"/>
      <name val="Var(--cds-font-family-source-sa"/>
    </font>
    <font>
      <b/>
      <sz val="12"/>
      <color rgb="FF1F1F1F"/>
      <name val="Calibri"/>
      <family val="2"/>
      <scheme val="minor"/>
    </font>
    <font>
      <b/>
      <sz val="22"/>
      <color theme="1"/>
      <name val="Calibri"/>
      <family val="2"/>
      <scheme val="minor"/>
    </font>
    <font>
      <b/>
      <sz val="20"/>
      <color theme="3"/>
      <name val="Calibri"/>
      <family val="2"/>
      <scheme val="minor"/>
    </font>
    <font>
      <b/>
      <sz val="16"/>
      <color theme="1"/>
      <name val="Calibri"/>
      <family val="2"/>
      <scheme val="minor"/>
    </font>
    <font>
      <sz val="11"/>
      <color rgb="FFFF0000"/>
      <name val="Calibri"/>
      <family val="2"/>
      <scheme val="minor"/>
    </font>
    <font>
      <b/>
      <sz val="14"/>
      <color theme="1"/>
      <name val="Calibri"/>
      <family val="2"/>
      <scheme val="minor"/>
    </font>
    <font>
      <b/>
      <sz val="12"/>
      <color rgb="FF1F1F1F"/>
      <name val="Var(--cds-font-family-source-sa"/>
    </font>
    <font>
      <b/>
      <sz val="11"/>
      <color rgb="FF1F1F1F"/>
      <name val="Calibri"/>
      <family val="2"/>
      <scheme val="minor"/>
    </font>
    <font>
      <b/>
      <sz val="11"/>
      <color theme="1"/>
      <name val="Unset"/>
    </font>
    <font>
      <b/>
      <sz val="12"/>
      <color rgb="FF1F1F1F"/>
      <name val="Unset"/>
    </font>
    <font>
      <b/>
      <sz val="12"/>
      <color theme="1"/>
      <name val="Calibri"/>
      <family val="2"/>
      <scheme val="minor"/>
    </font>
    <font>
      <sz val="12"/>
      <color theme="1"/>
      <name val="Calibri"/>
      <family val="2"/>
      <scheme val="minor"/>
    </font>
    <font>
      <sz val="11"/>
      <color rgb="FF000000"/>
      <name val="Calibri"/>
      <family val="2"/>
      <scheme val="minor"/>
    </font>
    <font>
      <b/>
      <sz val="11"/>
      <color rgb="FF000000"/>
      <name val="Calibri"/>
      <family val="2"/>
      <scheme val="minor"/>
    </font>
  </fonts>
  <fills count="11">
    <fill>
      <patternFill patternType="none"/>
    </fill>
    <fill>
      <patternFill patternType="gray125"/>
    </fill>
    <fill>
      <patternFill patternType="solid">
        <fgColor theme="6" tint="0.39997558519241921"/>
        <bgColor indexed="64"/>
      </patternFill>
    </fill>
    <fill>
      <patternFill patternType="solid">
        <fgColor rgb="FFFFFFFF"/>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theme="0" tint="-0.14999847407452621"/>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59999389629810485"/>
        <bgColor indexed="64"/>
      </patternFill>
    </fill>
  </fills>
  <borders count="16">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top/>
      <bottom style="thin">
        <color theme="4" tint="0.3999755851924192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s>
  <cellStyleXfs count="8">
    <xf numFmtId="0" fontId="0" fillId="0" borderId="0"/>
    <xf numFmtId="44" fontId="1" fillId="0" borderId="0" applyFont="0" applyFill="0" applyBorder="0" applyAlignment="0" applyProtection="0"/>
    <xf numFmtId="0" fontId="2" fillId="0" borderId="1" applyNumberFormat="0" applyFill="0" applyAlignment="0" applyProtection="0"/>
    <xf numFmtId="9" fontId="1" fillId="0" borderId="0" applyFont="0" applyFill="0" applyBorder="0" applyAlignment="0" applyProtection="0"/>
    <xf numFmtId="43" fontId="1" fillId="0" borderId="0" applyFont="0" applyFill="0" applyBorder="0" applyAlignment="0" applyProtection="0"/>
    <xf numFmtId="0" fontId="25" fillId="0" borderId="0"/>
    <xf numFmtId="44" fontId="25" fillId="0" borderId="0" applyFont="0" applyFill="0" applyBorder="0" applyAlignment="0" applyProtection="0"/>
    <xf numFmtId="9" fontId="25" fillId="0" borderId="0" applyFont="0" applyFill="0" applyBorder="0" applyAlignment="0" applyProtection="0"/>
  </cellStyleXfs>
  <cellXfs count="191">
    <xf numFmtId="0" fontId="0" fillId="0" borderId="0" xfId="0"/>
    <xf numFmtId="44" fontId="0" fillId="0" borderId="0" xfId="1" applyFont="1"/>
    <xf numFmtId="164" fontId="0" fillId="0" borderId="0" xfId="1" applyNumberFormat="1" applyFont="1"/>
    <xf numFmtId="164" fontId="0" fillId="0" borderId="0" xfId="0" applyNumberFormat="1"/>
    <xf numFmtId="0" fontId="3" fillId="0" borderId="0" xfId="0" applyFont="1"/>
    <xf numFmtId="0" fontId="3" fillId="0" borderId="0" xfId="0" applyFont="1" applyAlignment="1">
      <alignment horizontal="center"/>
    </xf>
    <xf numFmtId="0" fontId="3" fillId="0" borderId="0" xfId="0" applyFont="1" applyAlignment="1">
      <alignment horizontal="right"/>
    </xf>
    <xf numFmtId="0" fontId="0" fillId="0" borderId="0" xfId="0" applyAlignment="1">
      <alignment horizontal="left" indent="1"/>
    </xf>
    <xf numFmtId="0" fontId="3" fillId="0" borderId="0" xfId="0" applyFont="1" applyAlignment="1">
      <alignment horizontal="left"/>
    </xf>
    <xf numFmtId="164" fontId="3" fillId="0" borderId="0" xfId="0" applyNumberFormat="1" applyFont="1"/>
    <xf numFmtId="164" fontId="3" fillId="0" borderId="0" xfId="1" applyNumberFormat="1" applyFont="1"/>
    <xf numFmtId="0" fontId="0" fillId="0" borderId="0" xfId="0" applyAlignment="1">
      <alignment horizontal="center"/>
    </xf>
    <xf numFmtId="0" fontId="5" fillId="0" borderId="0" xfId="0" applyFont="1" applyAlignment="1">
      <alignment vertical="center"/>
    </xf>
    <xf numFmtId="0" fontId="0" fillId="0" borderId="0" xfId="0" applyAlignment="1">
      <alignment wrapText="1"/>
    </xf>
    <xf numFmtId="0" fontId="0" fillId="2" borderId="0" xfId="0" applyFill="1"/>
    <xf numFmtId="44" fontId="0" fillId="0" borderId="0" xfId="0" applyNumberFormat="1"/>
    <xf numFmtId="0" fontId="7" fillId="3" borderId="2" xfId="0" applyFont="1" applyFill="1" applyBorder="1" applyAlignment="1">
      <alignment horizontal="left" vertical="center" wrapText="1"/>
    </xf>
    <xf numFmtId="0" fontId="5" fillId="3" borderId="2" xfId="0" applyFont="1" applyFill="1" applyBorder="1" applyAlignment="1">
      <alignment horizontal="left" vertical="center" wrapText="1"/>
    </xf>
    <xf numFmtId="8" fontId="5" fillId="3" borderId="2" xfId="0" applyNumberFormat="1" applyFont="1" applyFill="1" applyBorder="1" applyAlignment="1">
      <alignment horizontal="left" vertical="center" wrapText="1"/>
    </xf>
    <xf numFmtId="10" fontId="5" fillId="3" borderId="2" xfId="0" applyNumberFormat="1" applyFont="1" applyFill="1" applyBorder="1" applyAlignment="1">
      <alignment horizontal="left" vertical="center" wrapText="1"/>
    </xf>
    <xf numFmtId="0" fontId="2" fillId="3" borderId="1" xfId="2" applyFill="1" applyAlignment="1">
      <alignment horizontal="left" vertical="center" wrapText="1"/>
    </xf>
    <xf numFmtId="0" fontId="3" fillId="0" borderId="2" xfId="0" applyFont="1" applyBorder="1" applyAlignment="1">
      <alignment horizontal="center"/>
    </xf>
    <xf numFmtId="0" fontId="0" fillId="0" borderId="2" xfId="0" applyBorder="1"/>
    <xf numFmtId="44" fontId="0" fillId="0" borderId="2" xfId="1" applyFont="1" applyBorder="1"/>
    <xf numFmtId="44" fontId="0" fillId="0" borderId="2" xfId="0" applyNumberFormat="1" applyBorder="1"/>
    <xf numFmtId="44" fontId="0" fillId="0" borderId="2" xfId="1" applyNumberFormat="1" applyFont="1" applyBorder="1"/>
    <xf numFmtId="10" fontId="0" fillId="0" borderId="0" xfId="0" applyNumberFormat="1" applyAlignment="1">
      <alignment horizontal="center"/>
    </xf>
    <xf numFmtId="0" fontId="0" fillId="2" borderId="0" xfId="0" applyFont="1" applyFill="1"/>
    <xf numFmtId="0" fontId="0" fillId="0" borderId="0" xfId="0" applyAlignment="1">
      <alignment horizontal="center"/>
    </xf>
    <xf numFmtId="9" fontId="0" fillId="2" borderId="0" xfId="3" applyFont="1" applyFill="1"/>
    <xf numFmtId="0" fontId="3" fillId="0" borderId="0" xfId="0" applyFont="1" applyAlignment="1"/>
    <xf numFmtId="164" fontId="8" fillId="0" borderId="0" xfId="0" applyNumberFormat="1" applyFont="1"/>
    <xf numFmtId="9" fontId="0" fillId="0" borderId="0" xfId="0" applyNumberFormat="1"/>
    <xf numFmtId="164" fontId="9" fillId="0" borderId="0" xfId="0" applyNumberFormat="1" applyFont="1"/>
    <xf numFmtId="164" fontId="9" fillId="0" borderId="0" xfId="1" applyNumberFormat="1" applyFont="1"/>
    <xf numFmtId="0" fontId="11" fillId="0" borderId="0" xfId="0" applyFont="1" applyAlignment="1">
      <alignment horizontal="left" vertical="center" wrapText="1"/>
    </xf>
    <xf numFmtId="0" fontId="12" fillId="0" borderId="0" xfId="0" applyFont="1" applyAlignment="1">
      <alignment horizontal="left" vertical="center" wrapText="1"/>
    </xf>
    <xf numFmtId="0" fontId="3" fillId="0" borderId="2" xfId="0" applyFont="1" applyBorder="1"/>
    <xf numFmtId="2" fontId="0" fillId="0" borderId="0" xfId="0" applyNumberFormat="1"/>
    <xf numFmtId="1" fontId="0" fillId="0" borderId="0" xfId="0" applyNumberFormat="1"/>
    <xf numFmtId="166" fontId="0" fillId="0" borderId="2" xfId="0" applyNumberFormat="1" applyBorder="1"/>
    <xf numFmtId="0" fontId="3" fillId="0" borderId="2" xfId="0" applyFont="1" applyFill="1" applyBorder="1"/>
    <xf numFmtId="167" fontId="0" fillId="0" borderId="2" xfId="3" applyNumberFormat="1" applyFont="1" applyBorder="1"/>
    <xf numFmtId="167" fontId="0" fillId="0" borderId="4" xfId="3" applyNumberFormat="1" applyFont="1" applyBorder="1"/>
    <xf numFmtId="167" fontId="3" fillId="0" borderId="2" xfId="0" applyNumberFormat="1" applyFont="1" applyBorder="1"/>
    <xf numFmtId="164" fontId="0" fillId="2" borderId="0" xfId="1" applyNumberFormat="1" applyFont="1" applyFill="1"/>
    <xf numFmtId="1" fontId="0" fillId="4" borderId="0" xfId="0" applyNumberFormat="1" applyFill="1"/>
    <xf numFmtId="164" fontId="9" fillId="0" borderId="2" xfId="1" applyNumberFormat="1" applyFont="1" applyBorder="1"/>
    <xf numFmtId="164" fontId="0" fillId="0" borderId="2" xfId="1" applyNumberFormat="1" applyFont="1" applyBorder="1"/>
    <xf numFmtId="0" fontId="13" fillId="3" borderId="2" xfId="0" applyFont="1" applyFill="1" applyBorder="1" applyAlignment="1">
      <alignment horizontal="left" vertical="center" wrapText="1"/>
    </xf>
    <xf numFmtId="0" fontId="14" fillId="3" borderId="2" xfId="0" applyFont="1" applyFill="1" applyBorder="1" applyAlignment="1">
      <alignment horizontal="center" vertical="center" wrapText="1"/>
    </xf>
    <xf numFmtId="0" fontId="3" fillId="0" borderId="0" xfId="0" applyFont="1" applyAlignment="1">
      <alignment horizontal="center" vertical="center"/>
    </xf>
    <xf numFmtId="165" fontId="13" fillId="3" borderId="2" xfId="1" applyNumberFormat="1" applyFont="1" applyFill="1" applyBorder="1" applyAlignment="1">
      <alignment horizontal="left" vertical="center" wrapText="1"/>
    </xf>
    <xf numFmtId="0" fontId="3" fillId="0" borderId="2" xfId="0" applyFont="1" applyBorder="1" applyAlignment="1">
      <alignment horizontal="center" vertical="center"/>
    </xf>
    <xf numFmtId="164" fontId="0" fillId="0" borderId="2" xfId="0" applyNumberFormat="1" applyBorder="1"/>
    <xf numFmtId="9" fontId="0" fillId="0" borderId="2" xfId="3" applyFont="1" applyBorder="1"/>
    <xf numFmtId="165" fontId="0" fillId="0" borderId="0" xfId="1" applyNumberFormat="1" applyFont="1" applyAlignment="1">
      <alignment horizontal="center"/>
    </xf>
    <xf numFmtId="8" fontId="0" fillId="0" borderId="0" xfId="0" applyNumberFormat="1"/>
    <xf numFmtId="165" fontId="0" fillId="0" borderId="2" xfId="1" applyNumberFormat="1" applyFont="1" applyBorder="1" applyAlignment="1">
      <alignment horizontal="center"/>
    </xf>
    <xf numFmtId="9" fontId="0" fillId="0" borderId="2" xfId="0" applyNumberFormat="1" applyBorder="1"/>
    <xf numFmtId="8" fontId="0" fillId="0" borderId="2" xfId="0" applyNumberFormat="1" applyBorder="1"/>
    <xf numFmtId="165" fontId="0" fillId="0" borderId="2" xfId="1" applyNumberFormat="1" applyFont="1" applyBorder="1"/>
    <xf numFmtId="0" fontId="0" fillId="0" borderId="2" xfId="0" applyFill="1" applyBorder="1"/>
    <xf numFmtId="8" fontId="3" fillId="0" borderId="2" xfId="0" applyNumberFormat="1" applyFont="1" applyBorder="1"/>
    <xf numFmtId="6" fontId="12" fillId="0" borderId="0" xfId="0" applyNumberFormat="1" applyFont="1" applyAlignment="1">
      <alignment horizontal="left" vertical="center" wrapText="1"/>
    </xf>
    <xf numFmtId="0" fontId="3" fillId="5" borderId="5" xfId="0" applyFont="1" applyFill="1" applyBorder="1" applyAlignment="1">
      <alignment horizontal="center"/>
    </xf>
    <xf numFmtId="168" fontId="3" fillId="5" borderId="5" xfId="1" applyNumberFormat="1" applyFont="1" applyFill="1" applyBorder="1" applyAlignment="1">
      <alignment horizontal="center"/>
    </xf>
    <xf numFmtId="1" fontId="0" fillId="0" borderId="0" xfId="0" applyNumberFormat="1" applyAlignment="1">
      <alignment horizontal="center"/>
    </xf>
    <xf numFmtId="168" fontId="0" fillId="0" borderId="0" xfId="1" applyNumberFormat="1" applyFont="1" applyAlignment="1">
      <alignment horizontal="center"/>
    </xf>
    <xf numFmtId="168" fontId="0" fillId="0" borderId="0" xfId="0" applyNumberFormat="1"/>
    <xf numFmtId="167" fontId="0" fillId="0" borderId="0" xfId="3" applyNumberFormat="1" applyFont="1"/>
    <xf numFmtId="0" fontId="0" fillId="0" borderId="0" xfId="0" applyNumberFormat="1" applyAlignment="1">
      <alignment horizontal="center"/>
    </xf>
    <xf numFmtId="168" fontId="3" fillId="0" borderId="0" xfId="1" applyNumberFormat="1" applyFont="1" applyAlignment="1">
      <alignment horizontal="center"/>
    </xf>
    <xf numFmtId="167" fontId="0" fillId="0" borderId="0" xfId="0" applyNumberFormat="1"/>
    <xf numFmtId="168" fontId="9" fillId="0" borderId="0" xfId="0" applyNumberFormat="1" applyFont="1"/>
    <xf numFmtId="44" fontId="0" fillId="0" borderId="0" xfId="1" applyNumberFormat="1" applyFont="1"/>
    <xf numFmtId="9" fontId="0" fillId="0" borderId="0" xfId="3" applyFont="1"/>
    <xf numFmtId="167" fontId="0" fillId="2" borderId="0" xfId="0" applyNumberFormat="1" applyFill="1"/>
    <xf numFmtId="0" fontId="0" fillId="0" borderId="2" xfId="0" applyBorder="1" applyAlignment="1">
      <alignment horizontal="center" vertical="center"/>
    </xf>
    <xf numFmtId="0" fontId="0" fillId="0" borderId="0" xfId="0" applyNumberFormat="1"/>
    <xf numFmtId="0" fontId="0" fillId="0" borderId="0" xfId="1" applyNumberFormat="1" applyFont="1"/>
    <xf numFmtId="0" fontId="3" fillId="0" borderId="0" xfId="0" applyNumberFormat="1" applyFont="1"/>
    <xf numFmtId="0" fontId="0" fillId="0" borderId="2" xfId="0" applyBorder="1" applyAlignment="1">
      <alignment horizontal="center" vertical="center"/>
    </xf>
    <xf numFmtId="0" fontId="0" fillId="0" borderId="0" xfId="0" applyAlignment="1">
      <alignment horizontal="center"/>
    </xf>
    <xf numFmtId="0" fontId="0" fillId="0" borderId="0" xfId="0" applyFont="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169" fontId="0" fillId="6" borderId="0" xfId="4" applyNumberFormat="1" applyFont="1" applyFill="1" applyAlignment="1">
      <alignment horizontal="center" vertical="center"/>
    </xf>
    <xf numFmtId="164" fontId="3" fillId="6" borderId="0" xfId="0" applyNumberFormat="1" applyFont="1" applyFill="1"/>
    <xf numFmtId="0" fontId="0" fillId="0" borderId="0" xfId="0" applyBorder="1"/>
    <xf numFmtId="0" fontId="0" fillId="0" borderId="0" xfId="0" applyAlignment="1">
      <alignment vertical="center"/>
    </xf>
    <xf numFmtId="167" fontId="0" fillId="0" borderId="0" xfId="0" applyNumberFormat="1" applyAlignment="1">
      <alignment horizontal="center" vertical="center"/>
    </xf>
    <xf numFmtId="0" fontId="0" fillId="6" borderId="0" xfId="0" applyFill="1"/>
    <xf numFmtId="0" fontId="0" fillId="7" borderId="0" xfId="0" applyFill="1"/>
    <xf numFmtId="44" fontId="0" fillId="6" borderId="0" xfId="1" applyFont="1" applyFill="1"/>
    <xf numFmtId="0" fontId="3" fillId="0" borderId="2" xfId="0" applyFont="1" applyBorder="1" applyAlignment="1">
      <alignment horizontal="left" vertical="center"/>
    </xf>
    <xf numFmtId="0" fontId="0" fillId="0" borderId="2" xfId="0" applyBorder="1" applyAlignment="1">
      <alignment horizontal="left" vertical="center"/>
    </xf>
    <xf numFmtId="0" fontId="0" fillId="0" borderId="0" xfId="0" applyBorder="1" applyAlignment="1">
      <alignment horizontal="left" vertical="center"/>
    </xf>
    <xf numFmtId="0" fontId="0" fillId="0" borderId="0" xfId="0" applyBorder="1" applyAlignment="1">
      <alignment horizontal="center" vertical="center"/>
    </xf>
    <xf numFmtId="9" fontId="0" fillId="0" borderId="2" xfId="0" applyNumberFormat="1" applyBorder="1" applyAlignment="1">
      <alignment horizontal="center" vertical="center"/>
    </xf>
    <xf numFmtId="164" fontId="0" fillId="0" borderId="0" xfId="0" applyNumberFormat="1" applyBorder="1" applyAlignment="1">
      <alignment horizontal="center" vertical="center"/>
    </xf>
    <xf numFmtId="164" fontId="0" fillId="2" borderId="0" xfId="1" applyNumberFormat="1" applyFont="1" applyFill="1" applyAlignment="1">
      <alignment horizontal="center" vertical="center"/>
    </xf>
    <xf numFmtId="0" fontId="0" fillId="3" borderId="0" xfId="0" applyFill="1"/>
    <xf numFmtId="0" fontId="20" fillId="3" borderId="0" xfId="0" applyFont="1" applyFill="1" applyAlignment="1">
      <alignment horizontal="left" vertical="center" wrapText="1"/>
    </xf>
    <xf numFmtId="0" fontId="13" fillId="3" borderId="0" xfId="0" applyFont="1" applyFill="1" applyAlignment="1">
      <alignment horizontal="left" vertical="center" wrapText="1"/>
    </xf>
    <xf numFmtId="8" fontId="13" fillId="3" borderId="0" xfId="0" applyNumberFormat="1" applyFont="1" applyFill="1" applyAlignment="1">
      <alignment horizontal="left" vertical="center" wrapText="1"/>
    </xf>
    <xf numFmtId="44" fontId="0" fillId="0" borderId="0" xfId="1" applyFont="1" applyAlignment="1">
      <alignment horizontal="center" vertical="center"/>
    </xf>
    <xf numFmtId="2" fontId="0" fillId="2" borderId="0" xfId="1" applyNumberFormat="1" applyFont="1" applyFill="1" applyAlignment="1">
      <alignment horizontal="center" vertical="center"/>
    </xf>
    <xf numFmtId="1" fontId="0" fillId="0" borderId="2" xfId="0" applyNumberFormat="1" applyBorder="1" applyAlignment="1">
      <alignment horizontal="center" vertical="center"/>
    </xf>
    <xf numFmtId="164" fontId="18" fillId="4" borderId="0" xfId="1" applyNumberFormat="1" applyFont="1" applyFill="1" applyBorder="1" applyAlignment="1">
      <alignment horizontal="center" vertical="center"/>
    </xf>
    <xf numFmtId="167" fontId="0" fillId="0" borderId="0" xfId="0" applyNumberFormat="1" applyBorder="1" applyAlignment="1">
      <alignment horizontal="center" vertical="center"/>
    </xf>
    <xf numFmtId="0" fontId="5" fillId="3" borderId="0" xfId="0" applyFont="1" applyFill="1" applyBorder="1" applyAlignment="1">
      <alignment horizontal="center" vertical="center" wrapText="1"/>
    </xf>
    <xf numFmtId="0" fontId="0" fillId="2" borderId="2" xfId="0" applyFill="1" applyBorder="1"/>
    <xf numFmtId="6" fontId="5" fillId="3" borderId="2" xfId="0" applyNumberFormat="1" applyFont="1" applyFill="1" applyBorder="1" applyAlignment="1">
      <alignment horizontal="left" vertical="center" wrapText="1"/>
    </xf>
    <xf numFmtId="0" fontId="0" fillId="3" borderId="0" xfId="0" applyFill="1" applyBorder="1" applyAlignment="1">
      <alignment horizontal="left" vertical="center" wrapText="1"/>
    </xf>
    <xf numFmtId="0" fontId="7" fillId="3" borderId="0" xfId="0" applyFont="1" applyFill="1" applyBorder="1" applyAlignment="1">
      <alignment horizontal="left" vertical="center" wrapText="1"/>
    </xf>
    <xf numFmtId="0" fontId="5" fillId="3" borderId="2" xfId="0" applyFont="1" applyFill="1" applyBorder="1" applyAlignment="1">
      <alignment horizontal="center" vertical="center" wrapText="1"/>
    </xf>
    <xf numFmtId="1" fontId="5" fillId="3" borderId="11" xfId="0" applyNumberFormat="1" applyFont="1" applyFill="1" applyBorder="1" applyAlignment="1">
      <alignment horizontal="center" vertical="center" wrapText="1"/>
    </xf>
    <xf numFmtId="1" fontId="5" fillId="3" borderId="0" xfId="0" applyNumberFormat="1" applyFont="1" applyFill="1" applyBorder="1" applyAlignment="1">
      <alignment horizontal="center" vertical="center" wrapText="1"/>
    </xf>
    <xf numFmtId="1" fontId="5" fillId="3" borderId="2" xfId="0" applyNumberFormat="1" applyFont="1" applyFill="1" applyBorder="1" applyAlignment="1">
      <alignment horizontal="left" vertical="center" wrapText="1"/>
    </xf>
    <xf numFmtId="1" fontId="0" fillId="0" borderId="2" xfId="0" applyNumberFormat="1" applyBorder="1"/>
    <xf numFmtId="1" fontId="5" fillId="2" borderId="2" xfId="0" applyNumberFormat="1" applyFont="1" applyFill="1" applyBorder="1" applyAlignment="1">
      <alignment horizontal="center" vertical="center" wrapText="1"/>
    </xf>
    <xf numFmtId="0" fontId="5" fillId="3" borderId="11" xfId="0" applyFont="1" applyFill="1" applyBorder="1" applyAlignment="1">
      <alignment horizontal="left" vertical="center" wrapText="1"/>
    </xf>
    <xf numFmtId="0" fontId="22" fillId="0" borderId="0" xfId="0" applyFont="1" applyAlignment="1">
      <alignment horizontal="left" vertical="center" wrapText="1"/>
    </xf>
    <xf numFmtId="0" fontId="23" fillId="3" borderId="2" xfId="0" applyFont="1" applyFill="1" applyBorder="1" applyAlignment="1">
      <alignment horizontal="left" vertical="center" wrapText="1"/>
    </xf>
    <xf numFmtId="0" fontId="13" fillId="2" borderId="2" xfId="0" applyFont="1" applyFill="1" applyBorder="1" applyAlignment="1">
      <alignment horizontal="left" vertical="center" wrapText="1"/>
    </xf>
    <xf numFmtId="0" fontId="2" fillId="0" borderId="1" xfId="2" applyAlignment="1">
      <alignment horizontal="center"/>
    </xf>
    <xf numFmtId="0" fontId="4" fillId="0" borderId="3" xfId="0" applyFont="1" applyBorder="1" applyAlignment="1">
      <alignment horizontal="center" vertical="center" wrapText="1"/>
    </xf>
    <xf numFmtId="0" fontId="4" fillId="0" borderId="0" xfId="0" applyFont="1" applyBorder="1" applyAlignment="1">
      <alignment horizontal="center" vertical="center" wrapText="1"/>
    </xf>
    <xf numFmtId="0" fontId="6" fillId="0" borderId="0" xfId="2" applyFont="1" applyBorder="1" applyAlignment="1">
      <alignment horizontal="center"/>
    </xf>
    <xf numFmtId="0" fontId="5" fillId="0" borderId="3" xfId="0" applyFont="1" applyBorder="1" applyAlignment="1">
      <alignment horizontal="center" vertical="center" wrapText="1"/>
    </xf>
    <xf numFmtId="0" fontId="5" fillId="0" borderId="0" xfId="0" applyFont="1" applyBorder="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horizontal="center"/>
    </xf>
    <xf numFmtId="0" fontId="0" fillId="0" borderId="2" xfId="0" applyBorder="1" applyAlignment="1">
      <alignment horizontal="center" vertical="center"/>
    </xf>
    <xf numFmtId="0" fontId="0" fillId="0" borderId="0" xfId="0" applyAlignment="1">
      <alignment horizontal="center"/>
    </xf>
    <xf numFmtId="0" fontId="3" fillId="0" borderId="2" xfId="0" applyFont="1" applyBorder="1" applyAlignment="1">
      <alignment horizontal="center"/>
    </xf>
    <xf numFmtId="0" fontId="0" fillId="0" borderId="0" xfId="0" applyAlignment="1">
      <alignment horizontal="center" wrapText="1"/>
    </xf>
    <xf numFmtId="0" fontId="16" fillId="0" borderId="1" xfId="2" applyFont="1" applyAlignment="1">
      <alignment horizontal="center"/>
    </xf>
    <xf numFmtId="0" fontId="0" fillId="0" borderId="0" xfId="0" applyAlignment="1">
      <alignment horizontal="center" vertical="center" wrapText="1"/>
    </xf>
    <xf numFmtId="0" fontId="3" fillId="0" borderId="2" xfId="0" applyFont="1" applyBorder="1" applyAlignment="1">
      <alignment horizontal="center" vertical="center" textRotation="90"/>
    </xf>
    <xf numFmtId="0" fontId="3" fillId="0" borderId="2" xfId="0" applyFont="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xf numFmtId="0" fontId="0" fillId="3" borderId="2" xfId="0" applyFill="1" applyBorder="1" applyAlignment="1">
      <alignment horizontal="center" vertical="center"/>
    </xf>
    <xf numFmtId="0" fontId="7" fillId="3" borderId="0" xfId="0" applyFont="1" applyFill="1" applyBorder="1" applyAlignment="1">
      <alignment horizontal="left" vertical="center" wrapText="1"/>
    </xf>
    <xf numFmtId="0" fontId="0" fillId="3" borderId="2" xfId="0" applyFill="1" applyBorder="1" applyAlignment="1">
      <alignment horizontal="center"/>
    </xf>
    <xf numFmtId="0" fontId="0" fillId="0" borderId="2" xfId="0" applyBorder="1" applyAlignment="1">
      <alignment horizontal="center"/>
    </xf>
    <xf numFmtId="0" fontId="3" fillId="3" borderId="4" xfId="0" applyFont="1" applyFill="1" applyBorder="1" applyAlignment="1">
      <alignment horizontal="center" vertical="center"/>
    </xf>
    <xf numFmtId="0" fontId="3" fillId="3" borderId="8" xfId="0" applyFont="1" applyFill="1" applyBorder="1" applyAlignment="1">
      <alignment horizontal="center" vertical="center"/>
    </xf>
    <xf numFmtId="0" fontId="0" fillId="0" borderId="10" xfId="0" applyBorder="1" applyAlignment="1">
      <alignment horizontal="center"/>
    </xf>
    <xf numFmtId="0" fontId="21" fillId="3" borderId="2" xfId="0" applyFont="1" applyFill="1" applyBorder="1" applyAlignment="1">
      <alignment horizontal="left" vertical="center" wrapText="1"/>
    </xf>
    <xf numFmtId="0" fontId="0" fillId="3" borderId="4" xfId="0" applyFill="1" applyBorder="1" applyAlignment="1">
      <alignment horizontal="center" vertical="center" wrapText="1"/>
    </xf>
    <xf numFmtId="0" fontId="0" fillId="3" borderId="8" xfId="0" applyFill="1" applyBorder="1" applyAlignment="1">
      <alignment horizontal="center" vertical="center" wrapText="1"/>
    </xf>
    <xf numFmtId="0" fontId="22" fillId="0" borderId="0" xfId="0" applyFont="1" applyAlignment="1">
      <alignment horizontal="center" vertical="center" wrapText="1"/>
    </xf>
    <xf numFmtId="0" fontId="23" fillId="3" borderId="12" xfId="0" applyFont="1" applyFill="1" applyBorder="1" applyAlignment="1">
      <alignment horizontal="center" vertical="center" wrapText="1"/>
    </xf>
    <xf numFmtId="0" fontId="23" fillId="3" borderId="13" xfId="0" applyFont="1" applyFill="1" applyBorder="1" applyAlignment="1">
      <alignment horizontal="center" vertical="center" wrapText="1"/>
    </xf>
    <xf numFmtId="0" fontId="23" fillId="3" borderId="14" xfId="0" applyFont="1" applyFill="1" applyBorder="1" applyAlignment="1">
      <alignment horizontal="center" vertical="center" wrapText="1"/>
    </xf>
    <xf numFmtId="0" fontId="23" fillId="3" borderId="15" xfId="0" applyFont="1" applyFill="1" applyBorder="1" applyAlignment="1">
      <alignment horizontal="center" vertical="center" wrapText="1"/>
    </xf>
    <xf numFmtId="0" fontId="23" fillId="3" borderId="10" xfId="0" applyFont="1" applyFill="1" applyBorder="1" applyAlignment="1">
      <alignment horizontal="center" vertical="center" wrapText="1"/>
    </xf>
    <xf numFmtId="0" fontId="23" fillId="3" borderId="9" xfId="0" applyFont="1" applyFill="1" applyBorder="1" applyAlignment="1">
      <alignment horizontal="center" vertical="center" wrapText="1"/>
    </xf>
    <xf numFmtId="0" fontId="5" fillId="3" borderId="0" xfId="0" applyFont="1" applyFill="1" applyBorder="1" applyAlignment="1">
      <alignment horizontal="left" vertical="center" wrapText="1"/>
    </xf>
    <xf numFmtId="2" fontId="0" fillId="2" borderId="0" xfId="0" applyNumberFormat="1" applyFill="1"/>
    <xf numFmtId="16" fontId="0" fillId="0" borderId="0" xfId="0" applyNumberFormat="1"/>
    <xf numFmtId="0" fontId="0" fillId="6" borderId="2" xfId="0" applyFill="1" applyBorder="1" applyAlignment="1">
      <alignment horizontal="center"/>
    </xf>
    <xf numFmtId="0" fontId="13" fillId="3" borderId="0" xfId="0" applyFont="1" applyFill="1" applyBorder="1" applyAlignment="1">
      <alignment horizontal="left" vertical="center" wrapText="1"/>
    </xf>
    <xf numFmtId="9" fontId="25" fillId="9" borderId="2" xfId="7" applyFont="1" applyFill="1" applyBorder="1"/>
    <xf numFmtId="9" fontId="25" fillId="8" borderId="2" xfId="7" applyFont="1" applyFill="1" applyBorder="1"/>
    <xf numFmtId="9" fontId="25" fillId="10" borderId="2" xfId="7" applyFont="1" applyFill="1" applyBorder="1"/>
    <xf numFmtId="0" fontId="24" fillId="0" borderId="2" xfId="5" applyFont="1" applyBorder="1"/>
    <xf numFmtId="0" fontId="24" fillId="0" borderId="6" xfId="5" applyFont="1" applyBorder="1"/>
    <xf numFmtId="0" fontId="27" fillId="0" borderId="2" xfId="5" applyFont="1" applyBorder="1"/>
    <xf numFmtId="0" fontId="26" fillId="9" borderId="2" xfId="5" applyFont="1" applyFill="1" applyBorder="1"/>
    <xf numFmtId="0" fontId="25" fillId="9" borderId="2" xfId="5" applyFill="1" applyBorder="1"/>
    <xf numFmtId="0" fontId="26" fillId="8" borderId="2" xfId="5" applyFont="1" applyFill="1" applyBorder="1"/>
    <xf numFmtId="0" fontId="25" fillId="8" borderId="2" xfId="5" applyFill="1" applyBorder="1"/>
    <xf numFmtId="0" fontId="26" fillId="10" borderId="2" xfId="5" applyFont="1" applyFill="1" applyBorder="1"/>
    <xf numFmtId="0" fontId="25" fillId="10" borderId="2" xfId="5" applyFill="1" applyBorder="1"/>
    <xf numFmtId="164" fontId="25" fillId="9" borderId="2" xfId="6" applyNumberFormat="1" applyFont="1" applyFill="1" applyBorder="1"/>
    <xf numFmtId="164" fontId="25" fillId="9" borderId="6" xfId="6" applyNumberFormat="1" applyFont="1" applyFill="1" applyBorder="1"/>
    <xf numFmtId="164" fontId="25" fillId="8" borderId="2" xfId="6" applyNumberFormat="1" applyFont="1" applyFill="1" applyBorder="1"/>
    <xf numFmtId="164" fontId="25" fillId="8" borderId="6" xfId="6" applyNumberFormat="1" applyFont="1" applyFill="1" applyBorder="1"/>
    <xf numFmtId="164" fontId="25" fillId="10" borderId="2" xfId="6" applyNumberFormat="1" applyFont="1" applyFill="1" applyBorder="1"/>
    <xf numFmtId="164" fontId="25" fillId="10" borderId="6" xfId="6" applyNumberFormat="1" applyFont="1" applyFill="1" applyBorder="1"/>
    <xf numFmtId="6" fontId="0" fillId="0" borderId="0" xfId="0" applyNumberFormat="1"/>
    <xf numFmtId="6" fontId="0" fillId="0" borderId="2" xfId="0" applyNumberFormat="1" applyBorder="1"/>
    <xf numFmtId="0" fontId="20" fillId="3" borderId="2" xfId="0" applyFont="1" applyFill="1" applyBorder="1" applyAlignment="1">
      <alignment horizontal="left" vertical="center" wrapText="1"/>
    </xf>
    <xf numFmtId="0" fontId="20" fillId="3" borderId="4" xfId="0" applyFont="1" applyFill="1" applyBorder="1" applyAlignment="1">
      <alignment horizontal="center" vertical="center" wrapText="1"/>
    </xf>
    <xf numFmtId="0" fontId="20" fillId="3" borderId="8" xfId="0" applyFont="1" applyFill="1" applyBorder="1" applyAlignment="1">
      <alignment horizontal="center" vertical="center" wrapText="1"/>
    </xf>
    <xf numFmtId="0" fontId="25" fillId="0" borderId="0" xfId="5" applyAlignment="1">
      <alignment horizontal="center"/>
    </xf>
  </cellXfs>
  <cellStyles count="8">
    <cellStyle name="Comma" xfId="4" builtinId="3"/>
    <cellStyle name="Currency" xfId="1" builtinId="4"/>
    <cellStyle name="Currency 2" xfId="6"/>
    <cellStyle name="Heading 1" xfId="2" builtinId="16"/>
    <cellStyle name="Normal" xfId="0" builtinId="0"/>
    <cellStyle name="Normal 2" xfId="5"/>
    <cellStyle name="Percent" xfId="3" builtinId="5"/>
    <cellStyle name="Percent 2" xfId="7"/>
  </cellStyles>
  <dxfs count="2">
    <dxf>
      <font>
        <color rgb="FF006100"/>
      </font>
      <fill>
        <patternFill>
          <bgColor rgb="FFC6EFCE"/>
        </patternFill>
      </fill>
    </dxf>
    <dxf>
      <font>
        <color rgb="FF006100"/>
      </font>
      <fill>
        <patternFill>
          <bgColor rgb="FFC6EF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a:lstStyle/>
          <a:p>
            <a:pPr>
              <a:defRPr/>
            </a:pPr>
            <a:r>
              <a:rPr lang="en-US"/>
              <a:t>Woodworks</a:t>
            </a:r>
            <a:r>
              <a:rPr lang="en-US" baseline="0"/>
              <a:t> </a:t>
            </a:r>
            <a:r>
              <a:rPr lang="en-US"/>
              <a:t>Bookshelf Cost Projections</a:t>
            </a:r>
          </a:p>
        </c:rich>
      </c:tx>
      <c:overlay val="0"/>
    </c:title>
    <c:autoTitleDeleted val="0"/>
    <c:plotArea>
      <c:layout/>
      <c:lineChart>
        <c:grouping val="standard"/>
        <c:varyColors val="0"/>
        <c:ser>
          <c:idx val="0"/>
          <c:order val="0"/>
          <c:tx>
            <c:strRef>
              <c:f>'Woodworks BookShelf Co.'!$E$27</c:f>
              <c:strCache>
                <c:ptCount val="1"/>
                <c:pt idx="0">
                  <c:v>Total Cherry</c:v>
                </c:pt>
              </c:strCache>
            </c:strRef>
          </c:tx>
          <c:marker>
            <c:symbol val="none"/>
          </c:marker>
          <c:val>
            <c:numRef>
              <c:f>'Woodworks BookShelf Co.'!$E$28:$E$33</c:f>
              <c:numCache>
                <c:formatCode>_("$"* #,##0.00_);_("$"* \(#,##0.00\);_("$"* "-"??_);_(@_)</c:formatCode>
                <c:ptCount val="6"/>
                <c:pt idx="0">
                  <c:v>461</c:v>
                </c:pt>
                <c:pt idx="1">
                  <c:v>469.4</c:v>
                </c:pt>
                <c:pt idx="2">
                  <c:v>477.96163999999999</c:v>
                </c:pt>
                <c:pt idx="3">
                  <c:v>486.68819995999996</c:v>
                </c:pt>
                <c:pt idx="4">
                  <c:v>495.58302956803993</c:v>
                </c:pt>
                <c:pt idx="5">
                  <c:v>504.64954977880791</c:v>
                </c:pt>
              </c:numCache>
            </c:numRef>
          </c:val>
          <c:smooth val="0"/>
        </c:ser>
        <c:ser>
          <c:idx val="1"/>
          <c:order val="1"/>
          <c:tx>
            <c:strRef>
              <c:f>'Woodworks BookShelf Co.'!$F$27</c:f>
              <c:strCache>
                <c:ptCount val="1"/>
                <c:pt idx="0">
                  <c:v>Total Oak</c:v>
                </c:pt>
              </c:strCache>
            </c:strRef>
          </c:tx>
          <c:marker>
            <c:symbol val="none"/>
          </c:marker>
          <c:val>
            <c:numRef>
              <c:f>'Woodworks BookShelf Co.'!$F$28:$F$33</c:f>
              <c:numCache>
                <c:formatCode>_("$"* #,##0.00_);_("$"* \(#,##0.00\);_("$"* "-"??_);_(@_)</c:formatCode>
                <c:ptCount val="6"/>
                <c:pt idx="0">
                  <c:v>425</c:v>
                </c:pt>
                <c:pt idx="1">
                  <c:v>431.63299999999998</c:v>
                </c:pt>
                <c:pt idx="2">
                  <c:v>438.36988099999996</c:v>
                </c:pt>
                <c:pt idx="3">
                  <c:v>445.21227577699995</c:v>
                </c:pt>
                <c:pt idx="4">
                  <c:v>452.16184286720886</c:v>
                </c:pt>
                <c:pt idx="5">
                  <c:v>459.22026697398138</c:v>
                </c:pt>
              </c:numCache>
            </c:numRef>
          </c:val>
          <c:smooth val="0"/>
        </c:ser>
        <c:dLbls>
          <c:showLegendKey val="0"/>
          <c:showVal val="0"/>
          <c:showCatName val="0"/>
          <c:showSerName val="0"/>
          <c:showPercent val="0"/>
          <c:showBubbleSize val="0"/>
        </c:dLbls>
        <c:hiLowLines/>
        <c:marker val="1"/>
        <c:smooth val="0"/>
        <c:axId val="233728256"/>
        <c:axId val="233738624"/>
      </c:lineChart>
      <c:catAx>
        <c:axId val="233728256"/>
        <c:scaling>
          <c:orientation val="minMax"/>
        </c:scaling>
        <c:delete val="0"/>
        <c:axPos val="b"/>
        <c:title>
          <c:tx>
            <c:rich>
              <a:bodyPr/>
              <a:lstStyle/>
              <a:p>
                <a:pPr>
                  <a:defRPr/>
                </a:pPr>
                <a:r>
                  <a:rPr lang="en-US"/>
                  <a:t>Years</a:t>
                </a:r>
              </a:p>
            </c:rich>
          </c:tx>
          <c:overlay val="0"/>
        </c:title>
        <c:majorTickMark val="none"/>
        <c:minorTickMark val="none"/>
        <c:tickLblPos val="nextTo"/>
        <c:crossAx val="233738624"/>
        <c:crosses val="autoZero"/>
        <c:auto val="1"/>
        <c:lblAlgn val="ctr"/>
        <c:lblOffset val="100"/>
        <c:noMultiLvlLbl val="0"/>
      </c:catAx>
      <c:valAx>
        <c:axId val="233738624"/>
        <c:scaling>
          <c:orientation val="minMax"/>
        </c:scaling>
        <c:delete val="0"/>
        <c:axPos val="l"/>
        <c:majorGridlines/>
        <c:title>
          <c:tx>
            <c:rich>
              <a:bodyPr/>
              <a:lstStyle/>
              <a:p>
                <a:pPr>
                  <a:defRPr/>
                </a:pPr>
                <a:r>
                  <a:rPr lang="en-US"/>
                  <a:t>Cost in $</a:t>
                </a:r>
              </a:p>
            </c:rich>
          </c:tx>
          <c:overlay val="0"/>
        </c:title>
        <c:numFmt formatCode="_(&quot;$&quot;* #,##0.00_);_(&quot;$&quot;* \(#,##0.00\);_(&quot;$&quot;* &quot;-&quot;??_);_(@_)" sourceLinked="1"/>
        <c:majorTickMark val="out"/>
        <c:minorTickMark val="none"/>
        <c:tickLblPos val="nextTo"/>
        <c:crossAx val="233728256"/>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strRef>
              <c:f>'19th hole'!$C$5</c:f>
              <c:strCache>
                <c:ptCount val="1"/>
                <c:pt idx="0">
                  <c:v>Demand (00s)</c:v>
                </c:pt>
              </c:strCache>
            </c:strRef>
          </c:tx>
          <c:spPr>
            <a:ln w="28575">
              <a:noFill/>
            </a:ln>
          </c:spPr>
          <c:trendline>
            <c:trendlineType val="linear"/>
            <c:dispRSqr val="0"/>
            <c:dispEq val="0"/>
          </c:trendline>
          <c:trendline>
            <c:trendlineType val="linear"/>
            <c:dispRSqr val="0"/>
            <c:dispEq val="1"/>
            <c:trendlineLbl>
              <c:layout>
                <c:manualLayout>
                  <c:x val="0.42804658792650918"/>
                  <c:y val="-0.5564464858559347"/>
                </c:manualLayout>
              </c:layout>
              <c:numFmt formatCode="General" sourceLinked="0"/>
            </c:trendlineLbl>
          </c:trendline>
          <c:trendline>
            <c:spPr>
              <a:ln w="9525" cap="flat" cmpd="sng" algn="ctr">
                <a:solidFill>
                  <a:schemeClr val="accent2">
                    <a:shade val="95000"/>
                    <a:satMod val="105000"/>
                  </a:schemeClr>
                </a:solidFill>
                <a:prstDash val="solid"/>
              </a:ln>
              <a:effectLst/>
            </c:spPr>
            <c:trendlineType val="power"/>
            <c:dispRSqr val="0"/>
            <c:dispEq val="1"/>
            <c:trendlineLbl>
              <c:layout>
                <c:manualLayout>
                  <c:x val="-0.19172922134733159"/>
                  <c:y val="-0.60256160688247307"/>
                </c:manualLayout>
              </c:layout>
              <c:numFmt formatCode="#,##0.00" sourceLinked="0"/>
            </c:trendlineLbl>
          </c:trendline>
          <c:trendline>
            <c:spPr>
              <a:ln w="38100" cap="flat" cmpd="sng" algn="ctr">
                <a:solidFill>
                  <a:schemeClr val="accent5"/>
                </a:solidFill>
                <a:prstDash val="solid"/>
              </a:ln>
              <a:effectLst>
                <a:outerShdw blurRad="40000" dist="23000" dir="5400000" rotWithShape="0">
                  <a:srgbClr val="000000">
                    <a:alpha val="35000"/>
                  </a:srgbClr>
                </a:outerShdw>
              </a:effectLst>
            </c:spPr>
            <c:trendlineType val="exp"/>
            <c:dispRSqr val="0"/>
            <c:dispEq val="1"/>
            <c:trendlineLbl>
              <c:layout>
                <c:manualLayout>
                  <c:x val="0.39194707613419982"/>
                  <c:y val="-0.38083955634577937"/>
                </c:manualLayout>
              </c:layout>
              <c:numFmt formatCode="#,##0.000" sourceLinked="0"/>
            </c:trendlineLbl>
          </c:trendline>
          <c:xVal>
            <c:numRef>
              <c:f>'19th hole'!$B$6:$B$17</c:f>
              <c:numCache>
                <c:formatCode>General</c:formatCode>
                <c:ptCount val="12"/>
                <c:pt idx="0">
                  <c:v>450</c:v>
                </c:pt>
                <c:pt idx="1">
                  <c:v>300</c:v>
                </c:pt>
                <c:pt idx="2">
                  <c:v>440</c:v>
                </c:pt>
                <c:pt idx="3">
                  <c:v>360</c:v>
                </c:pt>
                <c:pt idx="4">
                  <c:v>290</c:v>
                </c:pt>
                <c:pt idx="5">
                  <c:v>450</c:v>
                </c:pt>
                <c:pt idx="6">
                  <c:v>340</c:v>
                </c:pt>
                <c:pt idx="7">
                  <c:v>370</c:v>
                </c:pt>
                <c:pt idx="8">
                  <c:v>500</c:v>
                </c:pt>
                <c:pt idx="9">
                  <c:v>490</c:v>
                </c:pt>
                <c:pt idx="10">
                  <c:v>430</c:v>
                </c:pt>
                <c:pt idx="11">
                  <c:v>390</c:v>
                </c:pt>
              </c:numCache>
            </c:numRef>
          </c:xVal>
          <c:yVal>
            <c:numRef>
              <c:f>'19th hole'!$C$6:$C$17</c:f>
              <c:numCache>
                <c:formatCode>General</c:formatCode>
                <c:ptCount val="12"/>
                <c:pt idx="0">
                  <c:v>45</c:v>
                </c:pt>
                <c:pt idx="1">
                  <c:v>103</c:v>
                </c:pt>
                <c:pt idx="2">
                  <c:v>49</c:v>
                </c:pt>
                <c:pt idx="3">
                  <c:v>86</c:v>
                </c:pt>
                <c:pt idx="4">
                  <c:v>125</c:v>
                </c:pt>
                <c:pt idx="5">
                  <c:v>52</c:v>
                </c:pt>
                <c:pt idx="6">
                  <c:v>87</c:v>
                </c:pt>
                <c:pt idx="7">
                  <c:v>68</c:v>
                </c:pt>
                <c:pt idx="8">
                  <c:v>45</c:v>
                </c:pt>
                <c:pt idx="9">
                  <c:v>44</c:v>
                </c:pt>
                <c:pt idx="10">
                  <c:v>58</c:v>
                </c:pt>
                <c:pt idx="11">
                  <c:v>68</c:v>
                </c:pt>
              </c:numCache>
            </c:numRef>
          </c:yVal>
          <c:smooth val="0"/>
        </c:ser>
        <c:dLbls>
          <c:showLegendKey val="0"/>
          <c:showVal val="0"/>
          <c:showCatName val="0"/>
          <c:showSerName val="0"/>
          <c:showPercent val="0"/>
          <c:showBubbleSize val="0"/>
        </c:dLbls>
        <c:axId val="235848064"/>
        <c:axId val="235849600"/>
      </c:scatterChart>
      <c:valAx>
        <c:axId val="235848064"/>
        <c:scaling>
          <c:orientation val="minMax"/>
        </c:scaling>
        <c:delete val="0"/>
        <c:axPos val="b"/>
        <c:numFmt formatCode="General" sourceLinked="1"/>
        <c:majorTickMark val="out"/>
        <c:minorTickMark val="none"/>
        <c:tickLblPos val="nextTo"/>
        <c:crossAx val="235849600"/>
        <c:crosses val="autoZero"/>
        <c:crossBetween val="midCat"/>
      </c:valAx>
      <c:valAx>
        <c:axId val="235849600"/>
        <c:scaling>
          <c:orientation val="minMax"/>
        </c:scaling>
        <c:delete val="0"/>
        <c:axPos val="l"/>
        <c:majorGridlines/>
        <c:numFmt formatCode="General" sourceLinked="1"/>
        <c:majorTickMark val="out"/>
        <c:minorTickMark val="none"/>
        <c:tickLblPos val="nextTo"/>
        <c:crossAx val="235848064"/>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xVal>
            <c:numRef>
              <c:f>'19th hole'!$I$43:$I$77</c:f>
              <c:numCache>
                <c:formatCode>_("$"* #,##0_);_("$"* \(#,##0\);_("$"* "-"??_);_(@_)</c:formatCode>
                <c:ptCount val="35"/>
                <c:pt idx="0">
                  <c:v>260</c:v>
                </c:pt>
                <c:pt idx="1">
                  <c:v>270</c:v>
                </c:pt>
                <c:pt idx="2">
                  <c:v>280</c:v>
                </c:pt>
                <c:pt idx="3">
                  <c:v>290</c:v>
                </c:pt>
                <c:pt idx="4">
                  <c:v>300</c:v>
                </c:pt>
                <c:pt idx="5">
                  <c:v>310</c:v>
                </c:pt>
                <c:pt idx="6">
                  <c:v>320</c:v>
                </c:pt>
                <c:pt idx="7">
                  <c:v>330</c:v>
                </c:pt>
                <c:pt idx="8">
                  <c:v>340</c:v>
                </c:pt>
                <c:pt idx="9">
                  <c:v>350</c:v>
                </c:pt>
                <c:pt idx="10">
                  <c:v>360</c:v>
                </c:pt>
                <c:pt idx="11">
                  <c:v>370</c:v>
                </c:pt>
                <c:pt idx="12">
                  <c:v>380</c:v>
                </c:pt>
                <c:pt idx="13">
                  <c:v>390</c:v>
                </c:pt>
                <c:pt idx="14">
                  <c:v>400</c:v>
                </c:pt>
                <c:pt idx="15">
                  <c:v>410</c:v>
                </c:pt>
                <c:pt idx="16">
                  <c:v>420</c:v>
                </c:pt>
                <c:pt idx="17">
                  <c:v>430</c:v>
                </c:pt>
                <c:pt idx="18">
                  <c:v>440</c:v>
                </c:pt>
                <c:pt idx="19">
                  <c:v>450</c:v>
                </c:pt>
                <c:pt idx="20">
                  <c:v>460</c:v>
                </c:pt>
                <c:pt idx="21">
                  <c:v>470</c:v>
                </c:pt>
                <c:pt idx="22">
                  <c:v>480</c:v>
                </c:pt>
                <c:pt idx="23">
                  <c:v>490</c:v>
                </c:pt>
                <c:pt idx="24">
                  <c:v>500</c:v>
                </c:pt>
                <c:pt idx="25">
                  <c:v>510</c:v>
                </c:pt>
                <c:pt idx="26">
                  <c:v>520</c:v>
                </c:pt>
                <c:pt idx="27">
                  <c:v>530</c:v>
                </c:pt>
                <c:pt idx="28">
                  <c:v>540</c:v>
                </c:pt>
                <c:pt idx="29">
                  <c:v>550</c:v>
                </c:pt>
                <c:pt idx="30">
                  <c:v>560</c:v>
                </c:pt>
                <c:pt idx="31">
                  <c:v>570</c:v>
                </c:pt>
                <c:pt idx="32">
                  <c:v>580</c:v>
                </c:pt>
                <c:pt idx="33">
                  <c:v>590</c:v>
                </c:pt>
                <c:pt idx="34">
                  <c:v>600</c:v>
                </c:pt>
              </c:numCache>
            </c:numRef>
          </c:xVal>
          <c:yVal>
            <c:numRef>
              <c:f>'19th hole'!$J$43:$J$77</c:f>
              <c:numCache>
                <c:formatCode>_("$"* #,##0_);_("$"* \(#,##0\);_("$"* "-"??_);_(@_)</c:formatCode>
                <c:ptCount val="35"/>
                <c:pt idx="0">
                  <c:v>144859.72842847556</c:v>
                </c:pt>
                <c:pt idx="1">
                  <c:v>269590.60184817808</c:v>
                </c:pt>
                <c:pt idx="2">
                  <c:v>377277.18719872413</c:v>
                </c:pt>
                <c:pt idx="3">
                  <c:v>470458.61526328744</c:v>
                </c:pt>
                <c:pt idx="4">
                  <c:v>551238.40185229108</c:v>
                </c:pt>
                <c:pt idx="5">
                  <c:v>621369.53021456813</c:v>
                </c:pt>
                <c:pt idx="6">
                  <c:v>682320.93416212313</c:v>
                </c:pt>
                <c:pt idx="7">
                  <c:v>735329.86392835062</c:v>
                </c:pt>
                <c:pt idx="8">
                  <c:v>781443.44106265297</c:v>
                </c:pt>
                <c:pt idx="9">
                  <c:v>821551.86522268457</c:v>
                </c:pt>
                <c:pt idx="10">
                  <c:v>856415.12424477958</c:v>
                </c:pt>
                <c:pt idx="11">
                  <c:v>886684.61116254725</c:v>
                </c:pt>
                <c:pt idx="12">
                  <c:v>912920.72098907013</c:v>
                </c:pt>
                <c:pt idx="13">
                  <c:v>935607.253438466</c:v>
                </c:pt>
                <c:pt idx="14">
                  <c:v>955163.26238462282</c:v>
                </c:pt>
                <c:pt idx="15">
                  <c:v>971952.85243747453</c:v>
                </c:pt>
                <c:pt idx="16">
                  <c:v>986293.31587235699</c:v>
                </c:pt>
                <c:pt idx="17">
                  <c:v>998461.92082203622</c:v>
                </c:pt>
                <c:pt idx="18">
                  <c:v>1008701.5979665397</c:v>
                </c:pt>
                <c:pt idx="19">
                  <c:v>1017225.7233983984</c:v>
                </c:pt>
                <c:pt idx="20">
                  <c:v>1024222.1565401531</c:v>
                </c:pt>
                <c:pt idx="21">
                  <c:v>1029856.6614397548</c:v>
                </c:pt>
                <c:pt idx="22">
                  <c:v>1034275.8155834542</c:v>
                </c:pt>
                <c:pt idx="23">
                  <c:v>1037609.4911199291</c:v>
                </c:pt>
                <c:pt idx="24">
                  <c:v>1039972.9779989794</c:v>
                </c:pt>
                <c:pt idx="25">
                  <c:v>1041468.8061629091</c:v>
                </c:pt>
                <c:pt idx="26">
                  <c:v>1042188.3139489595</c:v>
                </c:pt>
                <c:pt idx="27">
                  <c:v>1042213.0017719698</c:v>
                </c:pt>
                <c:pt idx="28">
                  <c:v>1041615.7035724644</c:v>
                </c:pt>
                <c:pt idx="29">
                  <c:v>1040461.6031350964</c:v>
                </c:pt>
                <c:pt idx="30">
                  <c:v>1038809.1179690239</c:v>
                </c:pt>
                <c:pt idx="31">
                  <c:v>1036710.669808225</c:v>
                </c:pt>
                <c:pt idx="32">
                  <c:v>1034213.3577876764</c:v>
                </c:pt>
                <c:pt idx="33">
                  <c:v>1031359.5478624469</c:v>
                </c:pt>
                <c:pt idx="34">
                  <c:v>1028187.3899667513</c:v>
                </c:pt>
              </c:numCache>
            </c:numRef>
          </c:yVal>
          <c:smooth val="0"/>
        </c:ser>
        <c:dLbls>
          <c:showLegendKey val="0"/>
          <c:showVal val="0"/>
          <c:showCatName val="0"/>
          <c:showSerName val="0"/>
          <c:showPercent val="0"/>
          <c:showBubbleSize val="0"/>
        </c:dLbls>
        <c:axId val="235857792"/>
        <c:axId val="235859328"/>
      </c:scatterChart>
      <c:valAx>
        <c:axId val="235857792"/>
        <c:scaling>
          <c:orientation val="minMax"/>
        </c:scaling>
        <c:delete val="0"/>
        <c:axPos val="b"/>
        <c:numFmt formatCode="_(&quot;$&quot;* #,##0_);_(&quot;$&quot;* \(#,##0\);_(&quot;$&quot;* &quot;-&quot;??_);_(@_)" sourceLinked="1"/>
        <c:majorTickMark val="out"/>
        <c:minorTickMark val="none"/>
        <c:tickLblPos val="nextTo"/>
        <c:crossAx val="235859328"/>
        <c:crosses val="autoZero"/>
        <c:crossBetween val="midCat"/>
      </c:valAx>
      <c:valAx>
        <c:axId val="235859328"/>
        <c:scaling>
          <c:orientation val="minMax"/>
        </c:scaling>
        <c:delete val="0"/>
        <c:axPos val="l"/>
        <c:majorGridlines/>
        <c:numFmt formatCode="_(&quot;$&quot;* #,##0_);_(&quot;$&quot;* \(#,##0\);_(&quot;$&quot;* &quot;-&quot;??_);_(@_)" sourceLinked="1"/>
        <c:majorTickMark val="out"/>
        <c:minorTickMark val="none"/>
        <c:tickLblPos val="nextTo"/>
        <c:crossAx val="235857792"/>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trendline>
            <c:trendlineType val="power"/>
            <c:dispRSqr val="0"/>
            <c:dispEq val="1"/>
            <c:trendlineLbl>
              <c:layout>
                <c:manualLayout>
                  <c:x val="0.39663538932633419"/>
                  <c:y val="-8.1322907553222509E-2"/>
                </c:manualLayout>
              </c:layout>
              <c:numFmt formatCode="#,##0.00" sourceLinked="0"/>
            </c:trendlineLbl>
          </c:trendline>
          <c:trendline>
            <c:trendlineType val="exp"/>
            <c:dispRSqr val="0"/>
            <c:dispEq val="1"/>
            <c:trendlineLbl>
              <c:layout>
                <c:manualLayout>
                  <c:x val="0.32043044619422573"/>
                  <c:y val="-3.3691673957421987E-2"/>
                </c:manualLayout>
              </c:layout>
              <c:numFmt formatCode="General" sourceLinked="0"/>
            </c:trendlineLbl>
          </c:trendline>
          <c:xVal>
            <c:numRef>
              <c:f>Quiz1!$B$3:$B$8</c:f>
              <c:numCache>
                <c:formatCode>General</c:formatCode>
                <c:ptCount val="6"/>
                <c:pt idx="0">
                  <c:v>1</c:v>
                </c:pt>
                <c:pt idx="1">
                  <c:v>2</c:v>
                </c:pt>
                <c:pt idx="2">
                  <c:v>3</c:v>
                </c:pt>
                <c:pt idx="3">
                  <c:v>4</c:v>
                </c:pt>
                <c:pt idx="4">
                  <c:v>5</c:v>
                </c:pt>
                <c:pt idx="5">
                  <c:v>6</c:v>
                </c:pt>
              </c:numCache>
            </c:numRef>
          </c:xVal>
          <c:yVal>
            <c:numRef>
              <c:f>Quiz1!$C$3:$C$8</c:f>
              <c:numCache>
                <c:formatCode>_("$"* #,##0.0_);_("$"* \(#,##0.0\);_("$"* "-"??_);_(@_)</c:formatCode>
                <c:ptCount val="6"/>
                <c:pt idx="0">
                  <c:v>218.6</c:v>
                </c:pt>
                <c:pt idx="1">
                  <c:v>435</c:v>
                </c:pt>
                <c:pt idx="2">
                  <c:v>915</c:v>
                </c:pt>
                <c:pt idx="3">
                  <c:v>1825.9</c:v>
                </c:pt>
                <c:pt idx="4">
                  <c:v>4021.8</c:v>
                </c:pt>
                <c:pt idx="5">
                  <c:v>3582.1</c:v>
                </c:pt>
              </c:numCache>
            </c:numRef>
          </c:yVal>
          <c:smooth val="0"/>
        </c:ser>
        <c:dLbls>
          <c:showLegendKey val="0"/>
          <c:showVal val="0"/>
          <c:showCatName val="0"/>
          <c:showSerName val="0"/>
          <c:showPercent val="0"/>
          <c:showBubbleSize val="0"/>
        </c:dLbls>
        <c:axId val="236049536"/>
        <c:axId val="236051072"/>
      </c:scatterChart>
      <c:valAx>
        <c:axId val="236049536"/>
        <c:scaling>
          <c:orientation val="minMax"/>
        </c:scaling>
        <c:delete val="0"/>
        <c:axPos val="b"/>
        <c:numFmt formatCode="General" sourceLinked="1"/>
        <c:majorTickMark val="out"/>
        <c:minorTickMark val="none"/>
        <c:tickLblPos val="nextTo"/>
        <c:crossAx val="236051072"/>
        <c:crosses val="autoZero"/>
        <c:crossBetween val="midCat"/>
      </c:valAx>
      <c:valAx>
        <c:axId val="236051072"/>
        <c:scaling>
          <c:orientation val="minMax"/>
        </c:scaling>
        <c:delete val="0"/>
        <c:axPos val="l"/>
        <c:majorGridlines/>
        <c:numFmt formatCode="_(&quot;$&quot;* #,##0.0_);_(&quot;$&quot;* \(#,##0.0\);_(&quot;$&quot;* &quot;-&quot;??_);_(@_)" sourceLinked="1"/>
        <c:majorTickMark val="out"/>
        <c:minorTickMark val="none"/>
        <c:tickLblPos val="nextTo"/>
        <c:crossAx val="236049536"/>
        <c:crosses val="autoZero"/>
        <c:crossBetween val="midCat"/>
      </c:valAx>
      <c:spPr>
        <a:noFill/>
        <a:ln w="25400">
          <a:noFill/>
        </a:ln>
      </c:spPr>
    </c:plotArea>
    <c:legend>
      <c:legendPos val="r"/>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trendline>
            <c:trendlineType val="exp"/>
            <c:dispRSqr val="0"/>
            <c:dispEq val="1"/>
            <c:trendlineLbl>
              <c:layout>
                <c:manualLayout>
                  <c:x val="0.35729680664916885"/>
                  <c:y val="-5.9638378536016334E-3"/>
                </c:manualLayout>
              </c:layout>
              <c:numFmt formatCode="General" sourceLinked="0"/>
            </c:trendlineLbl>
          </c:trendline>
          <c:xVal>
            <c:numRef>
              <c:f>Quiz1!$B$3:$B$7</c:f>
              <c:numCache>
                <c:formatCode>General</c:formatCode>
                <c:ptCount val="5"/>
                <c:pt idx="0">
                  <c:v>1</c:v>
                </c:pt>
                <c:pt idx="1">
                  <c:v>2</c:v>
                </c:pt>
                <c:pt idx="2">
                  <c:v>3</c:v>
                </c:pt>
                <c:pt idx="3">
                  <c:v>4</c:v>
                </c:pt>
                <c:pt idx="4">
                  <c:v>5</c:v>
                </c:pt>
              </c:numCache>
            </c:numRef>
          </c:xVal>
          <c:yVal>
            <c:numRef>
              <c:f>Quiz1!$C$3:$C$7</c:f>
              <c:numCache>
                <c:formatCode>_("$"* #,##0.0_);_("$"* \(#,##0.0\);_("$"* "-"??_);_(@_)</c:formatCode>
                <c:ptCount val="5"/>
                <c:pt idx="0">
                  <c:v>218.6</c:v>
                </c:pt>
                <c:pt idx="1">
                  <c:v>435</c:v>
                </c:pt>
                <c:pt idx="2">
                  <c:v>915</c:v>
                </c:pt>
                <c:pt idx="3">
                  <c:v>1825.9</c:v>
                </c:pt>
                <c:pt idx="4">
                  <c:v>4021.8</c:v>
                </c:pt>
              </c:numCache>
            </c:numRef>
          </c:yVal>
          <c:smooth val="0"/>
        </c:ser>
        <c:dLbls>
          <c:showLegendKey val="0"/>
          <c:showVal val="0"/>
          <c:showCatName val="0"/>
          <c:showSerName val="0"/>
          <c:showPercent val="0"/>
          <c:showBubbleSize val="0"/>
        </c:dLbls>
        <c:axId val="236141952"/>
        <c:axId val="236147840"/>
      </c:scatterChart>
      <c:valAx>
        <c:axId val="236141952"/>
        <c:scaling>
          <c:orientation val="minMax"/>
        </c:scaling>
        <c:delete val="0"/>
        <c:axPos val="b"/>
        <c:numFmt formatCode="General" sourceLinked="1"/>
        <c:majorTickMark val="out"/>
        <c:minorTickMark val="none"/>
        <c:tickLblPos val="nextTo"/>
        <c:crossAx val="236147840"/>
        <c:crosses val="autoZero"/>
        <c:crossBetween val="midCat"/>
      </c:valAx>
      <c:valAx>
        <c:axId val="236147840"/>
        <c:scaling>
          <c:orientation val="minMax"/>
        </c:scaling>
        <c:delete val="0"/>
        <c:axPos val="l"/>
        <c:majorGridlines/>
        <c:numFmt formatCode="_(&quot;$&quot;* #,##0.0_);_(&quot;$&quot;* \(#,##0.0\);_(&quot;$&quot;* &quot;-&quot;??_);_(@_)" sourceLinked="1"/>
        <c:majorTickMark val="out"/>
        <c:minorTickMark val="none"/>
        <c:tickLblPos val="nextTo"/>
        <c:crossAx val="236141952"/>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Sales</a:t>
            </a:r>
            <a:r>
              <a:rPr lang="en-US" baseline="0"/>
              <a:t> Vs Years</a:t>
            </a:r>
            <a:endParaRPr lang="en-US"/>
          </a:p>
        </c:rich>
      </c:tx>
      <c:overlay val="0"/>
    </c:title>
    <c:autoTitleDeleted val="0"/>
    <c:plotArea>
      <c:layout/>
      <c:scatterChart>
        <c:scatterStyle val="lineMarker"/>
        <c:varyColors val="0"/>
        <c:ser>
          <c:idx val="0"/>
          <c:order val="0"/>
          <c:spPr>
            <a:ln w="19050">
              <a:noFill/>
            </a:ln>
          </c:spPr>
          <c:trendline>
            <c:trendlineType val="exp"/>
            <c:dispRSqr val="0"/>
            <c:dispEq val="1"/>
            <c:trendlineLbl>
              <c:layout>
                <c:manualLayout>
                  <c:x val="0.31477537182852144"/>
                  <c:y val="-0.12535906969962088"/>
                </c:manualLayout>
              </c:layout>
              <c:numFmt formatCode="#,##0.00" sourceLinked="0"/>
            </c:trendlineLbl>
          </c:trendline>
          <c:xVal>
            <c:numRef>
              <c:f>[1]Sheet1!$B$2:$B$21</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[1]Sheet1!$C$2:$C$21</c:f>
              <c:numCache>
                <c:formatCode>General</c:formatCode>
                <c:ptCount val="20"/>
                <c:pt idx="0">
                  <c:v>150781.16666666666</c:v>
                </c:pt>
                <c:pt idx="1">
                  <c:v>161696.25</c:v>
                </c:pt>
                <c:pt idx="2">
                  <c:v>175688.83333333334</c:v>
                </c:pt>
                <c:pt idx="3">
                  <c:v>185437.25</c:v>
                </c:pt>
                <c:pt idx="4">
                  <c:v>196728.16666666666</c:v>
                </c:pt>
                <c:pt idx="5">
                  <c:v>206334.08333333334</c:v>
                </c:pt>
                <c:pt idx="6">
                  <c:v>215657.66666666666</c:v>
                </c:pt>
                <c:pt idx="7">
                  <c:v>233872</c:v>
                </c:pt>
                <c:pt idx="8">
                  <c:v>248748.25</c:v>
                </c:pt>
                <c:pt idx="9">
                  <c:v>255663.75</c:v>
                </c:pt>
                <c:pt idx="10">
                  <c:v>261272.41666666666</c:v>
                </c:pt>
                <c:pt idx="11">
                  <c:v>272232.5</c:v>
                </c:pt>
                <c:pt idx="12">
                  <c:v>288987.5</c:v>
                </c:pt>
                <c:pt idx="13">
                  <c:v>307826.08333333331</c:v>
                </c:pt>
                <c:pt idx="14">
                  <c:v>323823.08333333331</c:v>
                </c:pt>
                <c:pt idx="15">
                  <c:v>334008</c:v>
                </c:pt>
                <c:pt idx="16">
                  <c:v>328780.33333333331</c:v>
                </c:pt>
                <c:pt idx="17">
                  <c:v>303288.91666666669</c:v>
                </c:pt>
                <c:pt idx="18">
                  <c:v>323964.16666666669</c:v>
                </c:pt>
                <c:pt idx="19">
                  <c:v>349717.75</c:v>
                </c:pt>
              </c:numCache>
            </c:numRef>
          </c:yVal>
          <c:smooth val="0"/>
        </c:ser>
        <c:dLbls>
          <c:showLegendKey val="0"/>
          <c:showVal val="0"/>
          <c:showCatName val="0"/>
          <c:showSerName val="0"/>
          <c:showPercent val="0"/>
          <c:showBubbleSize val="0"/>
        </c:dLbls>
        <c:axId val="236323968"/>
        <c:axId val="236325888"/>
      </c:scatterChart>
      <c:valAx>
        <c:axId val="236323968"/>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236325888"/>
        <c:crosses val="autoZero"/>
        <c:crossBetween val="midCat"/>
      </c:valAx>
      <c:valAx>
        <c:axId val="236325888"/>
        <c:scaling>
          <c:orientation val="minMax"/>
        </c:scaling>
        <c:delete val="0"/>
        <c:axPos val="l"/>
        <c:majorGridlines/>
        <c:title>
          <c:tx>
            <c:rich>
              <a:bodyPr rot="-5400000" vert="horz"/>
              <a:lstStyle/>
              <a:p>
                <a:pPr>
                  <a:defRPr/>
                </a:pPr>
                <a:r>
                  <a:rPr lang="en-US"/>
                  <a:t>Sales</a:t>
                </a:r>
              </a:p>
              <a:p>
                <a:pPr>
                  <a:defRPr/>
                </a:pPr>
                <a:endParaRPr lang="en-US"/>
              </a:p>
            </c:rich>
          </c:tx>
          <c:overlay val="0"/>
        </c:title>
        <c:numFmt formatCode="General" sourceLinked="1"/>
        <c:majorTickMark val="out"/>
        <c:minorTickMark val="none"/>
        <c:tickLblPos val="nextTo"/>
        <c:crossAx val="236323968"/>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6</xdr:col>
      <xdr:colOff>500062</xdr:colOff>
      <xdr:row>16</xdr:row>
      <xdr:rowOff>85725</xdr:rowOff>
    </xdr:from>
    <xdr:to>
      <xdr:col>14</xdr:col>
      <xdr:colOff>195262</xdr:colOff>
      <xdr:row>30</xdr:row>
      <xdr:rowOff>161925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38100</xdr:colOff>
      <xdr:row>2</xdr:row>
      <xdr:rowOff>38100</xdr:rowOff>
    </xdr:from>
    <xdr:to>
      <xdr:col>15</xdr:col>
      <xdr:colOff>352425</xdr:colOff>
      <xdr:row>16</xdr:row>
      <xdr:rowOff>123825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247650</xdr:colOff>
      <xdr:row>56</xdr:row>
      <xdr:rowOff>180975</xdr:rowOff>
    </xdr:from>
    <xdr:to>
      <xdr:col>5</xdr:col>
      <xdr:colOff>523875</xdr:colOff>
      <xdr:row>71</xdr:row>
      <xdr:rowOff>66675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200025</xdr:colOff>
      <xdr:row>1</xdr:row>
      <xdr:rowOff>190500</xdr:rowOff>
    </xdr:from>
    <xdr:to>
      <xdr:col>16</xdr:col>
      <xdr:colOff>504825</xdr:colOff>
      <xdr:row>15</xdr:row>
      <xdr:rowOff>57150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9525</xdr:colOff>
      <xdr:row>12</xdr:row>
      <xdr:rowOff>28575</xdr:rowOff>
    </xdr:from>
    <xdr:to>
      <xdr:col>9</xdr:col>
      <xdr:colOff>209550</xdr:colOff>
      <xdr:row>26</xdr:row>
      <xdr:rowOff>104775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76200</xdr:colOff>
      <xdr:row>2</xdr:row>
      <xdr:rowOff>0</xdr:rowOff>
    </xdr:from>
    <xdr:to>
      <xdr:col>16</xdr:col>
      <xdr:colOff>381000</xdr:colOff>
      <xdr:row>16</xdr:row>
      <xdr:rowOff>76200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S/Downloads/Sal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2">
          <cell r="B2">
            <v>1</v>
          </cell>
          <cell r="C2">
            <v>150781.16666666666</v>
          </cell>
        </row>
        <row r="3">
          <cell r="B3">
            <v>2</v>
          </cell>
          <cell r="C3">
            <v>161696.25</v>
          </cell>
        </row>
        <row r="4">
          <cell r="B4">
            <v>3</v>
          </cell>
          <cell r="C4">
            <v>175688.83333333334</v>
          </cell>
        </row>
        <row r="5">
          <cell r="B5">
            <v>4</v>
          </cell>
          <cell r="C5">
            <v>185437.25</v>
          </cell>
        </row>
        <row r="6">
          <cell r="B6">
            <v>5</v>
          </cell>
          <cell r="C6">
            <v>196728.16666666666</v>
          </cell>
        </row>
        <row r="7">
          <cell r="B7">
            <v>6</v>
          </cell>
          <cell r="C7">
            <v>206334.08333333334</v>
          </cell>
        </row>
        <row r="8">
          <cell r="B8">
            <v>7</v>
          </cell>
          <cell r="C8">
            <v>215657.66666666666</v>
          </cell>
        </row>
        <row r="9">
          <cell r="B9">
            <v>8</v>
          </cell>
          <cell r="C9">
            <v>233872</v>
          </cell>
        </row>
        <row r="10">
          <cell r="B10">
            <v>9</v>
          </cell>
          <cell r="C10">
            <v>248748.25</v>
          </cell>
        </row>
        <row r="11">
          <cell r="B11">
            <v>10</v>
          </cell>
          <cell r="C11">
            <v>255663.75</v>
          </cell>
        </row>
        <row r="12">
          <cell r="B12">
            <v>11</v>
          </cell>
          <cell r="C12">
            <v>261272.41666666666</v>
          </cell>
        </row>
        <row r="13">
          <cell r="B13">
            <v>12</v>
          </cell>
          <cell r="C13">
            <v>272232.5</v>
          </cell>
        </row>
        <row r="14">
          <cell r="B14">
            <v>13</v>
          </cell>
          <cell r="C14">
            <v>288987.5</v>
          </cell>
        </row>
        <row r="15">
          <cell r="B15">
            <v>14</v>
          </cell>
          <cell r="C15">
            <v>307826.08333333331</v>
          </cell>
        </row>
        <row r="16">
          <cell r="B16">
            <v>15</v>
          </cell>
          <cell r="C16">
            <v>323823.08333333331</v>
          </cell>
        </row>
        <row r="17">
          <cell r="B17">
            <v>16</v>
          </cell>
          <cell r="C17">
            <v>334008</v>
          </cell>
        </row>
        <row r="18">
          <cell r="B18">
            <v>17</v>
          </cell>
          <cell r="C18">
            <v>328780.33333333331</v>
          </cell>
        </row>
        <row r="19">
          <cell r="B19">
            <v>18</v>
          </cell>
          <cell r="C19">
            <v>303288.91666666669</v>
          </cell>
        </row>
        <row r="20">
          <cell r="B20">
            <v>19</v>
          </cell>
          <cell r="C20">
            <v>323964.16666666669</v>
          </cell>
        </row>
        <row r="21">
          <cell r="B21">
            <v>20</v>
          </cell>
          <cell r="C21">
            <v>349717.75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1"/>
  <sheetViews>
    <sheetView workbookViewId="0">
      <selection activeCell="B21" sqref="B21"/>
    </sheetView>
  </sheetViews>
  <sheetFormatPr defaultRowHeight="15"/>
  <cols>
    <col min="1" max="1" width="18.140625" customWidth="1"/>
    <col min="2" max="2" width="11.42578125" customWidth="1"/>
  </cols>
  <sheetData>
    <row r="2" spans="1:2" ht="20.25" thickBot="1">
      <c r="A2" s="126" t="s">
        <v>0</v>
      </c>
      <c r="B2" s="126"/>
    </row>
    <row r="3" spans="1:2" ht="15.75" thickTop="1"/>
    <row r="4" spans="1:2">
      <c r="A4" s="4" t="s">
        <v>1</v>
      </c>
    </row>
    <row r="5" spans="1:2">
      <c r="A5" s="7" t="s">
        <v>2</v>
      </c>
      <c r="B5" s="2">
        <v>50000</v>
      </c>
    </row>
    <row r="6" spans="1:2">
      <c r="A6" s="7" t="s">
        <v>3</v>
      </c>
      <c r="B6" s="3">
        <f>22%*B5</f>
        <v>11000</v>
      </c>
    </row>
    <row r="7" spans="1:2">
      <c r="A7" s="7" t="s">
        <v>4</v>
      </c>
      <c r="B7" s="2">
        <v>5000</v>
      </c>
    </row>
    <row r="8" spans="1:2">
      <c r="A8" s="7" t="s">
        <v>5</v>
      </c>
      <c r="B8" s="2">
        <v>500</v>
      </c>
    </row>
    <row r="9" spans="1:2">
      <c r="A9" s="7" t="s">
        <v>6</v>
      </c>
      <c r="B9" s="2">
        <v>5000</v>
      </c>
    </row>
    <row r="10" spans="1:2">
      <c r="A10" s="8" t="s">
        <v>7</v>
      </c>
      <c r="B10" s="9">
        <f>B5-B6-B7-B8-B9</f>
        <v>28500</v>
      </c>
    </row>
    <row r="12" spans="1:2">
      <c r="A12" s="8" t="s">
        <v>8</v>
      </c>
    </row>
    <row r="13" spans="1:2">
      <c r="A13" s="7" t="s">
        <v>10</v>
      </c>
      <c r="B13" s="2">
        <f>500*12</f>
        <v>6000</v>
      </c>
    </row>
    <row r="14" spans="1:2">
      <c r="A14" s="7" t="s">
        <v>9</v>
      </c>
      <c r="B14" s="2">
        <v>5000</v>
      </c>
    </row>
    <row r="15" spans="1:2">
      <c r="A15" s="7" t="s">
        <v>11</v>
      </c>
      <c r="B15" s="2">
        <v>2000</v>
      </c>
    </row>
    <row r="16" spans="1:2">
      <c r="A16" s="7" t="s">
        <v>12</v>
      </c>
      <c r="B16" s="2">
        <v>1500</v>
      </c>
    </row>
    <row r="17" spans="1:3">
      <c r="A17" s="7" t="s">
        <v>13</v>
      </c>
      <c r="B17" s="2">
        <v>500</v>
      </c>
    </row>
    <row r="18" spans="1:3">
      <c r="A18" s="7" t="s">
        <v>14</v>
      </c>
      <c r="B18" s="2">
        <v>3000</v>
      </c>
    </row>
    <row r="19" spans="1:3">
      <c r="A19" s="7" t="s">
        <v>15</v>
      </c>
      <c r="B19" s="2">
        <v>3000</v>
      </c>
    </row>
    <row r="20" spans="1:3">
      <c r="A20" s="4" t="s">
        <v>16</v>
      </c>
      <c r="B20" s="10">
        <f>SUM(B13:B19)</f>
        <v>21000</v>
      </c>
      <c r="C20" t="s">
        <v>38</v>
      </c>
    </row>
    <row r="21" spans="1:3">
      <c r="A21" s="8" t="s">
        <v>17</v>
      </c>
      <c r="B21" s="9">
        <f>B10-B20</f>
        <v>7500</v>
      </c>
    </row>
  </sheetData>
  <mergeCells count="1">
    <mergeCell ref="A2: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27"/>
  <sheetViews>
    <sheetView topLeftCell="A8" workbookViewId="0">
      <selection activeCell="C27" sqref="C27"/>
    </sheetView>
  </sheetViews>
  <sheetFormatPr defaultRowHeight="15"/>
  <cols>
    <col min="1" max="1" width="25.5703125" customWidth="1"/>
    <col min="2" max="2" width="11.140625" customWidth="1"/>
    <col min="13" max="15" width="9.140625" customWidth="1"/>
  </cols>
  <sheetData>
    <row r="3" spans="1:9" ht="35.25" customHeight="1">
      <c r="A3" s="127" t="s">
        <v>18</v>
      </c>
      <c r="B3" s="128"/>
      <c r="C3" s="128"/>
      <c r="D3" s="128"/>
      <c r="E3" s="128"/>
      <c r="F3" s="128"/>
      <c r="G3" s="128"/>
      <c r="H3" s="128"/>
      <c r="I3" s="128"/>
    </row>
    <row r="4" spans="1:9" ht="15" customHeight="1">
      <c r="A4" s="130" t="s">
        <v>19</v>
      </c>
      <c r="B4" s="131"/>
      <c r="C4" s="131"/>
      <c r="D4" s="131"/>
      <c r="E4" s="131"/>
      <c r="F4" s="131"/>
      <c r="G4" s="131"/>
      <c r="H4" s="131"/>
      <c r="I4" s="131"/>
    </row>
    <row r="5" spans="1:9" ht="136.5" customHeight="1">
      <c r="A5" s="130"/>
      <c r="B5" s="131"/>
      <c r="C5" s="131"/>
      <c r="D5" s="131"/>
      <c r="E5" s="131"/>
      <c r="F5" s="131"/>
      <c r="G5" s="131"/>
      <c r="H5" s="131"/>
      <c r="I5" s="131"/>
    </row>
    <row r="9" spans="1:9" ht="15" customHeight="1">
      <c r="A9" s="129" t="s">
        <v>20</v>
      </c>
      <c r="B9" s="129"/>
    </row>
    <row r="11" spans="1:9">
      <c r="A11" t="s">
        <v>21</v>
      </c>
    </row>
    <row r="12" spans="1:9">
      <c r="A12" s="4" t="s">
        <v>22</v>
      </c>
    </row>
    <row r="13" spans="1:9">
      <c r="A13" s="7" t="s">
        <v>23</v>
      </c>
      <c r="B13" s="2">
        <v>750</v>
      </c>
    </row>
    <row r="14" spans="1:9">
      <c r="A14" s="7" t="s">
        <v>24</v>
      </c>
      <c r="B14" s="1">
        <v>8</v>
      </c>
      <c r="C14" t="s">
        <v>25</v>
      </c>
    </row>
    <row r="15" spans="1:9">
      <c r="A15" s="4" t="s">
        <v>28</v>
      </c>
    </row>
    <row r="16" spans="1:9">
      <c r="A16" t="s">
        <v>29</v>
      </c>
      <c r="B16" s="1">
        <v>18</v>
      </c>
      <c r="C16" t="s">
        <v>25</v>
      </c>
    </row>
    <row r="17" spans="1:3">
      <c r="A17" t="s">
        <v>30</v>
      </c>
      <c r="B17" s="1">
        <v>6</v>
      </c>
      <c r="C17" t="s">
        <v>25</v>
      </c>
    </row>
    <row r="20" spans="1:3">
      <c r="A20" t="s">
        <v>26</v>
      </c>
      <c r="B20" s="14">
        <v>1600</v>
      </c>
    </row>
    <row r="21" spans="1:3">
      <c r="A21" t="s">
        <v>35</v>
      </c>
      <c r="B21" s="14">
        <v>1500</v>
      </c>
    </row>
    <row r="22" spans="1:3">
      <c r="A22" t="s">
        <v>31</v>
      </c>
      <c r="B22" s="14">
        <f>MIN(B20:B21)</f>
        <v>1500</v>
      </c>
      <c r="C22" t="s">
        <v>36</v>
      </c>
    </row>
    <row r="23" spans="1:3">
      <c r="A23" t="s">
        <v>32</v>
      </c>
      <c r="B23">
        <f>MAX(B20-B22,0)</f>
        <v>100</v>
      </c>
      <c r="C23" t="s">
        <v>37</v>
      </c>
    </row>
    <row r="25" spans="1:3">
      <c r="A25" s="6" t="s">
        <v>27</v>
      </c>
      <c r="B25" s="2">
        <f>B13+(B14*B20)</f>
        <v>13550</v>
      </c>
    </row>
    <row r="26" spans="1:3">
      <c r="A26" s="6" t="s">
        <v>33</v>
      </c>
      <c r="B26" s="3">
        <f>B22*B16+B23*B17</f>
        <v>27600</v>
      </c>
    </row>
    <row r="27" spans="1:3">
      <c r="A27" s="6" t="s">
        <v>34</v>
      </c>
      <c r="B27" s="2">
        <f>B26-B25</f>
        <v>14050</v>
      </c>
    </row>
  </sheetData>
  <mergeCells count="3">
    <mergeCell ref="A3:I3"/>
    <mergeCell ref="A9:B9"/>
    <mergeCell ref="A4:I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opLeftCell="A12" workbookViewId="0">
      <selection activeCell="E18" sqref="E18"/>
    </sheetView>
  </sheetViews>
  <sheetFormatPr defaultRowHeight="15"/>
  <cols>
    <col min="1" max="1" width="36" customWidth="1"/>
    <col min="4" max="4" width="11.5703125" bestFit="1" customWidth="1"/>
    <col min="5" max="5" width="13.140625" customWidth="1"/>
    <col min="6" max="6" width="13.5703125" customWidth="1"/>
  </cols>
  <sheetData>
    <row r="1" spans="1:6" ht="18" customHeight="1"/>
    <row r="2" spans="1:6" ht="16.5" customHeight="1"/>
    <row r="3" spans="1:6" ht="42.75" customHeight="1">
      <c r="A3" s="133" t="s">
        <v>39</v>
      </c>
      <c r="B3" s="133"/>
      <c r="C3" s="133"/>
      <c r="D3" s="133"/>
      <c r="E3" s="133"/>
      <c r="F3" s="133"/>
    </row>
    <row r="4" spans="1:6" ht="137.25" customHeight="1">
      <c r="A4" s="132" t="s">
        <v>40</v>
      </c>
      <c r="B4" s="132"/>
      <c r="C4" s="132"/>
      <c r="D4" s="132"/>
      <c r="E4" s="132"/>
      <c r="F4" s="132"/>
    </row>
    <row r="5" spans="1:6" ht="15.75" customHeight="1">
      <c r="A5" s="13"/>
    </row>
    <row r="6" spans="1:6" ht="15" customHeight="1">
      <c r="A6" s="16" t="s">
        <v>41</v>
      </c>
      <c r="B6" s="16" t="s">
        <v>42</v>
      </c>
      <c r="C6" s="16" t="s">
        <v>43</v>
      </c>
      <c r="D6" s="16" t="s">
        <v>44</v>
      </c>
      <c r="E6" s="12"/>
    </row>
    <row r="7" spans="1:6" ht="21.75" customHeight="1">
      <c r="A7" s="17" t="s">
        <v>45</v>
      </c>
      <c r="B7" s="17">
        <v>30</v>
      </c>
      <c r="C7" s="17">
        <v>30</v>
      </c>
      <c r="D7" s="17">
        <v>16</v>
      </c>
    </row>
    <row r="8" spans="1:6" ht="27.75" customHeight="1">
      <c r="A8" s="17" t="s">
        <v>46</v>
      </c>
      <c r="B8" s="18">
        <v>5.5</v>
      </c>
      <c r="C8" s="18">
        <v>4.3</v>
      </c>
      <c r="D8" s="18">
        <v>18.5</v>
      </c>
    </row>
    <row r="9" spans="1:6" ht="27" customHeight="1">
      <c r="A9" s="17" t="s">
        <v>47</v>
      </c>
      <c r="B9" s="19">
        <v>2.4E-2</v>
      </c>
      <c r="C9" s="19">
        <v>1.7000000000000001E-2</v>
      </c>
      <c r="D9" s="19">
        <v>1.4999999999999999E-2</v>
      </c>
    </row>
    <row r="11" spans="1:6" ht="20.25" thickBot="1">
      <c r="A11" s="20" t="s">
        <v>48</v>
      </c>
    </row>
    <row r="12" spans="1:6" ht="15.75" thickTop="1"/>
    <row r="13" spans="1:6">
      <c r="A13" s="5" t="s">
        <v>22</v>
      </c>
      <c r="B13" s="5" t="s">
        <v>42</v>
      </c>
      <c r="C13" s="5" t="s">
        <v>43</v>
      </c>
    </row>
    <row r="14" spans="1:6">
      <c r="A14" s="8" t="s">
        <v>55</v>
      </c>
      <c r="B14" s="4"/>
      <c r="C14" s="4"/>
    </row>
    <row r="15" spans="1:6">
      <c r="A15" s="7" t="s">
        <v>49</v>
      </c>
      <c r="B15" s="1">
        <v>5.5</v>
      </c>
      <c r="C15" s="1">
        <v>4.3</v>
      </c>
    </row>
    <row r="16" spans="1:6">
      <c r="A16" s="7" t="s">
        <v>50</v>
      </c>
      <c r="B16" s="11">
        <v>30</v>
      </c>
      <c r="C16" s="11">
        <v>30</v>
      </c>
    </row>
    <row r="17" spans="1:6">
      <c r="A17" s="7" t="s">
        <v>51</v>
      </c>
      <c r="B17" s="15">
        <f>B15*B16</f>
        <v>165</v>
      </c>
      <c r="C17" s="15">
        <f>C15*C16</f>
        <v>129</v>
      </c>
    </row>
    <row r="18" spans="1:6">
      <c r="A18" s="8" t="s">
        <v>56</v>
      </c>
      <c r="B18" s="15"/>
      <c r="C18" s="15"/>
    </row>
    <row r="19" spans="1:6">
      <c r="A19" s="7" t="s">
        <v>52</v>
      </c>
      <c r="B19" s="11">
        <v>16</v>
      </c>
      <c r="C19" s="11">
        <v>16</v>
      </c>
    </row>
    <row r="20" spans="1:6">
      <c r="A20" s="7" t="s">
        <v>53</v>
      </c>
      <c r="B20" s="1">
        <v>18.5</v>
      </c>
      <c r="C20" s="1">
        <v>18.5</v>
      </c>
    </row>
    <row r="21" spans="1:6">
      <c r="A21" s="7" t="s">
        <v>54</v>
      </c>
      <c r="B21" s="15">
        <f>B19*B20</f>
        <v>296</v>
      </c>
      <c r="C21" s="15">
        <f>C19*C20</f>
        <v>296</v>
      </c>
    </row>
    <row r="23" spans="1:6">
      <c r="A23" s="4" t="s">
        <v>27</v>
      </c>
      <c r="B23" s="15">
        <f>B17+B21</f>
        <v>461</v>
      </c>
      <c r="C23" s="15">
        <f>C17+C21</f>
        <v>425</v>
      </c>
    </row>
    <row r="25" spans="1:6">
      <c r="A25" t="s">
        <v>57</v>
      </c>
      <c r="B25" s="26">
        <v>2.4E-2</v>
      </c>
      <c r="C25" s="26">
        <v>1.7000000000000001E-2</v>
      </c>
      <c r="D25" s="26">
        <v>1.4999999999999999E-2</v>
      </c>
    </row>
    <row r="27" spans="1:6" s="5" customFormat="1">
      <c r="A27" s="21" t="s">
        <v>58</v>
      </c>
      <c r="B27" s="21" t="s">
        <v>42</v>
      </c>
      <c r="C27" s="21" t="s">
        <v>43</v>
      </c>
      <c r="D27" s="21" t="s">
        <v>44</v>
      </c>
      <c r="E27" s="21" t="s">
        <v>59</v>
      </c>
      <c r="F27" s="21" t="s">
        <v>60</v>
      </c>
    </row>
    <row r="28" spans="1:6">
      <c r="A28" s="22">
        <v>0</v>
      </c>
      <c r="B28" s="25">
        <f>B17</f>
        <v>165</v>
      </c>
      <c r="C28" s="25">
        <f>C17</f>
        <v>129</v>
      </c>
      <c r="D28" s="23">
        <f>B21</f>
        <v>296</v>
      </c>
      <c r="E28" s="23">
        <f>SUM(B28+D28)</f>
        <v>461</v>
      </c>
      <c r="F28" s="24">
        <f>SUM(C28+D28)</f>
        <v>425</v>
      </c>
    </row>
    <row r="29" spans="1:6">
      <c r="A29" s="22">
        <v>1</v>
      </c>
      <c r="B29" s="23">
        <f>B28*(1+B25)</f>
        <v>168.96</v>
      </c>
      <c r="C29" s="23">
        <f>C28*(1+C25)</f>
        <v>131.19299999999998</v>
      </c>
      <c r="D29" s="23">
        <f>D28*(1+D25)</f>
        <v>300.44</v>
      </c>
      <c r="E29" s="23">
        <f>B29+D29</f>
        <v>469.4</v>
      </c>
      <c r="F29" s="24">
        <f>C29+D29</f>
        <v>431.63299999999998</v>
      </c>
    </row>
    <row r="30" spans="1:6">
      <c r="A30" s="22">
        <v>2</v>
      </c>
      <c r="B30" s="23">
        <f>B29*(1+$B25)</f>
        <v>173.01504</v>
      </c>
      <c r="C30" s="23">
        <f>C29*(1+$C25)</f>
        <v>133.42328099999997</v>
      </c>
      <c r="D30" s="23">
        <f>D29*(1+$D25)</f>
        <v>304.94659999999999</v>
      </c>
      <c r="E30" s="23">
        <f t="shared" ref="E30:E33" si="0">B30+D30</f>
        <v>477.96163999999999</v>
      </c>
      <c r="F30" s="24">
        <f t="shared" ref="F30:F33" si="1">C30+D30</f>
        <v>438.36988099999996</v>
      </c>
    </row>
    <row r="31" spans="1:6">
      <c r="A31" s="22">
        <v>3</v>
      </c>
      <c r="B31" s="23">
        <f>B30*(1+$B25)</f>
        <v>177.16740096000001</v>
      </c>
      <c r="C31" s="23">
        <f>C30*(1+$C25)</f>
        <v>135.69147677699996</v>
      </c>
      <c r="D31" s="23">
        <f>D30*(1+$D25)</f>
        <v>309.52079899999995</v>
      </c>
      <c r="E31" s="23">
        <f t="shared" si="0"/>
        <v>486.68819995999996</v>
      </c>
      <c r="F31" s="24">
        <f t="shared" si="1"/>
        <v>445.21227577699995</v>
      </c>
    </row>
    <row r="32" spans="1:6">
      <c r="A32" s="22">
        <v>4</v>
      </c>
      <c r="B32" s="23">
        <f>B31*(1+B25)</f>
        <v>181.41941858304003</v>
      </c>
      <c r="C32" s="23">
        <f>C31*(1+C25)</f>
        <v>137.99823188220896</v>
      </c>
      <c r="D32" s="23">
        <f>D31*(1+D25)</f>
        <v>314.16361098499993</v>
      </c>
      <c r="E32" s="23">
        <f t="shared" si="0"/>
        <v>495.58302956803993</v>
      </c>
      <c r="F32" s="24">
        <f t="shared" si="1"/>
        <v>452.16184286720886</v>
      </c>
    </row>
    <row r="33" spans="1:6">
      <c r="A33" s="22">
        <v>5</v>
      </c>
      <c r="B33" s="23">
        <f>B32*(1+B25)</f>
        <v>185.77348462903299</v>
      </c>
      <c r="C33" s="23">
        <f>C32*(1+C25)</f>
        <v>140.34420182420649</v>
      </c>
      <c r="D33" s="23">
        <f>D32*(1+D25)</f>
        <v>318.87606514977489</v>
      </c>
      <c r="E33" s="23">
        <f t="shared" si="0"/>
        <v>504.64954977880791</v>
      </c>
      <c r="F33" s="24">
        <f t="shared" si="1"/>
        <v>459.22026697398138</v>
      </c>
    </row>
  </sheetData>
  <mergeCells count="2">
    <mergeCell ref="A4:F4"/>
    <mergeCell ref="A3:F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8"/>
  <sheetViews>
    <sheetView workbookViewId="0">
      <selection activeCell="H18" sqref="H18"/>
    </sheetView>
  </sheetViews>
  <sheetFormatPr defaultRowHeight="15"/>
  <cols>
    <col min="1" max="1" width="23.7109375" customWidth="1"/>
    <col min="2" max="2" width="10.42578125" customWidth="1"/>
  </cols>
  <sheetData>
    <row r="2" spans="1:2">
      <c r="A2" t="s">
        <v>61</v>
      </c>
      <c r="B2">
        <v>3</v>
      </c>
    </row>
    <row r="3" spans="1:2">
      <c r="A3" t="s">
        <v>62</v>
      </c>
      <c r="B3">
        <f>100000*B2</f>
        <v>300000</v>
      </c>
    </row>
    <row r="5" spans="1:2">
      <c r="A5" t="s">
        <v>63</v>
      </c>
      <c r="B5" s="27">
        <v>-335544.32000000001</v>
      </c>
    </row>
    <row r="6" spans="1:2">
      <c r="A6" t="s">
        <v>64</v>
      </c>
      <c r="B6">
        <f>365*B5</f>
        <v>-122473676.8</v>
      </c>
    </row>
    <row r="8" spans="1:2">
      <c r="A8" t="s">
        <v>65</v>
      </c>
      <c r="B8">
        <v>182500</v>
      </c>
    </row>
    <row r="10" spans="1:2">
      <c r="A10" t="s">
        <v>66</v>
      </c>
    </row>
    <row r="11" spans="1:2">
      <c r="A11" t="s">
        <v>67</v>
      </c>
      <c r="B11">
        <v>400</v>
      </c>
    </row>
    <row r="12" spans="1:2">
      <c r="A12" t="s">
        <v>68</v>
      </c>
      <c r="B12">
        <v>5000</v>
      </c>
    </row>
    <row r="13" spans="1:2">
      <c r="A13" t="s">
        <v>69</v>
      </c>
      <c r="B13">
        <v>0.03</v>
      </c>
    </row>
    <row r="14" spans="1:2">
      <c r="A14" t="s">
        <v>70</v>
      </c>
      <c r="B14">
        <f>B2*B12+B11*12+B8*B13</f>
        <v>25275</v>
      </c>
    </row>
    <row r="16" spans="1:2">
      <c r="A16" t="s">
        <v>71</v>
      </c>
      <c r="B16">
        <v>0.1</v>
      </c>
    </row>
    <row r="17" spans="1:2">
      <c r="A17" t="s">
        <v>72</v>
      </c>
      <c r="B17">
        <f>B16*B8</f>
        <v>18250</v>
      </c>
    </row>
    <row r="18" spans="1:2">
      <c r="A18" t="s">
        <v>73</v>
      </c>
      <c r="B18">
        <f>B17-B14</f>
        <v>-7025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25"/>
  <sheetViews>
    <sheetView topLeftCell="A2" workbookViewId="0">
      <selection activeCell="C24" sqref="C24"/>
    </sheetView>
  </sheetViews>
  <sheetFormatPr defaultRowHeight="15"/>
  <cols>
    <col min="1" max="1" width="18.5703125" customWidth="1"/>
    <col min="2" max="2" width="14.28515625" bestFit="1" customWidth="1"/>
    <col min="3" max="3" width="12.7109375" customWidth="1"/>
    <col min="5" max="5" width="10.5703125" customWidth="1"/>
    <col min="6" max="6" width="10.7109375" bestFit="1" customWidth="1"/>
    <col min="8" max="8" width="14.42578125" customWidth="1"/>
    <col min="9" max="9" width="10.7109375" bestFit="1" customWidth="1"/>
  </cols>
  <sheetData>
    <row r="3" spans="1:9">
      <c r="A3" s="134" t="s">
        <v>74</v>
      </c>
      <c r="B3" s="134"/>
      <c r="C3" s="134"/>
      <c r="D3" s="134"/>
      <c r="E3" s="134"/>
    </row>
    <row r="5" spans="1:9">
      <c r="A5" s="134" t="s">
        <v>75</v>
      </c>
      <c r="B5" s="134"/>
      <c r="C5" s="30"/>
    </row>
    <row r="6" spans="1:9">
      <c r="A6" t="s">
        <v>76</v>
      </c>
      <c r="B6" s="14">
        <v>5</v>
      </c>
      <c r="F6" s="31"/>
      <c r="I6" s="33"/>
    </row>
    <row r="7" spans="1:9">
      <c r="A7" t="s">
        <v>77</v>
      </c>
      <c r="B7" s="14">
        <v>50</v>
      </c>
      <c r="E7" s="32"/>
      <c r="G7" t="s">
        <v>92</v>
      </c>
      <c r="H7" s="32" t="s">
        <v>73</v>
      </c>
    </row>
    <row r="8" spans="1:9">
      <c r="A8" t="s">
        <v>78</v>
      </c>
      <c r="B8">
        <f>B7*B6</f>
        <v>250</v>
      </c>
      <c r="E8" s="32"/>
      <c r="H8" s="34">
        <v>-706000</v>
      </c>
    </row>
    <row r="9" spans="1:9">
      <c r="E9" s="32"/>
      <c r="G9" s="32">
        <v>0.4</v>
      </c>
      <c r="H9" s="32"/>
    </row>
    <row r="10" spans="1:9">
      <c r="A10" s="134" t="s">
        <v>79</v>
      </c>
      <c r="B10" s="134"/>
      <c r="C10" s="30"/>
      <c r="E10" s="32"/>
      <c r="G10" s="32">
        <v>0.5</v>
      </c>
      <c r="H10" s="32"/>
    </row>
    <row r="11" spans="1:9">
      <c r="A11" t="s">
        <v>80</v>
      </c>
      <c r="B11">
        <v>800</v>
      </c>
      <c r="E11" s="32"/>
      <c r="G11" s="32">
        <v>0.6</v>
      </c>
      <c r="H11" s="32"/>
    </row>
    <row r="12" spans="1:9">
      <c r="A12" t="s">
        <v>81</v>
      </c>
      <c r="B12" s="29">
        <v>0.9</v>
      </c>
      <c r="E12" s="32"/>
      <c r="G12" s="32">
        <v>0.7</v>
      </c>
      <c r="H12" s="32"/>
    </row>
    <row r="13" spans="1:9">
      <c r="A13" t="s">
        <v>82</v>
      </c>
      <c r="B13">
        <f>B12*B11</f>
        <v>720</v>
      </c>
      <c r="E13" s="32"/>
      <c r="G13" s="32">
        <v>0.8</v>
      </c>
      <c r="H13" s="32"/>
    </row>
    <row r="14" spans="1:9">
      <c r="G14" s="32">
        <v>0.9</v>
      </c>
    </row>
    <row r="15" spans="1:9">
      <c r="A15" s="134" t="s">
        <v>66</v>
      </c>
      <c r="B15" s="134"/>
      <c r="C15" s="30"/>
      <c r="G15" s="32">
        <v>1</v>
      </c>
    </row>
    <row r="16" spans="1:9">
      <c r="A16" t="s">
        <v>83</v>
      </c>
      <c r="B16" s="2">
        <v>5500000</v>
      </c>
    </row>
    <row r="17" spans="1:8">
      <c r="A17" t="s">
        <v>84</v>
      </c>
      <c r="B17" s="2">
        <v>1000</v>
      </c>
      <c r="C17" t="s">
        <v>85</v>
      </c>
    </row>
    <row r="18" spans="1:8">
      <c r="A18" t="s">
        <v>86</v>
      </c>
      <c r="B18" s="3">
        <f>B16+(B17*B8)</f>
        <v>5750000</v>
      </c>
    </row>
    <row r="19" spans="1:8">
      <c r="H19" s="3"/>
    </row>
    <row r="20" spans="1:8">
      <c r="A20" s="134" t="s">
        <v>87</v>
      </c>
      <c r="B20" s="134"/>
    </row>
    <row r="21" spans="1:8">
      <c r="A21" t="s">
        <v>88</v>
      </c>
      <c r="B21" s="2">
        <v>55</v>
      </c>
      <c r="C21" t="s">
        <v>90</v>
      </c>
    </row>
    <row r="22" spans="1:8">
      <c r="A22" t="s">
        <v>89</v>
      </c>
      <c r="B22" s="1">
        <v>1.5</v>
      </c>
      <c r="C22" t="s">
        <v>90</v>
      </c>
      <c r="F22">
        <v>5324000</v>
      </c>
    </row>
    <row r="23" spans="1:8">
      <c r="A23" t="s">
        <v>91</v>
      </c>
      <c r="B23" s="3">
        <f>B13*B8*(B21+B22)</f>
        <v>10170000</v>
      </c>
    </row>
    <row r="25" spans="1:8">
      <c r="A25" s="4" t="s">
        <v>73</v>
      </c>
      <c r="B25" s="3">
        <f>B23-B18</f>
        <v>4420000</v>
      </c>
    </row>
  </sheetData>
  <mergeCells count="5">
    <mergeCell ref="A20:B20"/>
    <mergeCell ref="A3:E3"/>
    <mergeCell ref="A5:B5"/>
    <mergeCell ref="A10:B10"/>
    <mergeCell ref="A15:B1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6"/>
  <sheetViews>
    <sheetView topLeftCell="A57" zoomScaleNormal="100" workbookViewId="0">
      <selection activeCell="L69" sqref="L69"/>
    </sheetView>
  </sheetViews>
  <sheetFormatPr defaultRowHeight="15"/>
  <cols>
    <col min="1" max="1" width="14.7109375" customWidth="1"/>
    <col min="2" max="2" width="14.28515625" bestFit="1" customWidth="1"/>
    <col min="4" max="4" width="17.140625" customWidth="1"/>
    <col min="7" max="7" width="14.28515625" customWidth="1"/>
    <col min="8" max="8" width="11.42578125" customWidth="1"/>
    <col min="9" max="9" width="12.5703125" bestFit="1" customWidth="1"/>
    <col min="10" max="13" width="15" bestFit="1" customWidth="1"/>
    <col min="14" max="15" width="13.42578125" bestFit="1" customWidth="1"/>
    <col min="16" max="16" width="14.28515625" bestFit="1" customWidth="1"/>
  </cols>
  <sheetData>
    <row r="1" spans="1:17" ht="192.75" customHeight="1">
      <c r="A1" s="138" t="s">
        <v>93</v>
      </c>
      <c r="B1" s="138"/>
      <c r="C1" s="138"/>
      <c r="D1" s="138"/>
      <c r="E1" s="138"/>
      <c r="F1" s="138"/>
      <c r="G1" s="138"/>
      <c r="H1" s="138"/>
      <c r="I1" s="138"/>
      <c r="J1" s="138"/>
      <c r="K1" s="138"/>
      <c r="L1" s="138"/>
      <c r="M1" s="138"/>
      <c r="N1" s="138"/>
      <c r="O1" s="138"/>
      <c r="P1" s="138"/>
      <c r="Q1" s="138"/>
    </row>
    <row r="3" spans="1:17" ht="15.75" customHeight="1"/>
    <row r="5" spans="1:17" ht="30">
      <c r="A5" s="35" t="s">
        <v>94</v>
      </c>
      <c r="B5" s="35" t="s">
        <v>95</v>
      </c>
      <c r="C5" s="35" t="s">
        <v>96</v>
      </c>
    </row>
    <row r="6" spans="1:17">
      <c r="A6" s="36">
        <v>1</v>
      </c>
      <c r="B6" s="36">
        <v>450</v>
      </c>
      <c r="C6" s="36">
        <v>45</v>
      </c>
    </row>
    <row r="7" spans="1:17">
      <c r="A7" s="36">
        <v>2</v>
      </c>
      <c r="B7" s="36">
        <v>300</v>
      </c>
      <c r="C7" s="36">
        <v>103</v>
      </c>
    </row>
    <row r="8" spans="1:17">
      <c r="A8" s="36">
        <v>3</v>
      </c>
      <c r="B8" s="36">
        <v>440</v>
      </c>
      <c r="C8" s="36">
        <v>49</v>
      </c>
    </row>
    <row r="9" spans="1:17">
      <c r="A9" s="36">
        <v>4</v>
      </c>
      <c r="B9" s="36">
        <v>360</v>
      </c>
      <c r="C9" s="36">
        <v>86</v>
      </c>
    </row>
    <row r="10" spans="1:17">
      <c r="A10" s="36">
        <v>5</v>
      </c>
      <c r="B10" s="36">
        <v>290</v>
      </c>
      <c r="C10" s="36">
        <v>125</v>
      </c>
    </row>
    <row r="11" spans="1:17">
      <c r="A11" s="36">
        <v>6</v>
      </c>
      <c r="B11" s="36">
        <v>450</v>
      </c>
      <c r="C11" s="36">
        <v>52</v>
      </c>
    </row>
    <row r="12" spans="1:17">
      <c r="A12" s="36">
        <v>7</v>
      </c>
      <c r="B12" s="36">
        <v>340</v>
      </c>
      <c r="C12" s="36">
        <v>87</v>
      </c>
    </row>
    <row r="13" spans="1:17">
      <c r="A13" s="36">
        <v>8</v>
      </c>
      <c r="B13" s="36">
        <v>370</v>
      </c>
      <c r="C13" s="36">
        <v>68</v>
      </c>
    </row>
    <row r="14" spans="1:17">
      <c r="A14" s="36">
        <v>9</v>
      </c>
      <c r="B14" s="36">
        <v>500</v>
      </c>
      <c r="C14" s="36">
        <v>45</v>
      </c>
    </row>
    <row r="15" spans="1:17">
      <c r="A15" s="36">
        <v>10</v>
      </c>
      <c r="B15" s="36">
        <v>490</v>
      </c>
      <c r="C15" s="36">
        <v>44</v>
      </c>
    </row>
    <row r="16" spans="1:17">
      <c r="A16" s="36">
        <v>11</v>
      </c>
      <c r="B16" s="36">
        <v>430</v>
      </c>
      <c r="C16" s="36">
        <v>58</v>
      </c>
    </row>
    <row r="17" spans="1:8">
      <c r="A17" s="36">
        <v>12</v>
      </c>
      <c r="B17" s="36">
        <v>390</v>
      </c>
      <c r="C17" s="36">
        <v>68</v>
      </c>
    </row>
    <row r="20" spans="1:8">
      <c r="A20" s="37" t="s">
        <v>97</v>
      </c>
      <c r="B20" s="37" t="s">
        <v>110</v>
      </c>
      <c r="C20" s="22"/>
      <c r="D20" s="37" t="s">
        <v>104</v>
      </c>
      <c r="E20" s="37" t="s">
        <v>101</v>
      </c>
      <c r="F20" s="22"/>
      <c r="G20" s="37" t="s">
        <v>105</v>
      </c>
      <c r="H20" s="37" t="s">
        <v>106</v>
      </c>
    </row>
    <row r="21" spans="1:8">
      <c r="A21" s="22" t="s">
        <v>98</v>
      </c>
      <c r="B21" s="22">
        <v>211.31</v>
      </c>
      <c r="C21" s="22"/>
      <c r="D21" s="22" t="s">
        <v>102</v>
      </c>
      <c r="E21" s="22">
        <v>5871064</v>
      </c>
      <c r="F21" s="22"/>
      <c r="G21" s="22" t="s">
        <v>102</v>
      </c>
      <c r="H21" s="22">
        <v>466.51</v>
      </c>
    </row>
    <row r="22" spans="1:8">
      <c r="A22" s="22" t="s">
        <v>99</v>
      </c>
      <c r="B22" s="22">
        <v>-0.35460000000000003</v>
      </c>
      <c r="C22" s="22"/>
      <c r="D22" s="22" t="s">
        <v>103</v>
      </c>
      <c r="E22" s="22">
        <v>-1.9079999999999999</v>
      </c>
      <c r="F22" s="22"/>
      <c r="G22" s="22" t="s">
        <v>103</v>
      </c>
      <c r="H22" s="22">
        <v>-5.0000000000000001E-3</v>
      </c>
    </row>
    <row r="24" spans="1:8">
      <c r="A24" s="134" t="s">
        <v>107</v>
      </c>
      <c r="B24" s="134"/>
      <c r="C24" s="134"/>
      <c r="F24" s="134" t="s">
        <v>111</v>
      </c>
      <c r="G24" s="134"/>
      <c r="H24" s="134"/>
    </row>
    <row r="25" spans="1:8" ht="30">
      <c r="A25" s="35" t="s">
        <v>95</v>
      </c>
      <c r="B25" s="37" t="s">
        <v>108</v>
      </c>
      <c r="C25" s="37" t="s">
        <v>100</v>
      </c>
      <c r="D25" s="37" t="s">
        <v>109</v>
      </c>
      <c r="E25" s="35" t="s">
        <v>96</v>
      </c>
      <c r="F25" s="41" t="s">
        <v>108</v>
      </c>
      <c r="G25" s="41" t="s">
        <v>100</v>
      </c>
      <c r="H25" s="41" t="s">
        <v>109</v>
      </c>
    </row>
    <row r="26" spans="1:8">
      <c r="A26" s="36">
        <v>450</v>
      </c>
      <c r="B26" s="40">
        <f>$B$22*A26+$B$21</f>
        <v>51.739999999999981</v>
      </c>
      <c r="C26" s="40">
        <f>$E$21*A26^$E$22</f>
        <v>50.861286169919921</v>
      </c>
      <c r="D26" s="40">
        <f>$H$21*EXP($H$22*A26)</f>
        <v>49.169792250355329</v>
      </c>
      <c r="E26" s="36">
        <v>45</v>
      </c>
      <c r="F26" s="42">
        <f>ABS(B26-E26)/E26</f>
        <v>0.14977777777777734</v>
      </c>
      <c r="G26" s="42">
        <f>ABS(C26-E26)/E26</f>
        <v>0.13025080377599826</v>
      </c>
      <c r="H26" s="42">
        <f>ABS(D26-E26)/E26</f>
        <v>9.2662050007896193E-2</v>
      </c>
    </row>
    <row r="27" spans="1:8">
      <c r="A27" s="36">
        <v>300</v>
      </c>
      <c r="B27" s="40">
        <f t="shared" ref="B27:B37" si="0">$B$22*A27+$B$21</f>
        <v>104.92999999999999</v>
      </c>
      <c r="C27" s="40">
        <f t="shared" ref="C27:C37" si="1">$E$21*A27^$E$22</f>
        <v>110.2476803704582</v>
      </c>
      <c r="D27" s="40">
        <f t="shared" ref="D27:D37" si="2">$H$21*EXP($H$22*A27)</f>
        <v>104.09245101084399</v>
      </c>
      <c r="E27" s="36">
        <v>103</v>
      </c>
      <c r="F27" s="42">
        <f t="shared" ref="F27:F37" si="3">ABS(B27-E27)/E27</f>
        <v>1.8737864077669832E-2</v>
      </c>
      <c r="G27" s="42">
        <f t="shared" ref="G27:G37" si="4">ABS(C27-E27)/E27</f>
        <v>7.0365828839399985E-2</v>
      </c>
      <c r="H27" s="42">
        <f t="shared" ref="H27:H37" si="5">ABS(D27-E27)/E27</f>
        <v>1.0606320493630948E-2</v>
      </c>
    </row>
    <row r="28" spans="1:8">
      <c r="A28" s="36">
        <v>440</v>
      </c>
      <c r="B28" s="40">
        <f t="shared" si="0"/>
        <v>55.286000000000001</v>
      </c>
      <c r="C28" s="40">
        <f t="shared" si="1"/>
        <v>53.089557787712614</v>
      </c>
      <c r="D28" s="40">
        <f t="shared" si="2"/>
        <v>51.69078140761237</v>
      </c>
      <c r="E28" s="36">
        <v>49</v>
      </c>
      <c r="F28" s="42">
        <f t="shared" si="3"/>
        <v>0.12828571428571431</v>
      </c>
      <c r="G28" s="42">
        <f t="shared" si="4"/>
        <v>8.3460363014543154E-2</v>
      </c>
      <c r="H28" s="42">
        <f t="shared" si="5"/>
        <v>5.4913906277803466E-2</v>
      </c>
    </row>
    <row r="29" spans="1:8">
      <c r="A29" s="36">
        <v>360</v>
      </c>
      <c r="B29" s="40">
        <f t="shared" si="0"/>
        <v>83.653999999999996</v>
      </c>
      <c r="C29" s="40">
        <f t="shared" si="1"/>
        <v>77.85592038588905</v>
      </c>
      <c r="D29" s="40">
        <f t="shared" si="2"/>
        <v>77.113584344252331</v>
      </c>
      <c r="E29" s="36">
        <v>86</v>
      </c>
      <c r="F29" s="42">
        <f t="shared" si="3"/>
        <v>2.7279069767441901E-2</v>
      </c>
      <c r="G29" s="42">
        <f t="shared" si="4"/>
        <v>9.4698600164080812E-2</v>
      </c>
      <c r="H29" s="42">
        <f t="shared" si="5"/>
        <v>0.10333041460171709</v>
      </c>
    </row>
    <row r="30" spans="1:8">
      <c r="A30" s="36">
        <v>290</v>
      </c>
      <c r="B30" s="40">
        <f t="shared" si="0"/>
        <v>108.476</v>
      </c>
      <c r="C30" s="40">
        <f t="shared" si="1"/>
        <v>117.61465381582187</v>
      </c>
      <c r="D30" s="40">
        <f t="shared" si="2"/>
        <v>109.42938509863754</v>
      </c>
      <c r="E30" s="36">
        <v>125</v>
      </c>
      <c r="F30" s="42">
        <f t="shared" si="3"/>
        <v>0.132192</v>
      </c>
      <c r="G30" s="42">
        <f t="shared" si="4"/>
        <v>5.9082769473425063E-2</v>
      </c>
      <c r="H30" s="42">
        <f t="shared" si="5"/>
        <v>0.12456491921089968</v>
      </c>
    </row>
    <row r="31" spans="1:8">
      <c r="A31" s="36">
        <v>450</v>
      </c>
      <c r="B31" s="40">
        <f t="shared" si="0"/>
        <v>51.739999999999981</v>
      </c>
      <c r="C31" s="40">
        <f t="shared" si="1"/>
        <v>50.861286169919921</v>
      </c>
      <c r="D31" s="40">
        <f t="shared" si="2"/>
        <v>49.169792250355329</v>
      </c>
      <c r="E31" s="36">
        <v>52</v>
      </c>
      <c r="F31" s="42">
        <f t="shared" si="3"/>
        <v>5.0000000000003713E-3</v>
      </c>
      <c r="G31" s="42">
        <f t="shared" si="4"/>
        <v>2.1898342886155355E-2</v>
      </c>
      <c r="H31" s="42">
        <f t="shared" si="5"/>
        <v>5.4427072108551369E-2</v>
      </c>
    </row>
    <row r="32" spans="1:8">
      <c r="A32" s="36">
        <v>340</v>
      </c>
      <c r="B32" s="40">
        <f t="shared" si="0"/>
        <v>90.745999999999995</v>
      </c>
      <c r="C32" s="40">
        <f t="shared" si="1"/>
        <v>86.827049006961417</v>
      </c>
      <c r="D32" s="40">
        <f t="shared" si="2"/>
        <v>85.223690805841244</v>
      </c>
      <c r="E32" s="36">
        <v>87</v>
      </c>
      <c r="F32" s="42">
        <f t="shared" si="3"/>
        <v>4.3057471264367757E-2</v>
      </c>
      <c r="G32" s="42">
        <f t="shared" si="4"/>
        <v>1.9879424487193459E-3</v>
      </c>
      <c r="H32" s="42">
        <f t="shared" si="5"/>
        <v>2.0417347059296046E-2</v>
      </c>
    </row>
    <row r="33" spans="1:16">
      <c r="A33" s="36">
        <v>370</v>
      </c>
      <c r="B33" s="40">
        <f t="shared" si="0"/>
        <v>80.108000000000004</v>
      </c>
      <c r="C33" s="40">
        <f t="shared" si="1"/>
        <v>73.890384263545585</v>
      </c>
      <c r="D33" s="40">
        <f t="shared" si="2"/>
        <v>73.352710456970414</v>
      </c>
      <c r="E33" s="36">
        <v>68</v>
      </c>
      <c r="F33" s="42">
        <f t="shared" si="3"/>
        <v>0.17805882352941182</v>
      </c>
      <c r="G33" s="42">
        <f t="shared" si="4"/>
        <v>8.6623297993317416E-2</v>
      </c>
      <c r="H33" s="42">
        <f t="shared" si="5"/>
        <v>7.8716330249564911E-2</v>
      </c>
    </row>
    <row r="34" spans="1:16">
      <c r="A34" s="36">
        <v>500</v>
      </c>
      <c r="B34" s="40">
        <f t="shared" si="0"/>
        <v>34.009999999999991</v>
      </c>
      <c r="C34" s="40">
        <f t="shared" si="1"/>
        <v>41.59891911995917</v>
      </c>
      <c r="D34" s="40">
        <f t="shared" si="2"/>
        <v>38.293472708035026</v>
      </c>
      <c r="E34" s="36">
        <v>45</v>
      </c>
      <c r="F34" s="42">
        <f t="shared" si="3"/>
        <v>0.24422222222222242</v>
      </c>
      <c r="G34" s="42">
        <f t="shared" si="4"/>
        <v>7.5579575112018446E-2</v>
      </c>
      <c r="H34" s="42">
        <f t="shared" si="5"/>
        <v>0.14903393982144386</v>
      </c>
    </row>
    <row r="35" spans="1:16">
      <c r="A35" s="36">
        <v>490</v>
      </c>
      <c r="B35" s="40">
        <f t="shared" si="0"/>
        <v>37.555999999999983</v>
      </c>
      <c r="C35" s="40">
        <f t="shared" si="1"/>
        <v>43.233728796663705</v>
      </c>
      <c r="D35" s="40">
        <f t="shared" si="2"/>
        <v>40.256821037821332</v>
      </c>
      <c r="E35" s="36">
        <v>44</v>
      </c>
      <c r="F35" s="42">
        <f t="shared" si="3"/>
        <v>0.14645454545454584</v>
      </c>
      <c r="G35" s="42">
        <f t="shared" si="4"/>
        <v>1.7415254621279432E-2</v>
      </c>
      <c r="H35" s="42">
        <f t="shared" si="5"/>
        <v>8.5072249140424272E-2</v>
      </c>
    </row>
    <row r="36" spans="1:16">
      <c r="A36" s="36">
        <v>430</v>
      </c>
      <c r="B36" s="40">
        <f t="shared" si="0"/>
        <v>58.831999999999994</v>
      </c>
      <c r="C36" s="40">
        <f t="shared" si="1"/>
        <v>55.470106712335337</v>
      </c>
      <c r="D36" s="40">
        <f t="shared" si="2"/>
        <v>54.341024442914069</v>
      </c>
      <c r="E36" s="36">
        <v>58</v>
      </c>
      <c r="F36" s="42">
        <f t="shared" si="3"/>
        <v>1.4344827586206787E-2</v>
      </c>
      <c r="G36" s="42">
        <f t="shared" si="4"/>
        <v>4.3618849787321778E-2</v>
      </c>
      <c r="H36" s="42">
        <f t="shared" si="5"/>
        <v>6.3085785466998806E-2</v>
      </c>
    </row>
    <row r="37" spans="1:16">
      <c r="A37" s="36">
        <v>390</v>
      </c>
      <c r="B37" s="40">
        <f t="shared" si="0"/>
        <v>73.015999999999991</v>
      </c>
      <c r="C37" s="40">
        <f t="shared" si="1"/>
        <v>66.829089531318985</v>
      </c>
      <c r="D37" s="40">
        <f t="shared" si="2"/>
        <v>66.372277135824447</v>
      </c>
      <c r="E37" s="36">
        <v>68</v>
      </c>
      <c r="F37" s="43">
        <f t="shared" si="3"/>
        <v>7.3764705882352816E-2</v>
      </c>
      <c r="G37" s="43">
        <f t="shared" si="4"/>
        <v>1.7219271598250221E-2</v>
      </c>
      <c r="H37" s="43">
        <f t="shared" si="5"/>
        <v>2.393710094375813E-2</v>
      </c>
    </row>
    <row r="38" spans="1:16">
      <c r="E38" s="37" t="s">
        <v>112</v>
      </c>
      <c r="F38" s="44">
        <f>AVERAGE(F26:F37)</f>
        <v>9.6764585153975916E-2</v>
      </c>
      <c r="G38" s="44">
        <f>AVERAGE(G26:G37)</f>
        <v>5.8516741642875771E-2</v>
      </c>
      <c r="H38" s="44">
        <f>AVERAGE(H26:H37)</f>
        <v>7.17306196151654E-2</v>
      </c>
    </row>
    <row r="41" spans="1:16">
      <c r="A41" s="134" t="s">
        <v>113</v>
      </c>
      <c r="B41" s="134"/>
      <c r="C41" s="134"/>
      <c r="D41" s="134"/>
      <c r="I41" t="s">
        <v>95</v>
      </c>
      <c r="J41" t="s">
        <v>73</v>
      </c>
    </row>
    <row r="42" spans="1:16">
      <c r="A42" t="s">
        <v>49</v>
      </c>
      <c r="B42" s="2">
        <v>250</v>
      </c>
      <c r="C42" s="136" t="s">
        <v>114</v>
      </c>
      <c r="D42" s="136"/>
      <c r="I42" s="2"/>
      <c r="J42" s="34">
        <f>B50</f>
        <v>955163.26238462282</v>
      </c>
    </row>
    <row r="43" spans="1:16">
      <c r="A43" t="s">
        <v>115</v>
      </c>
      <c r="B43" s="45">
        <v>400</v>
      </c>
      <c r="C43" s="136" t="s">
        <v>116</v>
      </c>
      <c r="D43" s="136"/>
      <c r="I43" s="2">
        <v>260</v>
      </c>
      <c r="J43" s="2">
        <f t="dataTable" ref="J43:J77" dt2D="0" dtr="0" r1="B43"/>
        <v>144859.72842847556</v>
      </c>
    </row>
    <row r="44" spans="1:16">
      <c r="A44" t="s">
        <v>35</v>
      </c>
      <c r="B44" s="46">
        <f>E21*B43^E22</f>
        <v>63.677550825641511</v>
      </c>
      <c r="C44" s="136" t="s">
        <v>117</v>
      </c>
      <c r="D44" s="136"/>
      <c r="I44" s="2">
        <v>270</v>
      </c>
      <c r="J44" s="2">
        <v>269590.60184817808</v>
      </c>
      <c r="L44" s="136" t="s">
        <v>121</v>
      </c>
      <c r="M44" s="136"/>
      <c r="N44" s="136"/>
      <c r="O44" s="136"/>
      <c r="P44" s="136"/>
    </row>
    <row r="45" spans="1:16">
      <c r="A45" t="s">
        <v>118</v>
      </c>
      <c r="B45" s="39">
        <f>B44*100</f>
        <v>6367.7550825641511</v>
      </c>
      <c r="I45" s="2">
        <v>280</v>
      </c>
      <c r="J45" s="2">
        <v>377277.18719872413</v>
      </c>
    </row>
    <row r="46" spans="1:16">
      <c r="I46" s="2">
        <v>290</v>
      </c>
      <c r="J46" s="2">
        <v>470458.61526328744</v>
      </c>
    </row>
    <row r="47" spans="1:16">
      <c r="A47" t="s">
        <v>119</v>
      </c>
      <c r="B47" s="3">
        <f>B45*B42</f>
        <v>1591938.7706410377</v>
      </c>
      <c r="I47" s="2">
        <v>300</v>
      </c>
      <c r="J47" s="2">
        <v>551238.40185229108</v>
      </c>
    </row>
    <row r="48" spans="1:16">
      <c r="A48" t="s">
        <v>28</v>
      </c>
      <c r="B48" s="3">
        <f>B45*B43</f>
        <v>2547102.0330256606</v>
      </c>
      <c r="I48" s="2">
        <v>310</v>
      </c>
      <c r="J48" s="2">
        <v>621369.53021456813</v>
      </c>
    </row>
    <row r="49" spans="1:10">
      <c r="I49" s="2">
        <v>320</v>
      </c>
      <c r="J49" s="2">
        <v>682320.93416212313</v>
      </c>
    </row>
    <row r="50" spans="1:10">
      <c r="A50" s="4" t="s">
        <v>120</v>
      </c>
      <c r="B50" s="9">
        <f>B48-B47</f>
        <v>955163.26238462282</v>
      </c>
      <c r="I50" s="2">
        <v>330</v>
      </c>
      <c r="J50" s="2">
        <v>735329.86392835062</v>
      </c>
    </row>
    <row r="51" spans="1:10">
      <c r="I51" s="2">
        <v>340</v>
      </c>
      <c r="J51" s="2">
        <v>781443.44106265297</v>
      </c>
    </row>
    <row r="52" spans="1:10">
      <c r="I52" s="2">
        <v>350</v>
      </c>
      <c r="J52" s="2">
        <v>821551.86522268457</v>
      </c>
    </row>
    <row r="53" spans="1:10">
      <c r="I53" s="2">
        <v>360</v>
      </c>
      <c r="J53" s="2">
        <v>856415.12424477958</v>
      </c>
    </row>
    <row r="54" spans="1:10">
      <c r="I54" s="2">
        <v>370</v>
      </c>
      <c r="J54" s="2">
        <v>886684.61116254725</v>
      </c>
    </row>
    <row r="55" spans="1:10">
      <c r="I55" s="2">
        <v>380</v>
      </c>
      <c r="J55" s="2">
        <v>912920.72098907013</v>
      </c>
    </row>
    <row r="56" spans="1:10">
      <c r="I56" s="2">
        <v>390</v>
      </c>
      <c r="J56" s="2">
        <v>935607.253438466</v>
      </c>
    </row>
    <row r="57" spans="1:10">
      <c r="I57" s="2">
        <v>400</v>
      </c>
      <c r="J57" s="2">
        <v>955163.26238462282</v>
      </c>
    </row>
    <row r="58" spans="1:10">
      <c r="I58" s="2">
        <v>410</v>
      </c>
      <c r="J58" s="2">
        <v>971952.85243747453</v>
      </c>
    </row>
    <row r="59" spans="1:10">
      <c r="I59" s="2">
        <v>420</v>
      </c>
      <c r="J59" s="2">
        <v>986293.31587235699</v>
      </c>
    </row>
    <row r="60" spans="1:10">
      <c r="I60" s="2">
        <v>430</v>
      </c>
      <c r="J60" s="2">
        <v>998461.92082203622</v>
      </c>
    </row>
    <row r="61" spans="1:10">
      <c r="I61" s="2">
        <v>440</v>
      </c>
      <c r="J61" s="2">
        <v>1008701.5979665397</v>
      </c>
    </row>
    <row r="62" spans="1:10">
      <c r="I62" s="2">
        <v>450</v>
      </c>
      <c r="J62" s="2">
        <v>1017225.7233983984</v>
      </c>
    </row>
    <row r="63" spans="1:10">
      <c r="I63" s="2">
        <v>460</v>
      </c>
      <c r="J63" s="2">
        <v>1024222.1565401531</v>
      </c>
    </row>
    <row r="64" spans="1:10">
      <c r="I64" s="2">
        <v>470</v>
      </c>
      <c r="J64" s="2">
        <v>1029856.6614397548</v>
      </c>
    </row>
    <row r="65" spans="8:16">
      <c r="I65" s="2">
        <v>480</v>
      </c>
      <c r="J65" s="2">
        <v>1034275.8155834542</v>
      </c>
    </row>
    <row r="66" spans="8:16">
      <c r="I66" s="2">
        <v>490</v>
      </c>
      <c r="J66" s="2">
        <v>1037609.4911199291</v>
      </c>
    </row>
    <row r="67" spans="8:16">
      <c r="I67" s="2">
        <v>500</v>
      </c>
      <c r="J67" s="2">
        <v>1039972.9779989794</v>
      </c>
    </row>
    <row r="68" spans="8:16">
      <c r="I68" s="2">
        <v>510</v>
      </c>
      <c r="J68" s="2">
        <v>1041468.8061629091</v>
      </c>
    </row>
    <row r="69" spans="8:16">
      <c r="I69" s="2">
        <v>520</v>
      </c>
      <c r="J69" s="2">
        <v>1042188.3139489595</v>
      </c>
    </row>
    <row r="70" spans="8:16">
      <c r="I70" s="2">
        <v>530</v>
      </c>
      <c r="J70" s="2">
        <v>1042213.0017719698</v>
      </c>
    </row>
    <row r="71" spans="8:16">
      <c r="I71" s="2">
        <v>540</v>
      </c>
      <c r="J71" s="2">
        <v>1041615.7035724644</v>
      </c>
    </row>
    <row r="72" spans="8:16">
      <c r="I72" s="2">
        <v>550</v>
      </c>
      <c r="J72" s="2">
        <v>1040461.6031350964</v>
      </c>
    </row>
    <row r="73" spans="8:16">
      <c r="I73" s="2">
        <v>560</v>
      </c>
      <c r="J73" s="2">
        <v>1038809.1179690239</v>
      </c>
    </row>
    <row r="74" spans="8:16">
      <c r="I74" s="2">
        <v>570</v>
      </c>
      <c r="J74" s="2">
        <v>1036710.669808225</v>
      </c>
    </row>
    <row r="75" spans="8:16">
      <c r="I75" s="2">
        <v>580</v>
      </c>
      <c r="J75" s="2">
        <v>1034213.3577876764</v>
      </c>
    </row>
    <row r="76" spans="8:16">
      <c r="I76" s="2">
        <v>590</v>
      </c>
      <c r="J76" s="2">
        <v>1031359.5478624469</v>
      </c>
    </row>
    <row r="77" spans="8:16">
      <c r="I77" s="2">
        <v>600</v>
      </c>
      <c r="J77" s="2">
        <v>1028187.3899667513</v>
      </c>
    </row>
    <row r="80" spans="8:16">
      <c r="H80" s="22"/>
      <c r="I80" s="22"/>
      <c r="J80" s="137" t="s">
        <v>123</v>
      </c>
      <c r="K80" s="137"/>
      <c r="L80" s="137"/>
      <c r="M80" s="137"/>
      <c r="N80" s="137"/>
      <c r="O80" s="137"/>
      <c r="P80" s="137"/>
    </row>
    <row r="81" spans="8:16">
      <c r="H81" s="22"/>
      <c r="I81" s="47">
        <f>B50</f>
        <v>955163.26238462282</v>
      </c>
      <c r="J81" s="48">
        <v>250</v>
      </c>
      <c r="K81" s="48">
        <v>300</v>
      </c>
      <c r="L81" s="48">
        <v>350</v>
      </c>
      <c r="M81" s="48">
        <v>400</v>
      </c>
      <c r="N81" s="48">
        <v>450</v>
      </c>
      <c r="O81" s="48">
        <v>500</v>
      </c>
      <c r="P81" s="48">
        <v>550</v>
      </c>
    </row>
    <row r="82" spans="8:16">
      <c r="H82" s="135" t="s">
        <v>122</v>
      </c>
      <c r="I82" s="48">
        <v>260</v>
      </c>
      <c r="J82" s="48">
        <f t="dataTable" ref="J82:P116" dt2D="1" dtr="1" r1="B43" r2="B42" ca="1"/>
        <v>-156115.95067945076</v>
      </c>
      <c r="K82" s="48">
        <v>440990.72148183268</v>
      </c>
      <c r="L82" s="48">
        <v>739396.67870041588</v>
      </c>
      <c r="M82" s="48">
        <v>891485.71155898133</v>
      </c>
      <c r="N82" s="48">
        <v>966364.43722847849</v>
      </c>
      <c r="O82" s="48">
        <v>998374.05887902016</v>
      </c>
      <c r="P82" s="48">
        <v>1005779.5496972598</v>
      </c>
    </row>
    <row r="83" spans="8:16">
      <c r="H83" s="135"/>
      <c r="I83" s="48">
        <v>270</v>
      </c>
      <c r="J83" s="48">
        <v>-312231.90135890152</v>
      </c>
      <c r="K83" s="48">
        <v>330743.04111137474</v>
      </c>
      <c r="L83" s="48">
        <v>657241.49217814766</v>
      </c>
      <c r="M83" s="48">
        <v>827808.16073333984</v>
      </c>
      <c r="N83" s="48">
        <v>915503.15105855861</v>
      </c>
      <c r="O83" s="48">
        <v>956775.13975906116</v>
      </c>
      <c r="P83" s="48">
        <v>971097.49625942321</v>
      </c>
    </row>
    <row r="84" spans="8:16">
      <c r="H84" s="135"/>
      <c r="I84" s="48">
        <v>280</v>
      </c>
      <c r="J84" s="48">
        <v>-468347.85203835275</v>
      </c>
      <c r="K84" s="48">
        <v>220495.36074091634</v>
      </c>
      <c r="L84" s="48">
        <v>575086.30565587897</v>
      </c>
      <c r="M84" s="48">
        <v>764130.60990769835</v>
      </c>
      <c r="N84" s="48">
        <v>864641.86488863849</v>
      </c>
      <c r="O84" s="48">
        <v>915176.22063910193</v>
      </c>
      <c r="P84" s="48">
        <v>936415.44282158674</v>
      </c>
    </row>
    <row r="85" spans="8:16">
      <c r="H85" s="135"/>
      <c r="I85" s="48">
        <v>290</v>
      </c>
      <c r="J85" s="48">
        <v>-624463.80271780398</v>
      </c>
      <c r="K85" s="48">
        <v>110247.68037045794</v>
      </c>
      <c r="L85" s="48">
        <v>492931.11913361074</v>
      </c>
      <c r="M85" s="48">
        <v>700453.05908205686</v>
      </c>
      <c r="N85" s="48">
        <v>813780.57871871861</v>
      </c>
      <c r="O85" s="48">
        <v>873577.3015191427</v>
      </c>
      <c r="P85" s="48">
        <v>901733.38938375015</v>
      </c>
    </row>
    <row r="86" spans="8:16">
      <c r="H86" s="135"/>
      <c r="I86" s="48">
        <v>300</v>
      </c>
      <c r="J86" s="48">
        <v>-780579.75339725427</v>
      </c>
      <c r="K86" s="48">
        <v>0</v>
      </c>
      <c r="L86" s="48">
        <v>410775.93261134205</v>
      </c>
      <c r="M86" s="48">
        <v>636775.50825641514</v>
      </c>
      <c r="N86" s="48">
        <v>762919.29254879872</v>
      </c>
      <c r="O86" s="48">
        <v>831978.3823991837</v>
      </c>
      <c r="P86" s="48">
        <v>867051.33594591368</v>
      </c>
    </row>
    <row r="87" spans="8:16">
      <c r="H87" s="135"/>
      <c r="I87" s="48">
        <v>310</v>
      </c>
      <c r="J87" s="48">
        <v>-936695.7040767055</v>
      </c>
      <c r="K87" s="48">
        <v>-110247.6803704584</v>
      </c>
      <c r="L87" s="48">
        <v>328620.74608907383</v>
      </c>
      <c r="M87" s="48">
        <v>573097.95743077365</v>
      </c>
      <c r="N87" s="48">
        <v>712058.00637887884</v>
      </c>
      <c r="O87" s="48">
        <v>790379.46327922447</v>
      </c>
      <c r="P87" s="48">
        <v>832369.2825080771</v>
      </c>
    </row>
    <row r="88" spans="8:16">
      <c r="H88" s="135"/>
      <c r="I88" s="48">
        <v>320</v>
      </c>
      <c r="J88" s="48">
        <v>-1092811.6547561567</v>
      </c>
      <c r="K88" s="48">
        <v>-220495.36074091634</v>
      </c>
      <c r="L88" s="48">
        <v>246465.55956680514</v>
      </c>
      <c r="M88" s="48">
        <v>509420.40660513216</v>
      </c>
      <c r="N88" s="48">
        <v>661196.72020895896</v>
      </c>
      <c r="O88" s="48">
        <v>748780.54415926524</v>
      </c>
      <c r="P88" s="48">
        <v>797687.22907024063</v>
      </c>
    </row>
    <row r="89" spans="8:16">
      <c r="H89" s="135"/>
      <c r="I89" s="48">
        <v>330</v>
      </c>
      <c r="J89" s="48">
        <v>-1248927.605435607</v>
      </c>
      <c r="K89" s="48">
        <v>-330743.04111137474</v>
      </c>
      <c r="L89" s="48">
        <v>164310.37304453691</v>
      </c>
      <c r="M89" s="48">
        <v>445742.8557794909</v>
      </c>
      <c r="N89" s="48">
        <v>610335.43403903907</v>
      </c>
      <c r="O89" s="48">
        <v>707181.625039306</v>
      </c>
      <c r="P89" s="48">
        <v>763005.17563240393</v>
      </c>
    </row>
    <row r="90" spans="8:16">
      <c r="H90" s="135"/>
      <c r="I90" s="48">
        <v>340</v>
      </c>
      <c r="J90" s="48">
        <v>-1405043.5561150583</v>
      </c>
      <c r="K90" s="48">
        <v>-440990.72148183268</v>
      </c>
      <c r="L90" s="48">
        <v>82155.18652226869</v>
      </c>
      <c r="M90" s="48">
        <v>382065.30495384941</v>
      </c>
      <c r="N90" s="48">
        <v>559474.14786911895</v>
      </c>
      <c r="O90" s="48">
        <v>665582.70591934677</v>
      </c>
      <c r="P90" s="48">
        <v>728323.12219456746</v>
      </c>
    </row>
    <row r="91" spans="8:16">
      <c r="H91" s="135"/>
      <c r="I91" s="48">
        <v>350</v>
      </c>
      <c r="J91" s="48">
        <v>-1561159.5067945095</v>
      </c>
      <c r="K91" s="48">
        <v>-551238.40185229108</v>
      </c>
      <c r="L91" s="48">
        <v>0</v>
      </c>
      <c r="M91" s="48">
        <v>318387.75412820745</v>
      </c>
      <c r="N91" s="48">
        <v>508612.86169919907</v>
      </c>
      <c r="O91" s="48">
        <v>623983.78679938777</v>
      </c>
      <c r="P91" s="48">
        <v>693641.06875673099</v>
      </c>
    </row>
    <row r="92" spans="8:16">
      <c r="H92" s="135"/>
      <c r="I92" s="48">
        <v>360</v>
      </c>
      <c r="J92" s="48">
        <v>-1717275.4574739598</v>
      </c>
      <c r="K92" s="48">
        <v>-661486.08222274948</v>
      </c>
      <c r="L92" s="48">
        <v>-82155.186522268225</v>
      </c>
      <c r="M92" s="48">
        <v>254710.20330256596</v>
      </c>
      <c r="N92" s="48">
        <v>457751.57552927919</v>
      </c>
      <c r="O92" s="48">
        <v>582384.86767942854</v>
      </c>
      <c r="P92" s="48">
        <v>658959.01531889429</v>
      </c>
    </row>
    <row r="93" spans="8:16">
      <c r="H93" s="135"/>
      <c r="I93" s="48">
        <v>370</v>
      </c>
      <c r="J93" s="48">
        <v>-1873391.408153411</v>
      </c>
      <c r="K93" s="48">
        <v>-771733.76259320742</v>
      </c>
      <c r="L93" s="48">
        <v>-164310.37304453691</v>
      </c>
      <c r="M93" s="48">
        <v>191032.65247692447</v>
      </c>
      <c r="N93" s="48">
        <v>406890.2893593593</v>
      </c>
      <c r="O93" s="48">
        <v>540785.94855946931</v>
      </c>
      <c r="P93" s="48">
        <v>624276.96188105782</v>
      </c>
    </row>
    <row r="94" spans="8:16">
      <c r="H94" s="135"/>
      <c r="I94" s="48">
        <v>380</v>
      </c>
      <c r="J94" s="48">
        <v>-2029507.3588328622</v>
      </c>
      <c r="K94" s="48">
        <v>-881981.44296366582</v>
      </c>
      <c r="L94" s="48">
        <v>-246465.55956680514</v>
      </c>
      <c r="M94" s="48">
        <v>127355.10165128298</v>
      </c>
      <c r="N94" s="48">
        <v>356029.00318943942</v>
      </c>
      <c r="O94" s="48">
        <v>499187.02943951031</v>
      </c>
      <c r="P94" s="48">
        <v>589594.90844322136</v>
      </c>
    </row>
    <row r="95" spans="8:16">
      <c r="H95" s="135"/>
      <c r="I95" s="48">
        <v>390</v>
      </c>
      <c r="J95" s="48">
        <v>-2185623.3095123125</v>
      </c>
      <c r="K95" s="48">
        <v>-992229.12333412422</v>
      </c>
      <c r="L95" s="48">
        <v>-328620.74608907383</v>
      </c>
      <c r="M95" s="48">
        <v>63677.550825641491</v>
      </c>
      <c r="N95" s="48">
        <v>305167.71701951954</v>
      </c>
      <c r="O95" s="48">
        <v>457588.11031955108</v>
      </c>
      <c r="P95" s="48">
        <v>554912.85500538466</v>
      </c>
    </row>
    <row r="96" spans="8:16">
      <c r="H96" s="135"/>
      <c r="I96" s="48">
        <v>400</v>
      </c>
      <c r="J96" s="48">
        <v>-2341739.2601917638</v>
      </c>
      <c r="K96" s="48">
        <v>-1102476.8037045817</v>
      </c>
      <c r="L96" s="48">
        <v>-410775.93261134205</v>
      </c>
      <c r="M96" s="48">
        <v>0</v>
      </c>
      <c r="N96" s="48">
        <v>254306.43084959942</v>
      </c>
      <c r="O96" s="48">
        <v>415989.19119959185</v>
      </c>
      <c r="P96" s="48">
        <v>520230.80156754819</v>
      </c>
    </row>
    <row r="97" spans="8:16">
      <c r="H97" s="135"/>
      <c r="I97" s="48">
        <v>410</v>
      </c>
      <c r="J97" s="48">
        <v>-2497855.210871215</v>
      </c>
      <c r="K97" s="48">
        <v>-1212724.4840750401</v>
      </c>
      <c r="L97" s="48">
        <v>-492931.11913361074</v>
      </c>
      <c r="M97" s="48">
        <v>-63677.550825641491</v>
      </c>
      <c r="N97" s="48">
        <v>203445.14467967954</v>
      </c>
      <c r="O97" s="48">
        <v>374390.27207963262</v>
      </c>
      <c r="P97" s="48">
        <v>485548.74812971172</v>
      </c>
    </row>
    <row r="98" spans="8:16">
      <c r="H98" s="135"/>
      <c r="I98" s="48">
        <v>420</v>
      </c>
      <c r="J98" s="48">
        <v>-2653971.1615506653</v>
      </c>
      <c r="K98" s="48">
        <v>-1322972.1644454985</v>
      </c>
      <c r="L98" s="48">
        <v>-575086.30565587897</v>
      </c>
      <c r="M98" s="48">
        <v>-127355.10165128298</v>
      </c>
      <c r="N98" s="48">
        <v>152583.85850975988</v>
      </c>
      <c r="O98" s="48">
        <v>332791.35295967339</v>
      </c>
      <c r="P98" s="48">
        <v>450866.69469187502</v>
      </c>
    </row>
    <row r="99" spans="8:16">
      <c r="H99" s="135"/>
      <c r="I99" s="48">
        <v>430</v>
      </c>
      <c r="J99" s="48">
        <v>-2810087.1122301165</v>
      </c>
      <c r="K99" s="48">
        <v>-1433219.8448159569</v>
      </c>
      <c r="L99" s="48">
        <v>-657241.49217814766</v>
      </c>
      <c r="M99" s="48">
        <v>-191032.65247692447</v>
      </c>
      <c r="N99" s="48">
        <v>101722.57233983977</v>
      </c>
      <c r="O99" s="48">
        <v>291192.43383971439</v>
      </c>
      <c r="P99" s="48">
        <v>416184.64125403855</v>
      </c>
    </row>
    <row r="100" spans="8:16">
      <c r="H100" s="135"/>
      <c r="I100" s="48">
        <v>440</v>
      </c>
      <c r="J100" s="48">
        <v>-2966203.0629095677</v>
      </c>
      <c r="K100" s="48">
        <v>-1543467.5251864153</v>
      </c>
      <c r="L100" s="48">
        <v>-739396.67870041588</v>
      </c>
      <c r="M100" s="48">
        <v>-254710.20330256596</v>
      </c>
      <c r="N100" s="48">
        <v>50861.286169919651</v>
      </c>
      <c r="O100" s="48">
        <v>249593.51471975516</v>
      </c>
      <c r="P100" s="48">
        <v>381502.58781620208</v>
      </c>
    </row>
    <row r="101" spans="8:16">
      <c r="H101" s="135"/>
      <c r="I101" s="48">
        <v>450</v>
      </c>
      <c r="J101" s="48">
        <v>-3122319.013589018</v>
      </c>
      <c r="K101" s="48">
        <v>-1653715.2055568728</v>
      </c>
      <c r="L101" s="48">
        <v>-821551.86522268457</v>
      </c>
      <c r="M101" s="48">
        <v>-318387.75412820745</v>
      </c>
      <c r="N101" s="48">
        <v>0</v>
      </c>
      <c r="O101" s="48">
        <v>207994.59559979592</v>
      </c>
      <c r="P101" s="48">
        <v>346820.53437836538</v>
      </c>
    </row>
    <row r="102" spans="8:16">
      <c r="H102" s="135"/>
      <c r="I102" s="48">
        <v>460</v>
      </c>
      <c r="J102" s="48">
        <v>-3278434.9642684693</v>
      </c>
      <c r="K102" s="48">
        <v>-1763962.8859273312</v>
      </c>
      <c r="L102" s="48">
        <v>-903707.0517449528</v>
      </c>
      <c r="M102" s="48">
        <v>-382065.30495384894</v>
      </c>
      <c r="N102" s="48">
        <v>-50861.286169920117</v>
      </c>
      <c r="O102" s="48">
        <v>166395.67647983693</v>
      </c>
      <c r="P102" s="48">
        <v>312138.48094052891</v>
      </c>
    </row>
    <row r="103" spans="8:16">
      <c r="H103" s="135"/>
      <c r="I103" s="48">
        <v>470</v>
      </c>
      <c r="J103" s="48">
        <v>-3434550.9149479205</v>
      </c>
      <c r="K103" s="48">
        <v>-1874210.5662977896</v>
      </c>
      <c r="L103" s="48">
        <v>-985862.23826722149</v>
      </c>
      <c r="M103" s="48">
        <v>-445742.85577949043</v>
      </c>
      <c r="N103" s="48">
        <v>-101722.57233983977</v>
      </c>
      <c r="O103" s="48">
        <v>124796.75735987769</v>
      </c>
      <c r="P103" s="48">
        <v>277456.42750269244</v>
      </c>
    </row>
    <row r="104" spans="8:16">
      <c r="H104" s="135"/>
      <c r="I104" s="48">
        <v>480</v>
      </c>
      <c r="J104" s="48">
        <v>-3590666.8656273708</v>
      </c>
      <c r="K104" s="48">
        <v>-1984458.246668248</v>
      </c>
      <c r="L104" s="48">
        <v>-1068017.4247894897</v>
      </c>
      <c r="M104" s="48">
        <v>-509420.40660513192</v>
      </c>
      <c r="N104" s="48">
        <v>-152583.85850975988</v>
      </c>
      <c r="O104" s="48">
        <v>83197.838239918463</v>
      </c>
      <c r="P104" s="48">
        <v>242774.37406485574</v>
      </c>
    </row>
    <row r="105" spans="8:16">
      <c r="H105" s="135"/>
      <c r="I105" s="48">
        <v>490</v>
      </c>
      <c r="J105" s="48">
        <v>-3746782.816306822</v>
      </c>
      <c r="K105" s="48">
        <v>-2094705.9270387054</v>
      </c>
      <c r="L105" s="48">
        <v>-1150172.6113117584</v>
      </c>
      <c r="M105" s="48">
        <v>-573097.95743077341</v>
      </c>
      <c r="N105" s="48">
        <v>-203445.14467968</v>
      </c>
      <c r="O105" s="48">
        <v>41598.919119959231</v>
      </c>
      <c r="P105" s="48">
        <v>208092.32062701927</v>
      </c>
    </row>
    <row r="106" spans="8:16">
      <c r="H106" s="135"/>
      <c r="I106" s="48">
        <v>500</v>
      </c>
      <c r="J106" s="48">
        <v>-3902898.7669862732</v>
      </c>
      <c r="K106" s="48">
        <v>-2204953.6074091638</v>
      </c>
      <c r="L106" s="48">
        <v>-1232327.7978340266</v>
      </c>
      <c r="M106" s="48">
        <v>-636775.50825641491</v>
      </c>
      <c r="N106" s="48">
        <v>-254306.43084959965</v>
      </c>
      <c r="O106" s="48">
        <v>0</v>
      </c>
      <c r="P106" s="48">
        <v>173410.26718918281</v>
      </c>
    </row>
    <row r="107" spans="8:16">
      <c r="H107" s="135"/>
      <c r="I107" s="48">
        <v>510</v>
      </c>
      <c r="J107" s="48">
        <v>-4059014.7176657235</v>
      </c>
      <c r="K107" s="48">
        <v>-2315201.2877796222</v>
      </c>
      <c r="L107" s="48">
        <v>-1314482.9843562953</v>
      </c>
      <c r="M107" s="48">
        <v>-700453.0590820564</v>
      </c>
      <c r="N107" s="48">
        <v>-305167.71701951977</v>
      </c>
      <c r="O107" s="48">
        <v>-41598.919119959231</v>
      </c>
      <c r="P107" s="48">
        <v>138728.21375134611</v>
      </c>
    </row>
    <row r="108" spans="8:16">
      <c r="H108" s="135"/>
      <c r="I108" s="48">
        <v>520</v>
      </c>
      <c r="J108" s="48">
        <v>-4215130.6683451748</v>
      </c>
      <c r="K108" s="48">
        <v>-2425448.9681500806</v>
      </c>
      <c r="L108" s="48">
        <v>-1396638.170878564</v>
      </c>
      <c r="M108" s="48">
        <v>-764130.60990769789</v>
      </c>
      <c r="N108" s="48">
        <v>-356029.00318943942</v>
      </c>
      <c r="O108" s="48">
        <v>-83197.838239918463</v>
      </c>
      <c r="P108" s="48">
        <v>104046.16031350964</v>
      </c>
    </row>
    <row r="109" spans="8:16">
      <c r="H109" s="135"/>
      <c r="I109" s="48">
        <v>530</v>
      </c>
      <c r="J109" s="48">
        <v>-4371246.619024626</v>
      </c>
      <c r="K109" s="48">
        <v>-2535696.648520539</v>
      </c>
      <c r="L109" s="48">
        <v>-1478793.3574008318</v>
      </c>
      <c r="M109" s="48">
        <v>-827808.16073333938</v>
      </c>
      <c r="N109" s="48">
        <v>-406890.28935935954</v>
      </c>
      <c r="O109" s="48">
        <v>-124796.75735987723</v>
      </c>
      <c r="P109" s="48">
        <v>69364.106875673169</v>
      </c>
    </row>
    <row r="110" spans="8:16">
      <c r="H110" s="135"/>
      <c r="I110" s="48">
        <v>540</v>
      </c>
      <c r="J110" s="48">
        <v>-4527362.5697040763</v>
      </c>
      <c r="K110" s="48">
        <v>-2645944.3288909965</v>
      </c>
      <c r="L110" s="48">
        <v>-1560948.5439231005</v>
      </c>
      <c r="M110" s="48">
        <v>-891485.71155898087</v>
      </c>
      <c r="N110" s="48">
        <v>-457751.57552927919</v>
      </c>
      <c r="O110" s="48">
        <v>-166395.67647983646</v>
      </c>
      <c r="P110" s="48">
        <v>34682.053437836468</v>
      </c>
    </row>
    <row r="111" spans="8:16">
      <c r="H111" s="135"/>
      <c r="I111" s="48">
        <v>550</v>
      </c>
      <c r="J111" s="48">
        <v>-4683478.5203835275</v>
      </c>
      <c r="K111" s="48">
        <v>-2756192.0092614549</v>
      </c>
      <c r="L111" s="48">
        <v>-1643103.7304453691</v>
      </c>
      <c r="M111" s="48">
        <v>-955163.26238462236</v>
      </c>
      <c r="N111" s="48">
        <v>-508612.8616991993</v>
      </c>
      <c r="O111" s="48">
        <v>-207994.59559979569</v>
      </c>
      <c r="P111" s="48">
        <v>0</v>
      </c>
    </row>
    <row r="112" spans="8:16">
      <c r="H112" s="135"/>
      <c r="I112" s="48">
        <v>560</v>
      </c>
      <c r="J112" s="48">
        <v>-4839594.4710629787</v>
      </c>
      <c r="K112" s="48">
        <v>-2866439.6896319133</v>
      </c>
      <c r="L112" s="48">
        <v>-1725258.9169676378</v>
      </c>
      <c r="M112" s="48">
        <v>-1018840.8132102638</v>
      </c>
      <c r="N112" s="48">
        <v>-559474.14786911942</v>
      </c>
      <c r="O112" s="48">
        <v>-249593.51471975492</v>
      </c>
      <c r="P112" s="48">
        <v>-34682.053437836468</v>
      </c>
    </row>
    <row r="113" spans="8:16">
      <c r="H113" s="135"/>
      <c r="I113" s="48">
        <v>570</v>
      </c>
      <c r="J113" s="48">
        <v>-4995710.42174243</v>
      </c>
      <c r="K113" s="48">
        <v>-2976687.3700023717</v>
      </c>
      <c r="L113" s="48">
        <v>-1807414.1034899056</v>
      </c>
      <c r="M113" s="48">
        <v>-1082518.3640359053</v>
      </c>
      <c r="N113" s="48">
        <v>-610335.43403903907</v>
      </c>
      <c r="O113" s="48">
        <v>-291192.43383971415</v>
      </c>
      <c r="P113" s="48">
        <v>-69364.106875672936</v>
      </c>
    </row>
    <row r="114" spans="8:16">
      <c r="H114" s="135"/>
      <c r="I114" s="48">
        <v>580</v>
      </c>
      <c r="J114" s="48">
        <v>-5151826.3724218812</v>
      </c>
      <c r="K114" s="48">
        <v>-3086935.0503728301</v>
      </c>
      <c r="L114" s="48">
        <v>-1889569.2900121743</v>
      </c>
      <c r="M114" s="48">
        <v>-1146195.9148615468</v>
      </c>
      <c r="N114" s="48">
        <v>-661196.72020895919</v>
      </c>
      <c r="O114" s="48">
        <v>-332791.35295967339</v>
      </c>
      <c r="P114" s="48">
        <v>-104046.16031350964</v>
      </c>
    </row>
    <row r="115" spans="8:16">
      <c r="H115" s="135"/>
      <c r="I115" s="48">
        <v>590</v>
      </c>
      <c r="J115" s="48">
        <v>-5307942.3231013305</v>
      </c>
      <c r="K115" s="48">
        <v>-3197182.7307432876</v>
      </c>
      <c r="L115" s="48">
        <v>-1971724.476534443</v>
      </c>
      <c r="M115" s="48">
        <v>-1209873.4656871888</v>
      </c>
      <c r="N115" s="48">
        <v>-712058.00637887884</v>
      </c>
      <c r="O115" s="48">
        <v>-374390.27207963262</v>
      </c>
      <c r="P115" s="48">
        <v>-138728.21375134611</v>
      </c>
    </row>
    <row r="116" spans="8:16">
      <c r="H116" s="135"/>
      <c r="I116" s="48">
        <v>600</v>
      </c>
      <c r="J116" s="48">
        <v>-5464058.2737807818</v>
      </c>
      <c r="K116" s="48">
        <v>-3307430.411113746</v>
      </c>
      <c r="L116" s="48">
        <v>-2053879.6630567117</v>
      </c>
      <c r="M116" s="48">
        <v>-1273551.0165128303</v>
      </c>
      <c r="N116" s="48">
        <v>-762919.29254879896</v>
      </c>
      <c r="O116" s="48">
        <v>-415989.19119959138</v>
      </c>
      <c r="P116" s="48">
        <v>-173410.26718918257</v>
      </c>
    </row>
  </sheetData>
  <mergeCells count="10">
    <mergeCell ref="A1:Q1"/>
    <mergeCell ref="A24:C24"/>
    <mergeCell ref="F24:H24"/>
    <mergeCell ref="A41:D41"/>
    <mergeCell ref="C42:D42"/>
    <mergeCell ref="H82:H116"/>
    <mergeCell ref="C43:D43"/>
    <mergeCell ref="C44:D44"/>
    <mergeCell ref="L44:P44"/>
    <mergeCell ref="J80:P80"/>
  </mergeCells>
  <conditionalFormatting sqref="J43:J77">
    <cfRule type="cellIs" dxfId="1" priority="1" operator="equal">
      <formula>"MAX($I$43:$J$77)"</formula>
    </cfRule>
    <cfRule type="cellIs" dxfId="0" priority="2" operator="equal">
      <formula>"MAX($J$43:$J$77)"</formula>
    </cfRule>
  </conditionalFormatting>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G3" sqref="G3"/>
    </sheetView>
  </sheetViews>
  <sheetFormatPr defaultRowHeight="15"/>
  <cols>
    <col min="1" max="1" width="9.7109375" customWidth="1"/>
    <col min="2" max="2" width="14.42578125" customWidth="1"/>
    <col min="3" max="3" width="17.42578125" customWidth="1"/>
    <col min="4" max="4" width="14.28515625" bestFit="1" customWidth="1"/>
    <col min="5" max="5" width="16.140625" customWidth="1"/>
    <col min="7" max="7" width="13.7109375" customWidth="1"/>
  </cols>
  <sheetData>
    <row r="1" spans="1:7">
      <c r="A1" s="137" t="s">
        <v>130</v>
      </c>
      <c r="B1" s="137"/>
      <c r="C1" s="137"/>
      <c r="D1" s="137" t="s">
        <v>131</v>
      </c>
      <c r="E1" s="137"/>
      <c r="F1" s="137" t="s">
        <v>132</v>
      </c>
      <c r="G1" s="137"/>
    </row>
    <row r="2" spans="1:7" s="51" customFormat="1" ht="31.5">
      <c r="A2" s="50" t="s">
        <v>58</v>
      </c>
      <c r="B2" s="53" t="s">
        <v>125</v>
      </c>
      <c r="C2" s="50" t="s">
        <v>124</v>
      </c>
      <c r="D2" s="53" t="s">
        <v>100</v>
      </c>
      <c r="E2" s="53" t="s">
        <v>109</v>
      </c>
      <c r="F2" s="53" t="s">
        <v>100</v>
      </c>
      <c r="G2" s="53" t="s">
        <v>109</v>
      </c>
    </row>
    <row r="3" spans="1:7">
      <c r="A3" s="49">
        <v>2017</v>
      </c>
      <c r="B3" s="22">
        <v>1</v>
      </c>
      <c r="C3" s="52">
        <v>218.6</v>
      </c>
      <c r="D3" s="54">
        <f>B$12*B3^B$13</f>
        <v>173.94</v>
      </c>
      <c r="E3" s="48">
        <f>D12*EXP(D13*B3)</f>
        <v>249.9055921457622</v>
      </c>
      <c r="F3" s="55">
        <f>ABS(C3-D3)/D3</f>
        <v>0.25675520294354376</v>
      </c>
      <c r="G3" s="55">
        <f>ABS(C3-E3)/E3</f>
        <v>0.12526967434767375</v>
      </c>
    </row>
    <row r="4" spans="1:7">
      <c r="A4" s="49">
        <v>2018</v>
      </c>
      <c r="B4" s="22">
        <v>2</v>
      </c>
      <c r="C4" s="52">
        <v>435</v>
      </c>
      <c r="D4" s="54">
        <f>B12*B4^B13</f>
        <v>573.02168617408665</v>
      </c>
      <c r="E4" s="48">
        <f>D12*EXP(B4*D13)</f>
        <v>459.88810740592078</v>
      </c>
      <c r="F4" s="55">
        <f t="shared" ref="F4:F8" si="0">ABS(C4-D4)/D4</f>
        <v>0.2408664270555286</v>
      </c>
      <c r="G4" s="55">
        <f t="shared" ref="G4:G8" si="1">ABS(C4-E4)/E4</f>
        <v>5.4117745175683053E-2</v>
      </c>
    </row>
    <row r="5" spans="1:7">
      <c r="A5" s="49">
        <v>2019</v>
      </c>
      <c r="B5" s="22">
        <v>3</v>
      </c>
      <c r="C5" s="52">
        <v>915</v>
      </c>
      <c r="D5" s="54">
        <f t="shared" ref="D5" si="2">$B$12*B5^$B$13</f>
        <v>1150.9276503551419</v>
      </c>
      <c r="E5" s="48">
        <f>D12*EXP(D13*B5)</f>
        <v>846.30787777666035</v>
      </c>
      <c r="F5" s="55">
        <f t="shared" si="0"/>
        <v>0.20498912358421628</v>
      </c>
      <c r="G5" s="55">
        <f t="shared" si="1"/>
        <v>8.1166823595924767E-2</v>
      </c>
    </row>
    <row r="6" spans="1:7">
      <c r="A6" s="49">
        <v>2020</v>
      </c>
      <c r="B6" s="22">
        <v>4</v>
      </c>
      <c r="C6" s="52">
        <v>1825.9</v>
      </c>
      <c r="D6" s="54">
        <f>B12*B6^B13</f>
        <v>1887.7420537299845</v>
      </c>
      <c r="E6" s="48">
        <f>D12*EXP(D13*B6)</f>
        <v>1557.415841924887</v>
      </c>
      <c r="F6" s="55">
        <f t="shared" si="0"/>
        <v>3.2759800846620356E-2</v>
      </c>
      <c r="G6" s="55">
        <f t="shared" si="1"/>
        <v>0.17239079688779863</v>
      </c>
    </row>
    <row r="7" spans="1:7">
      <c r="A7" s="49">
        <v>2021</v>
      </c>
      <c r="B7" s="22">
        <v>5</v>
      </c>
      <c r="C7" s="52">
        <v>4021.8</v>
      </c>
      <c r="D7" s="54">
        <f>B12*B7^B13</f>
        <v>2770.9447930449019</v>
      </c>
      <c r="E7" s="48">
        <f>D12*EXP(D13*B7)</f>
        <v>2866.0303990679654</v>
      </c>
      <c r="F7" s="55">
        <f t="shared" si="0"/>
        <v>0.4514183068875125</v>
      </c>
      <c r="G7" s="55">
        <f t="shared" si="1"/>
        <v>0.40326494837873728</v>
      </c>
    </row>
    <row r="8" spans="1:7">
      <c r="A8" s="49">
        <v>2022</v>
      </c>
      <c r="B8" s="22">
        <v>6</v>
      </c>
      <c r="C8" s="52">
        <v>3582.1</v>
      </c>
      <c r="D8" s="54">
        <f>B12*B8^B13</f>
        <v>3791.5746974294748</v>
      </c>
      <c r="E8" s="48">
        <f>D12*EXP(D13*B8)</f>
        <v>5274.2048894464997</v>
      </c>
      <c r="F8" s="55">
        <f t="shared" si="0"/>
        <v>5.5247414107782118E-2</v>
      </c>
      <c r="G8" s="55">
        <f t="shared" si="1"/>
        <v>0.32082653687427704</v>
      </c>
    </row>
    <row r="9" spans="1:7">
      <c r="A9" s="49"/>
      <c r="B9" s="22"/>
      <c r="C9" s="52" t="s">
        <v>112</v>
      </c>
      <c r="D9" s="54">
        <f>AVERAGE(D3:D8)</f>
        <v>1724.6918134555981</v>
      </c>
      <c r="E9" s="48">
        <f>AVERAGE(E3:E8)</f>
        <v>1875.6254512946161</v>
      </c>
      <c r="F9" s="55">
        <f>AVERAGE(F3:F8)</f>
        <v>0.20700604590420058</v>
      </c>
      <c r="G9" s="55">
        <f>AVERAGE(G3:G8)</f>
        <v>0.1928394208766824</v>
      </c>
    </row>
    <row r="11" spans="1:7">
      <c r="A11" s="134" t="s">
        <v>126</v>
      </c>
      <c r="B11" s="134"/>
      <c r="C11" s="134" t="s">
        <v>127</v>
      </c>
      <c r="D11" s="134"/>
      <c r="G11">
        <f>103.59*EXP(0.7259*7)</f>
        <v>16676.24949265836</v>
      </c>
    </row>
    <row r="12" spans="1:7">
      <c r="A12" t="s">
        <v>128</v>
      </c>
      <c r="B12">
        <v>173.94</v>
      </c>
      <c r="C12" t="s">
        <v>128</v>
      </c>
      <c r="D12">
        <v>135.80000000000001</v>
      </c>
    </row>
    <row r="13" spans="1:7">
      <c r="A13" t="s">
        <v>129</v>
      </c>
      <c r="B13">
        <v>1.72</v>
      </c>
      <c r="C13" t="s">
        <v>129</v>
      </c>
      <c r="D13" s="38">
        <v>0.6099</v>
      </c>
    </row>
    <row r="16" spans="1:7">
      <c r="F16" s="33"/>
    </row>
  </sheetData>
  <mergeCells count="5">
    <mergeCell ref="A11:B11"/>
    <mergeCell ref="C11:D11"/>
    <mergeCell ref="A1:C1"/>
    <mergeCell ref="D1:E1"/>
    <mergeCell ref="F1:G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T35"/>
  <sheetViews>
    <sheetView topLeftCell="A5" zoomScaleNormal="100" workbookViewId="0">
      <selection activeCell="B17" sqref="B17"/>
    </sheetView>
  </sheetViews>
  <sheetFormatPr defaultRowHeight="15"/>
  <cols>
    <col min="1" max="1" width="21.28515625" customWidth="1"/>
    <col min="5" max="5" width="11.28515625" customWidth="1"/>
    <col min="6" max="6" width="18.140625" customWidth="1"/>
  </cols>
  <sheetData>
    <row r="3" spans="1:20" ht="163.5" customHeight="1">
      <c r="A3" s="138" t="s">
        <v>133</v>
      </c>
      <c r="B3" s="138"/>
      <c r="C3" s="138"/>
      <c r="D3" s="138"/>
      <c r="E3" s="138"/>
      <c r="F3" s="138"/>
      <c r="G3" s="138"/>
      <c r="H3" s="138"/>
      <c r="I3" s="138"/>
      <c r="J3" s="138"/>
      <c r="K3" s="138"/>
      <c r="L3" s="138"/>
      <c r="M3" s="138"/>
      <c r="N3" s="138"/>
      <c r="O3" s="138"/>
      <c r="P3" s="13"/>
      <c r="Q3" s="13"/>
      <c r="R3" s="13"/>
      <c r="S3" s="13"/>
      <c r="T3" s="13"/>
    </row>
    <row r="5" spans="1:20" ht="27" thickBot="1">
      <c r="A5" s="139" t="s">
        <v>134</v>
      </c>
      <c r="B5" s="139"/>
      <c r="C5" s="139"/>
      <c r="D5" s="139"/>
      <c r="E5" s="139"/>
    </row>
    <row r="6" spans="1:20" ht="15.75" thickTop="1"/>
    <row r="7" spans="1:20">
      <c r="A7" s="22" t="s">
        <v>135</v>
      </c>
      <c r="B7" s="61">
        <v>9.3000000000000007</v>
      </c>
      <c r="C7" t="s">
        <v>136</v>
      </c>
      <c r="E7" s="137" t="s">
        <v>146</v>
      </c>
      <c r="F7" s="137"/>
    </row>
    <row r="8" spans="1:20">
      <c r="A8" s="22" t="s">
        <v>138</v>
      </c>
      <c r="B8" s="22">
        <v>20</v>
      </c>
      <c r="C8" t="s">
        <v>137</v>
      </c>
      <c r="E8" s="37" t="s">
        <v>145</v>
      </c>
      <c r="F8" s="37" t="s">
        <v>144</v>
      </c>
    </row>
    <row r="9" spans="1:20">
      <c r="A9" s="22" t="s">
        <v>139</v>
      </c>
      <c r="B9" s="61">
        <v>1.2</v>
      </c>
      <c r="C9" t="s">
        <v>136</v>
      </c>
      <c r="E9" s="22">
        <v>1</v>
      </c>
      <c r="F9" s="58">
        <f>B9</f>
        <v>1.2</v>
      </c>
    </row>
    <row r="10" spans="1:20">
      <c r="A10" s="22" t="s">
        <v>140</v>
      </c>
      <c r="B10" s="22">
        <v>8</v>
      </c>
      <c r="E10" s="22">
        <v>2</v>
      </c>
      <c r="F10" s="58">
        <f>IF(E10&lt;$B$10,F9+F9*$B$11, F9-$B$12*F9)</f>
        <v>1.3199999999999998</v>
      </c>
    </row>
    <row r="11" spans="1:20">
      <c r="A11" s="22" t="s">
        <v>141</v>
      </c>
      <c r="B11" s="59">
        <v>0.1</v>
      </c>
      <c r="E11" s="22">
        <v>3</v>
      </c>
      <c r="F11" s="58">
        <f t="shared" ref="F11:F28" si="0">IF(E11&lt;$B$10,F10+F10*$B$11, F10-$B$12*F10)</f>
        <v>1.4519999999999997</v>
      </c>
    </row>
    <row r="12" spans="1:20">
      <c r="A12" s="22" t="s">
        <v>142</v>
      </c>
      <c r="B12" s="59">
        <v>0.05</v>
      </c>
      <c r="E12" s="22">
        <v>4</v>
      </c>
      <c r="F12" s="58">
        <f t="shared" si="0"/>
        <v>1.5971999999999997</v>
      </c>
    </row>
    <row r="13" spans="1:20">
      <c r="A13" s="22" t="s">
        <v>143</v>
      </c>
      <c r="B13" s="59">
        <v>0.12</v>
      </c>
      <c r="E13" s="22">
        <v>5</v>
      </c>
      <c r="F13" s="58">
        <f t="shared" si="0"/>
        <v>1.7569199999999996</v>
      </c>
    </row>
    <row r="14" spans="1:20">
      <c r="E14" s="22">
        <v>6</v>
      </c>
      <c r="F14" s="58">
        <f t="shared" si="0"/>
        <v>1.9326119999999996</v>
      </c>
    </row>
    <row r="15" spans="1:20">
      <c r="A15" s="22" t="s">
        <v>147</v>
      </c>
      <c r="B15" s="60">
        <f>NPV(B13,F9:F28)</f>
        <v>11.851609399230435</v>
      </c>
      <c r="E15" s="22">
        <v>7</v>
      </c>
      <c r="F15" s="58">
        <f t="shared" si="0"/>
        <v>2.1258731999999996</v>
      </c>
    </row>
    <row r="16" spans="1:20">
      <c r="A16" s="62" t="s">
        <v>148</v>
      </c>
      <c r="B16" s="61">
        <f>B7</f>
        <v>9.3000000000000007</v>
      </c>
      <c r="E16" s="22">
        <v>8</v>
      </c>
      <c r="F16" s="58">
        <f t="shared" si="0"/>
        <v>2.0195795399999996</v>
      </c>
    </row>
    <row r="17" spans="1:6">
      <c r="A17" s="41" t="s">
        <v>149</v>
      </c>
      <c r="B17" s="63">
        <f>B15-B16</f>
        <v>2.5516093992304345</v>
      </c>
      <c r="E17" s="22">
        <v>9</v>
      </c>
      <c r="F17" s="58">
        <f t="shared" si="0"/>
        <v>1.9186005629999996</v>
      </c>
    </row>
    <row r="18" spans="1:6">
      <c r="E18" s="22">
        <v>10</v>
      </c>
      <c r="F18" s="58">
        <f t="shared" si="0"/>
        <v>1.8226705348499996</v>
      </c>
    </row>
    <row r="19" spans="1:6">
      <c r="E19" s="22">
        <v>11</v>
      </c>
      <c r="F19" s="58">
        <f t="shared" si="0"/>
        <v>1.7315370081074997</v>
      </c>
    </row>
    <row r="20" spans="1:6">
      <c r="E20" s="22">
        <v>12</v>
      </c>
      <c r="F20" s="58">
        <f t="shared" si="0"/>
        <v>1.6449601577021247</v>
      </c>
    </row>
    <row r="21" spans="1:6">
      <c r="E21" s="22">
        <v>13</v>
      </c>
      <c r="F21" s="58">
        <f t="shared" si="0"/>
        <v>1.5627121498170184</v>
      </c>
    </row>
    <row r="22" spans="1:6">
      <c r="E22" s="22">
        <v>14</v>
      </c>
      <c r="F22" s="58">
        <f t="shared" si="0"/>
        <v>1.4845765423261674</v>
      </c>
    </row>
    <row r="23" spans="1:6">
      <c r="E23" s="22">
        <v>15</v>
      </c>
      <c r="F23" s="58">
        <f t="shared" si="0"/>
        <v>1.4103477152098591</v>
      </c>
    </row>
    <row r="24" spans="1:6">
      <c r="E24" s="22">
        <v>16</v>
      </c>
      <c r="F24" s="58">
        <f t="shared" si="0"/>
        <v>1.3398303294493661</v>
      </c>
    </row>
    <row r="25" spans="1:6">
      <c r="E25" s="22">
        <v>17</v>
      </c>
      <c r="F25" s="58">
        <f t="shared" si="0"/>
        <v>1.2728388129768977</v>
      </c>
    </row>
    <row r="26" spans="1:6">
      <c r="E26" s="22">
        <v>18</v>
      </c>
      <c r="F26" s="58">
        <f t="shared" si="0"/>
        <v>1.2091968723280528</v>
      </c>
    </row>
    <row r="27" spans="1:6">
      <c r="E27" s="22">
        <v>19</v>
      </c>
      <c r="F27" s="58">
        <f t="shared" si="0"/>
        <v>1.1487370287116503</v>
      </c>
    </row>
    <row r="28" spans="1:6">
      <c r="E28" s="22">
        <v>20</v>
      </c>
      <c r="F28" s="58">
        <f t="shared" si="0"/>
        <v>1.0913001772760678</v>
      </c>
    </row>
    <row r="29" spans="1:6">
      <c r="F29" s="56"/>
    </row>
    <row r="30" spans="1:6">
      <c r="F30" s="56"/>
    </row>
    <row r="31" spans="1:6">
      <c r="F31" s="56"/>
    </row>
    <row r="32" spans="1:6">
      <c r="F32" s="56"/>
    </row>
    <row r="33" spans="6:6">
      <c r="F33" s="56"/>
    </row>
    <row r="34" spans="6:6">
      <c r="F34" s="56"/>
    </row>
    <row r="35" spans="6:6">
      <c r="F35" s="56"/>
    </row>
  </sheetData>
  <mergeCells count="3">
    <mergeCell ref="A5:E5"/>
    <mergeCell ref="A3:O3"/>
    <mergeCell ref="E7:F7"/>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7"/>
  <sheetViews>
    <sheetView workbookViewId="0">
      <selection activeCell="G7" sqref="G7"/>
    </sheetView>
  </sheetViews>
  <sheetFormatPr defaultRowHeight="15"/>
  <cols>
    <col min="1" max="1" width="27.140625" customWidth="1"/>
    <col min="2" max="2" width="12.5703125" bestFit="1" customWidth="1"/>
    <col min="7" max="7" width="30.28515625" customWidth="1"/>
  </cols>
  <sheetData>
    <row r="2" spans="1:7" ht="20.25" customHeight="1">
      <c r="A2" t="s">
        <v>150</v>
      </c>
      <c r="B2" s="2">
        <v>150000</v>
      </c>
      <c r="F2" s="35" t="s">
        <v>58</v>
      </c>
      <c r="G2" s="35" t="s">
        <v>152</v>
      </c>
    </row>
    <row r="3" spans="1:7">
      <c r="A3" t="s">
        <v>151</v>
      </c>
      <c r="B3" s="32">
        <v>0.15</v>
      </c>
      <c r="F3" s="36">
        <v>1</v>
      </c>
      <c r="G3" s="64">
        <v>30000</v>
      </c>
    </row>
    <row r="4" spans="1:7">
      <c r="F4" s="36">
        <v>2</v>
      </c>
      <c r="G4" s="64">
        <v>65000</v>
      </c>
    </row>
    <row r="5" spans="1:7">
      <c r="A5" t="s">
        <v>153</v>
      </c>
      <c r="B5" s="57">
        <f>NPV(B3,G3:G7)-B2</f>
        <v>48063.807351472788</v>
      </c>
      <c r="F5" s="36">
        <v>3</v>
      </c>
      <c r="G5" s="64">
        <v>80000</v>
      </c>
    </row>
    <row r="6" spans="1:7">
      <c r="F6" s="36">
        <v>4</v>
      </c>
      <c r="G6" s="64">
        <v>75000</v>
      </c>
    </row>
    <row r="7" spans="1:7">
      <c r="F7" s="36">
        <v>5</v>
      </c>
      <c r="G7" s="64">
        <v>55000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6"/>
  <sheetViews>
    <sheetView workbookViewId="0">
      <selection activeCell="F26" sqref="F26"/>
    </sheetView>
  </sheetViews>
  <sheetFormatPr defaultRowHeight="15"/>
  <cols>
    <col min="1" max="1" width="10.140625" style="28" bestFit="1" customWidth="1"/>
    <col min="2" max="2" width="10.140625" style="28" customWidth="1"/>
    <col min="3" max="3" width="32" style="68" bestFit="1" customWidth="1"/>
    <col min="4" max="4" width="20.85546875" customWidth="1"/>
    <col min="5" max="5" width="14.28515625" bestFit="1" customWidth="1"/>
    <col min="6" max="6" width="11.140625" bestFit="1" customWidth="1"/>
    <col min="10" max="10" width="15.28515625" bestFit="1" customWidth="1"/>
    <col min="12" max="12" width="15.28515625" bestFit="1" customWidth="1"/>
  </cols>
  <sheetData>
    <row r="1" spans="1:6" s="4" customFormat="1">
      <c r="A1" s="65" t="s">
        <v>58</v>
      </c>
      <c r="B1" s="65" t="s">
        <v>154</v>
      </c>
      <c r="C1" s="66" t="s">
        <v>155</v>
      </c>
      <c r="D1" s="4" t="s">
        <v>156</v>
      </c>
      <c r="E1" s="4" t="s">
        <v>131</v>
      </c>
      <c r="F1" s="4" t="s">
        <v>157</v>
      </c>
    </row>
    <row r="2" spans="1:6">
      <c r="A2" s="67">
        <v>1992</v>
      </c>
      <c r="B2" s="67">
        <v>1</v>
      </c>
      <c r="C2" s="68">
        <v>150781.16666666666</v>
      </c>
      <c r="E2" s="69">
        <f>$B$25*EXP($B$26*B2)</f>
        <v>165143.30202183974</v>
      </c>
      <c r="F2" s="70">
        <f>ABS(C2-E2)/E2</f>
        <v>8.6967713369772229E-2</v>
      </c>
    </row>
    <row r="3" spans="1:6">
      <c r="A3" s="71">
        <v>1993</v>
      </c>
      <c r="B3" s="71">
        <v>2</v>
      </c>
      <c r="C3" s="68">
        <v>161696.25</v>
      </c>
      <c r="D3" s="70">
        <f>(C3-C2)/C2</f>
        <v>7.2390229991146179E-2</v>
      </c>
      <c r="E3" s="69">
        <f t="shared" ref="E3:E21" si="0">$B$25*EXP($B$26*B3)</f>
        <v>172399.35106135832</v>
      </c>
      <c r="F3" s="70">
        <f t="shared" ref="F3:F21" si="1">ABS(C3-E3)/E3</f>
        <v>6.2083186482233335E-2</v>
      </c>
    </row>
    <row r="4" spans="1:6">
      <c r="A4" s="71">
        <v>1994</v>
      </c>
      <c r="B4" s="71">
        <v>3</v>
      </c>
      <c r="C4" s="68">
        <v>175688.83333333334</v>
      </c>
      <c r="D4" s="70">
        <f t="shared" ref="D4:D21" si="2">(C4-C3)/C3</f>
        <v>8.6536226618325052E-2</v>
      </c>
      <c r="E4" s="69">
        <f t="shared" si="0"/>
        <v>179974.21562060612</v>
      </c>
      <c r="F4" s="70">
        <f t="shared" si="1"/>
        <v>2.3811090230316981E-2</v>
      </c>
    </row>
    <row r="5" spans="1:6">
      <c r="A5" s="71">
        <v>1995</v>
      </c>
      <c r="B5" s="67">
        <v>4</v>
      </c>
      <c r="C5" s="68">
        <v>185437.25</v>
      </c>
      <c r="D5" s="70">
        <f t="shared" si="2"/>
        <v>5.5486831358092327E-2</v>
      </c>
      <c r="E5" s="69">
        <f t="shared" si="0"/>
        <v>187881.90378236579</v>
      </c>
      <c r="F5" s="70">
        <f t="shared" si="1"/>
        <v>1.3011651112485883E-2</v>
      </c>
    </row>
    <row r="6" spans="1:6">
      <c r="A6" s="71">
        <v>1996</v>
      </c>
      <c r="B6" s="71">
        <v>5</v>
      </c>
      <c r="C6" s="68">
        <v>196728.16666666666</v>
      </c>
      <c r="D6" s="70">
        <f t="shared" si="2"/>
        <v>6.0888072200524203E-2</v>
      </c>
      <c r="E6" s="69">
        <f t="shared" si="0"/>
        <v>196137.03911508826</v>
      </c>
      <c r="F6" s="70">
        <f t="shared" si="1"/>
        <v>3.0138496749282221E-3</v>
      </c>
    </row>
    <row r="7" spans="1:6">
      <c r="A7" s="71">
        <v>1997</v>
      </c>
      <c r="B7" s="71">
        <v>6</v>
      </c>
      <c r="C7" s="68">
        <v>206334.08333333334</v>
      </c>
      <c r="D7" s="70">
        <f t="shared" si="2"/>
        <v>4.8828374855659648E-2</v>
      </c>
      <c r="E7" s="69">
        <f t="shared" si="0"/>
        <v>204754.88771603751</v>
      </c>
      <c r="F7" s="70">
        <f t="shared" si="1"/>
        <v>7.7126149949881739E-3</v>
      </c>
    </row>
    <row r="8" spans="1:6">
      <c r="A8" s="71">
        <v>1998</v>
      </c>
      <c r="B8" s="67">
        <v>7</v>
      </c>
      <c r="C8" s="68">
        <v>215657.66666666666</v>
      </c>
      <c r="D8" s="70">
        <f t="shared" si="2"/>
        <v>4.5186830904087892E-2</v>
      </c>
      <c r="E8" s="69">
        <f t="shared" si="0"/>
        <v>213751.38644265375</v>
      </c>
      <c r="F8" s="70">
        <f t="shared" si="1"/>
        <v>8.9182122078274115E-3</v>
      </c>
    </row>
    <row r="9" spans="1:6">
      <c r="A9" s="71">
        <v>1999</v>
      </c>
      <c r="B9" s="71">
        <v>8</v>
      </c>
      <c r="C9" s="68">
        <v>233872</v>
      </c>
      <c r="D9" s="70">
        <f t="shared" si="2"/>
        <v>8.4459475124927977E-2</v>
      </c>
      <c r="E9" s="69">
        <f t="shared" si="0"/>
        <v>223143.17238434372</v>
      </c>
      <c r="F9" s="70">
        <f t="shared" si="1"/>
        <v>4.8080465563951263E-2</v>
      </c>
    </row>
    <row r="10" spans="1:6">
      <c r="A10" s="71">
        <v>2000</v>
      </c>
      <c r="B10" s="71">
        <v>9</v>
      </c>
      <c r="C10" s="68">
        <v>248748.25</v>
      </c>
      <c r="D10" s="70">
        <f t="shared" si="2"/>
        <v>6.3608512348635154E-2</v>
      </c>
      <c r="E10" s="69">
        <f t="shared" si="0"/>
        <v>232947.61362919913</v>
      </c>
      <c r="F10" s="70">
        <f t="shared" si="1"/>
        <v>6.7829140314577235E-2</v>
      </c>
    </row>
    <row r="11" spans="1:6">
      <c r="A11" s="71">
        <v>2001</v>
      </c>
      <c r="B11" s="67">
        <v>10</v>
      </c>
      <c r="C11" s="68">
        <v>255663.75</v>
      </c>
      <c r="D11" s="70">
        <f t="shared" si="2"/>
        <v>2.7801200611461588E-2</v>
      </c>
      <c r="E11" s="69">
        <f t="shared" si="0"/>
        <v>243182.84138254001</v>
      </c>
      <c r="F11" s="70">
        <f t="shared" si="1"/>
        <v>5.1323146594158084E-2</v>
      </c>
    </row>
    <row r="12" spans="1:6">
      <c r="A12" s="71">
        <v>2002</v>
      </c>
      <c r="B12" s="71">
        <v>11</v>
      </c>
      <c r="C12" s="68">
        <v>261272.41666666666</v>
      </c>
      <c r="D12" s="70">
        <f t="shared" si="2"/>
        <v>2.1937668780445632E-2</v>
      </c>
      <c r="E12" s="69">
        <f t="shared" si="0"/>
        <v>253867.78349667927</v>
      </c>
      <c r="F12" s="70">
        <f t="shared" si="1"/>
        <v>2.9167281755876049E-2</v>
      </c>
    </row>
    <row r="13" spans="1:6">
      <c r="A13" s="71">
        <v>2003</v>
      </c>
      <c r="B13" s="71">
        <v>12</v>
      </c>
      <c r="C13" s="68">
        <v>272232.5</v>
      </c>
      <c r="D13" s="70">
        <f t="shared" si="2"/>
        <v>4.1948872648567039E-2</v>
      </c>
      <c r="E13" s="69">
        <f t="shared" si="0"/>
        <v>265022.19947391446</v>
      </c>
      <c r="F13" s="70">
        <f t="shared" si="1"/>
        <v>2.7206402106685543E-2</v>
      </c>
    </row>
    <row r="14" spans="1:6">
      <c r="A14" s="71">
        <v>2004</v>
      </c>
      <c r="B14" s="67">
        <v>13</v>
      </c>
      <c r="C14" s="68">
        <v>288987.5</v>
      </c>
      <c r="D14" s="70">
        <f t="shared" si="2"/>
        <v>6.154665589156328E-2</v>
      </c>
      <c r="E14" s="69">
        <f t="shared" si="0"/>
        <v>276666.71700747736</v>
      </c>
      <c r="F14" s="70">
        <f t="shared" si="1"/>
        <v>4.4532942472403178E-2</v>
      </c>
    </row>
    <row r="15" spans="1:6">
      <c r="A15" s="71">
        <v>2005</v>
      </c>
      <c r="B15" s="71">
        <v>14</v>
      </c>
      <c r="C15" s="68">
        <v>307826.08333333331</v>
      </c>
      <c r="D15" s="70">
        <f t="shared" si="2"/>
        <v>6.5188229017979368E-2</v>
      </c>
      <c r="E15" s="69">
        <f t="shared" si="0"/>
        <v>288822.8701280161</v>
      </c>
      <c r="F15" s="70">
        <f t="shared" si="1"/>
        <v>6.5795389391755374E-2</v>
      </c>
    </row>
    <row r="16" spans="1:6">
      <c r="A16" s="71">
        <v>2006</v>
      </c>
      <c r="B16" s="71">
        <v>15</v>
      </c>
      <c r="C16" s="68">
        <v>323823.08333333331</v>
      </c>
      <c r="D16" s="70">
        <f t="shared" si="2"/>
        <v>5.1967655978903675E-2</v>
      </c>
      <c r="E16" s="69">
        <f t="shared" si="0"/>
        <v>301513.13902615296</v>
      </c>
      <c r="F16" s="70">
        <f t="shared" si="1"/>
        <v>7.399327398878365E-2</v>
      </c>
    </row>
    <row r="17" spans="1:10">
      <c r="A17" s="71">
        <v>2007</v>
      </c>
      <c r="B17" s="67">
        <v>16</v>
      </c>
      <c r="C17" s="68">
        <v>334008</v>
      </c>
      <c r="D17" s="70">
        <f>(C17-C16)/C16</f>
        <v>3.1452102060873323E-2</v>
      </c>
      <c r="E17" s="69">
        <f t="shared" si="0"/>
        <v>314760.99162476225</v>
      </c>
      <c r="F17" s="70">
        <f t="shared" si="1"/>
        <v>6.1148010355053135E-2</v>
      </c>
    </row>
    <row r="18" spans="1:10">
      <c r="A18" s="71">
        <v>2008</v>
      </c>
      <c r="B18" s="71">
        <v>17</v>
      </c>
      <c r="C18" s="68">
        <v>328780.33333333331</v>
      </c>
      <c r="D18" s="70">
        <f t="shared" si="2"/>
        <v>-1.5651321724829005E-2</v>
      </c>
      <c r="E18" s="69">
        <f t="shared" si="0"/>
        <v>328590.92697784561</v>
      </c>
      <c r="F18" s="70">
        <f t="shared" si="1"/>
        <v>5.7641991892392339E-4</v>
      </c>
    </row>
    <row r="19" spans="1:10">
      <c r="A19" s="71">
        <v>2009</v>
      </c>
      <c r="B19" s="71">
        <v>18</v>
      </c>
      <c r="C19" s="68">
        <v>303288.91666666669</v>
      </c>
      <c r="D19" s="70">
        <f t="shared" si="2"/>
        <v>-7.7533277030965853E-2</v>
      </c>
      <c r="E19" s="69">
        <f t="shared" si="0"/>
        <v>343028.52057626349</v>
      </c>
      <c r="F19" s="70">
        <f t="shared" si="1"/>
        <v>0.11584927061702362</v>
      </c>
    </row>
    <row r="20" spans="1:10">
      <c r="A20" s="71">
        <v>2010</v>
      </c>
      <c r="B20" s="67">
        <v>19</v>
      </c>
      <c r="C20" s="68">
        <v>323964.16666666669</v>
      </c>
      <c r="D20" s="70">
        <f t="shared" si="2"/>
        <v>6.8170146892388359E-2</v>
      </c>
      <c r="E20" s="69">
        <f t="shared" si="0"/>
        <v>358100.47164410452</v>
      </c>
      <c r="F20" s="70">
        <f t="shared" si="1"/>
        <v>9.5326054223586559E-2</v>
      </c>
    </row>
    <row r="21" spans="1:10">
      <c r="A21" s="71">
        <v>2011</v>
      </c>
      <c r="B21" s="71">
        <v>20</v>
      </c>
      <c r="C21" s="68">
        <v>349717.75</v>
      </c>
      <c r="D21" s="70">
        <f t="shared" si="2"/>
        <v>7.949516021576454E-2</v>
      </c>
      <c r="E21" s="69">
        <f t="shared" si="0"/>
        <v>373834.65251315798</v>
      </c>
      <c r="F21" s="70">
        <f t="shared" si="1"/>
        <v>6.4512217770687094E-2</v>
      </c>
    </row>
    <row r="22" spans="1:10">
      <c r="C22" s="72" t="s">
        <v>158</v>
      </c>
      <c r="D22" s="73">
        <f>AVERAGE(D3:D21)</f>
        <v>4.5984612986502658E-2</v>
      </c>
      <c r="E22" s="69"/>
      <c r="F22" s="73">
        <f>AVERAGE(F2:F21)</f>
        <v>4.754291665730085E-2</v>
      </c>
      <c r="H22">
        <v>1</v>
      </c>
      <c r="I22">
        <v>1992</v>
      </c>
      <c r="J22" s="1">
        <f>$B$25*EXP($B$26*H22)</f>
        <v>165143.30202183974</v>
      </c>
    </row>
    <row r="23" spans="1:10">
      <c r="H23">
        <v>2</v>
      </c>
      <c r="I23">
        <v>1993</v>
      </c>
      <c r="J23" s="1">
        <f t="shared" ref="J23:J80" si="3">$B$25*EXP($B$26*H23)</f>
        <v>172399.35106135832</v>
      </c>
    </row>
    <row r="24" spans="1:10">
      <c r="A24" s="136" t="s">
        <v>159</v>
      </c>
      <c r="B24" s="136"/>
      <c r="C24" s="68" t="s">
        <v>160</v>
      </c>
      <c r="H24">
        <v>3</v>
      </c>
      <c r="I24">
        <v>1994</v>
      </c>
      <c r="J24" s="1">
        <f t="shared" si="3"/>
        <v>179974.21562060612</v>
      </c>
    </row>
    <row r="25" spans="1:10">
      <c r="A25" s="28" t="s">
        <v>128</v>
      </c>
      <c r="B25" s="28">
        <v>158192.65</v>
      </c>
      <c r="H25">
        <v>4</v>
      </c>
      <c r="I25">
        <v>1995</v>
      </c>
      <c r="J25" s="1">
        <f t="shared" si="3"/>
        <v>187881.90378236579</v>
      </c>
    </row>
    <row r="26" spans="1:10">
      <c r="A26" s="28" t="s">
        <v>129</v>
      </c>
      <c r="B26" s="28">
        <v>4.2999999999999997E-2</v>
      </c>
      <c r="H26">
        <v>5</v>
      </c>
      <c r="I26">
        <v>1996</v>
      </c>
      <c r="J26" s="1">
        <f t="shared" si="3"/>
        <v>196137.03911508826</v>
      </c>
    </row>
    <row r="27" spans="1:10">
      <c r="E27" s="74">
        <f>E2</f>
        <v>165143.30202183974</v>
      </c>
      <c r="F27" s="74"/>
      <c r="H27">
        <v>6</v>
      </c>
      <c r="I27">
        <v>1997</v>
      </c>
      <c r="J27" s="1">
        <f t="shared" si="3"/>
        <v>204754.88771603751</v>
      </c>
    </row>
    <row r="28" spans="1:10">
      <c r="C28">
        <v>1992</v>
      </c>
      <c r="D28">
        <v>1</v>
      </c>
      <c r="E28" s="1">
        <v>164648.61451804551</v>
      </c>
      <c r="H28">
        <v>7</v>
      </c>
      <c r="I28">
        <v>1998</v>
      </c>
      <c r="J28" s="1">
        <f t="shared" si="3"/>
        <v>213751.38644265375</v>
      </c>
    </row>
    <row r="29" spans="1:10">
      <c r="C29">
        <v>1993</v>
      </c>
      <c r="D29">
        <v>2</v>
      </c>
      <c r="E29" s="1">
        <v>171368.05194623105</v>
      </c>
      <c r="H29">
        <v>8</v>
      </c>
      <c r="I29">
        <v>1999</v>
      </c>
      <c r="J29" s="1">
        <f t="shared" si="3"/>
        <v>223143.17238434372</v>
      </c>
    </row>
    <row r="30" spans="1:10">
      <c r="C30">
        <v>1994</v>
      </c>
      <c r="D30">
        <v>3</v>
      </c>
      <c r="E30" s="1">
        <v>178361.71481799812</v>
      </c>
      <c r="H30">
        <v>9</v>
      </c>
      <c r="I30">
        <v>2000</v>
      </c>
      <c r="J30" s="1">
        <f t="shared" si="3"/>
        <v>232947.61362919913</v>
      </c>
    </row>
    <row r="31" spans="1:10">
      <c r="C31">
        <v>1995</v>
      </c>
      <c r="D31">
        <v>4</v>
      </c>
      <c r="E31" s="1">
        <v>185640.79448600259</v>
      </c>
      <c r="H31">
        <v>10</v>
      </c>
      <c r="I31">
        <v>2001</v>
      </c>
      <c r="J31" s="1">
        <f t="shared" si="3"/>
        <v>243182.84138254001</v>
      </c>
    </row>
    <row r="32" spans="1:10">
      <c r="C32">
        <v>1996</v>
      </c>
      <c r="D32">
        <v>5</v>
      </c>
      <c r="E32" s="1">
        <v>193216.9390306664</v>
      </c>
      <c r="H32">
        <v>11</v>
      </c>
      <c r="I32">
        <v>2002</v>
      </c>
      <c r="J32" s="1">
        <f t="shared" si="3"/>
        <v>253867.78349667927</v>
      </c>
    </row>
    <row r="33" spans="3:10" customFormat="1">
      <c r="C33">
        <v>1997</v>
      </c>
      <c r="D33">
        <v>6</v>
      </c>
      <c r="E33" s="1">
        <v>201102.27189959135</v>
      </c>
      <c r="H33">
        <v>12</v>
      </c>
      <c r="I33">
        <v>2003</v>
      </c>
      <c r="J33" s="1">
        <f t="shared" si="3"/>
        <v>265022.19947391446</v>
      </c>
    </row>
    <row r="34" spans="3:10" customFormat="1">
      <c r="C34">
        <v>1998</v>
      </c>
      <c r="D34">
        <v>7</v>
      </c>
      <c r="E34" s="1">
        <v>209309.41130766182</v>
      </c>
      <c r="H34">
        <v>13</v>
      </c>
      <c r="I34">
        <v>2004</v>
      </c>
      <c r="J34" s="1">
        <f t="shared" si="3"/>
        <v>276666.71700747736</v>
      </c>
    </row>
    <row r="35" spans="3:10" customFormat="1">
      <c r="C35">
        <v>1999</v>
      </c>
      <c r="D35">
        <v>8</v>
      </c>
      <c r="E35" s="1">
        <v>217851.49042888056</v>
      </c>
      <c r="H35">
        <v>14</v>
      </c>
      <c r="I35">
        <v>2005</v>
      </c>
      <c r="J35" s="1">
        <f t="shared" si="3"/>
        <v>288822.8701280161</v>
      </c>
    </row>
    <row r="36" spans="3:10" customFormat="1">
      <c r="C36">
        <v>2000</v>
      </c>
      <c r="D36">
        <v>9</v>
      </c>
      <c r="E36" s="1">
        <v>226742.17841224879</v>
      </c>
      <c r="H36">
        <v>15</v>
      </c>
      <c r="I36">
        <v>2006</v>
      </c>
      <c r="J36" s="1">
        <f t="shared" si="3"/>
        <v>301513.13902615296</v>
      </c>
    </row>
    <row r="37" spans="3:10" customFormat="1">
      <c r="C37">
        <v>2001</v>
      </c>
      <c r="D37">
        <v>10</v>
      </c>
      <c r="E37" s="1">
        <v>235995.70225532129</v>
      </c>
      <c r="H37">
        <v>16</v>
      </c>
      <c r="I37">
        <v>2007</v>
      </c>
      <c r="J37" s="1">
        <f t="shared" si="3"/>
        <v>314760.99162476225</v>
      </c>
    </row>
    <row r="38" spans="3:10" customFormat="1">
      <c r="C38">
        <v>2002</v>
      </c>
      <c r="D38">
        <v>11</v>
      </c>
      <c r="E38" s="1">
        <v>245626.86957043729</v>
      </c>
      <c r="H38">
        <v>17</v>
      </c>
      <c r="I38">
        <v>2008</v>
      </c>
      <c r="J38" s="1">
        <f t="shared" si="3"/>
        <v>328590.92697784561</v>
      </c>
    </row>
    <row r="39" spans="3:10" customFormat="1">
      <c r="C39">
        <v>2003</v>
      </c>
      <c r="D39">
        <v>12</v>
      </c>
      <c r="E39" s="1">
        <v>255651.09228005962</v>
      </c>
      <c r="H39">
        <v>18</v>
      </c>
      <c r="I39">
        <v>2009</v>
      </c>
      <c r="J39" s="1">
        <f t="shared" si="3"/>
        <v>343028.52057626349</v>
      </c>
    </row>
    <row r="40" spans="3:10" customFormat="1">
      <c r="C40">
        <v>2004</v>
      </c>
      <c r="D40">
        <v>13</v>
      </c>
      <c r="E40" s="1">
        <v>266084.41127913853</v>
      </c>
      <c r="H40">
        <v>19</v>
      </c>
      <c r="I40">
        <v>2010</v>
      </c>
      <c r="J40" s="1">
        <f t="shared" si="3"/>
        <v>358100.47164410452</v>
      </c>
    </row>
    <row r="41" spans="3:10" customFormat="1">
      <c r="C41">
        <v>2005</v>
      </c>
      <c r="D41">
        <v>14</v>
      </c>
      <c r="E41" s="1">
        <v>276943.52210396604</v>
      </c>
      <c r="H41">
        <v>20</v>
      </c>
      <c r="I41">
        <v>2011</v>
      </c>
      <c r="J41" s="1">
        <f t="shared" si="3"/>
        <v>373834.65251315798</v>
      </c>
    </row>
    <row r="42" spans="3:10" customFormat="1">
      <c r="C42">
        <v>2006</v>
      </c>
      <c r="D42">
        <v>15</v>
      </c>
      <c r="E42" s="1">
        <v>288245.8016485956</v>
      </c>
      <c r="H42">
        <v>21</v>
      </c>
      <c r="I42">
        <v>2012</v>
      </c>
      <c r="J42" s="1">
        <f t="shared" si="3"/>
        <v>390260.16016679641</v>
      </c>
    </row>
    <row r="43" spans="3:10" customFormat="1">
      <c r="C43">
        <v>2007</v>
      </c>
      <c r="D43">
        <v>16</v>
      </c>
      <c r="E43" s="1">
        <v>300009.33597158041</v>
      </c>
      <c r="H43">
        <v>22</v>
      </c>
      <c r="I43">
        <v>2013</v>
      </c>
      <c r="J43" s="1">
        <f t="shared" si="3"/>
        <v>407407.37004858832</v>
      </c>
    </row>
    <row r="44" spans="3:10" customFormat="1">
      <c r="C44">
        <v>2008</v>
      </c>
      <c r="D44">
        <v>17</v>
      </c>
      <c r="E44" s="1">
        <v>312252.94923752494</v>
      </c>
      <c r="H44">
        <v>23</v>
      </c>
      <c r="I44">
        <v>2014</v>
      </c>
      <c r="J44" s="1">
        <f t="shared" si="3"/>
        <v>425307.9922351478</v>
      </c>
    </row>
    <row r="45" spans="3:10" customFormat="1">
      <c r="C45">
        <v>2009</v>
      </c>
      <c r="D45">
        <v>18</v>
      </c>
      <c r="E45" s="1">
        <v>324996.23383976478</v>
      </c>
      <c r="H45">
        <v>24</v>
      </c>
      <c r="I45">
        <v>2015</v>
      </c>
      <c r="J45" s="1">
        <f t="shared" si="3"/>
        <v>443995.130077101</v>
      </c>
    </row>
    <row r="46" spans="3:10" customFormat="1">
      <c r="C46">
        <v>2010</v>
      </c>
      <c r="D46">
        <v>19</v>
      </c>
      <c r="E46" s="1">
        <v>338259.58175237599</v>
      </c>
      <c r="H46">
        <v>25</v>
      </c>
      <c r="I46">
        <v>2016</v>
      </c>
      <c r="J46" s="1">
        <f t="shared" si="3"/>
        <v>463503.34141661262</v>
      </c>
    </row>
    <row r="47" spans="3:10" customFormat="1">
      <c r="C47">
        <v>2011</v>
      </c>
      <c r="D47">
        <v>20</v>
      </c>
      <c r="E47" s="1">
        <v>352064.21716168401</v>
      </c>
      <c r="H47">
        <v>26</v>
      </c>
      <c r="I47">
        <v>2017</v>
      </c>
      <c r="J47" s="1">
        <f t="shared" si="3"/>
        <v>483868.70249468333</v>
      </c>
    </row>
    <row r="48" spans="3:10" customFormat="1">
      <c r="C48">
        <v>2012</v>
      </c>
      <c r="D48">
        <v>21</v>
      </c>
      <c r="E48" s="1">
        <v>366432.23042948934</v>
      </c>
      <c r="H48">
        <v>27</v>
      </c>
      <c r="I48">
        <v>2018</v>
      </c>
      <c r="J48" s="1">
        <f t="shared" si="3"/>
        <v>505128.87466639699</v>
      </c>
    </row>
    <row r="49" spans="3:12" customFormat="1">
      <c r="C49">
        <v>2013</v>
      </c>
      <c r="D49">
        <v>22</v>
      </c>
      <c r="E49" s="1">
        <v>381386.61344236042</v>
      </c>
      <c r="H49">
        <v>28</v>
      </c>
      <c r="I49">
        <v>2019</v>
      </c>
      <c r="J49" s="1">
        <f t="shared" si="3"/>
        <v>527323.17404749745</v>
      </c>
    </row>
    <row r="50" spans="3:12" customFormat="1">
      <c r="C50">
        <v>2014</v>
      </c>
      <c r="D50">
        <v>23</v>
      </c>
      <c r="E50" s="1">
        <v>396951.29640355631</v>
      </c>
      <c r="H50">
        <v>29</v>
      </c>
      <c r="I50">
        <v>2020</v>
      </c>
      <c r="J50" s="1">
        <f t="shared" si="3"/>
        <v>550492.64422108768</v>
      </c>
      <c r="L50" s="15">
        <f>SUM(J22:J55)</f>
        <v>12458054.68426952</v>
      </c>
    </row>
    <row r="51" spans="3:12" customFormat="1">
      <c r="C51">
        <v>2015</v>
      </c>
      <c r="D51">
        <v>24</v>
      </c>
      <c r="E51" s="1">
        <v>413151.18612645759</v>
      </c>
      <c r="H51">
        <v>30</v>
      </c>
      <c r="I51">
        <v>2021</v>
      </c>
      <c r="J51" s="1">
        <f t="shared" si="3"/>
        <v>574680.13213890954</v>
      </c>
    </row>
    <row r="52" spans="3:12" customFormat="1">
      <c r="C52">
        <v>2016</v>
      </c>
      <c r="D52">
        <v>25</v>
      </c>
      <c r="E52" s="1">
        <v>430012.20589078177</v>
      </c>
      <c r="H52">
        <v>31</v>
      </c>
      <c r="I52">
        <v>2022</v>
      </c>
      <c r="J52" s="1">
        <f t="shared" si="3"/>
        <v>599930.36735756509</v>
      </c>
    </row>
    <row r="53" spans="3:12" customFormat="1">
      <c r="C53">
        <v>2017</v>
      </c>
      <c r="D53">
        <v>26</v>
      </c>
      <c r="E53" s="1">
        <v>447561.33692536125</v>
      </c>
      <c r="H53">
        <v>32</v>
      </c>
      <c r="I53">
        <v>2023</v>
      </c>
      <c r="J53" s="1">
        <f t="shared" si="3"/>
        <v>626290.04475621111</v>
      </c>
    </row>
    <row r="54" spans="3:12" customFormat="1">
      <c r="C54">
        <v>2018</v>
      </c>
      <c r="D54">
        <v>27</v>
      </c>
      <c r="E54" s="1">
        <v>465826.66158386559</v>
      </c>
      <c r="H54">
        <v>33</v>
      </c>
      <c r="I54">
        <v>2024</v>
      </c>
      <c r="J54" s="1">
        <f t="shared" si="3"/>
        <v>653807.91088869504</v>
      </c>
    </row>
    <row r="55" spans="3:12" customFormat="1">
      <c r="C55">
        <v>2019</v>
      </c>
      <c r="D55">
        <v>28</v>
      </c>
      <c r="E55" s="1">
        <v>484837.40828255878</v>
      </c>
      <c r="H55">
        <v>34</v>
      </c>
      <c r="I55">
        <v>2025</v>
      </c>
      <c r="J55" s="1">
        <f t="shared" si="3"/>
        <v>682534.85412982118</v>
      </c>
    </row>
    <row r="56" spans="3:12" customFormat="1">
      <c r="C56">
        <v>2020</v>
      </c>
      <c r="D56">
        <v>29</v>
      </c>
      <c r="E56" s="1">
        <v>504623.99827200093</v>
      </c>
      <c r="H56">
        <v>35</v>
      </c>
      <c r="I56">
        <v>2026</v>
      </c>
      <c r="J56" s="1">
        <f t="shared" si="3"/>
        <v>712523.99878245546</v>
      </c>
    </row>
    <row r="57" spans="3:12" customFormat="1">
      <c r="C57">
        <v>2021</v>
      </c>
      <c r="D57">
        <v>30</v>
      </c>
      <c r="E57" s="1">
        <v>525218.0943175396</v>
      </c>
      <c r="H57">
        <v>36</v>
      </c>
      <c r="I57">
        <v>2027</v>
      </c>
      <c r="J57" s="1">
        <f t="shared" si="3"/>
        <v>743830.80331949692</v>
      </c>
    </row>
    <row r="58" spans="3:12" customFormat="1">
      <c r="C58">
        <v>2022</v>
      </c>
      <c r="D58">
        <v>31</v>
      </c>
      <c r="E58" s="1">
        <v>546652.65136648924</v>
      </c>
      <c r="H58">
        <v>37</v>
      </c>
      <c r="I58">
        <v>2028</v>
      </c>
      <c r="J58" s="1">
        <f t="shared" si="3"/>
        <v>776513.16294239578</v>
      </c>
    </row>
    <row r="59" spans="3:12" customFormat="1">
      <c r="C59">
        <v>2023</v>
      </c>
      <c r="D59">
        <v>32</v>
      </c>
      <c r="E59" s="1">
        <v>568961.9692830774</v>
      </c>
      <c r="H59">
        <v>38</v>
      </c>
      <c r="I59">
        <v>2029</v>
      </c>
      <c r="J59" s="1">
        <f t="shared" si="3"/>
        <v>810631.51664587541</v>
      </c>
    </row>
    <row r="60" spans="3:12" customFormat="1">
      <c r="C60">
        <v>2024</v>
      </c>
      <c r="D60">
        <v>33</v>
      </c>
      <c r="E60" s="1">
        <v>592181.74773554562</v>
      </c>
      <c r="H60">
        <v>39</v>
      </c>
      <c r="I60">
        <v>2030</v>
      </c>
      <c r="J60" s="1">
        <f t="shared" si="3"/>
        <v>846248.9589868543</v>
      </c>
    </row>
    <row r="61" spans="3:12" customFormat="1">
      <c r="C61">
        <v>2025</v>
      </c>
      <c r="D61">
        <v>34</v>
      </c>
      <c r="E61" s="1">
        <v>616349.14332323475</v>
      </c>
      <c r="H61">
        <v>40</v>
      </c>
      <c r="I61">
        <v>2031</v>
      </c>
      <c r="J61" s="1">
        <f t="shared" si="3"/>
        <v>883431.35676425905</v>
      </c>
    </row>
    <row r="62" spans="3:12" customFormat="1">
      <c r="C62">
        <v>2026</v>
      </c>
      <c r="D62">
        <v>35</v>
      </c>
      <c r="E62" s="1">
        <v>641502.82903507131</v>
      </c>
      <c r="H62">
        <v>41</v>
      </c>
      <c r="I62">
        <v>2032</v>
      </c>
      <c r="J62" s="1">
        <f t="shared" si="3"/>
        <v>922247.47082550125</v>
      </c>
    </row>
    <row r="63" spans="3:12" customFormat="1">
      <c r="C63">
        <v>2027</v>
      </c>
      <c r="D63">
        <v>36</v>
      </c>
      <c r="E63" s="1">
        <v>667683.05613459961</v>
      </c>
      <c r="H63">
        <v>42</v>
      </c>
      <c r="I63">
        <v>2033</v>
      </c>
      <c r="J63" s="1">
        <f t="shared" si="3"/>
        <v>962769.08322487539</v>
      </c>
    </row>
    <row r="64" spans="3:12" customFormat="1">
      <c r="C64">
        <v>2028</v>
      </c>
      <c r="D64">
        <v>37</v>
      </c>
      <c r="E64" s="1">
        <v>694931.71857059258</v>
      </c>
      <c r="H64">
        <v>43</v>
      </c>
      <c r="I64">
        <v>2034</v>
      </c>
      <c r="J64" s="1">
        <f t="shared" si="3"/>
        <v>1005071.1299690306</v>
      </c>
    </row>
    <row r="65" spans="3:10" customFormat="1">
      <c r="C65">
        <v>2029</v>
      </c>
      <c r="D65">
        <v>38</v>
      </c>
      <c r="E65" s="1">
        <v>723292.42001630517</v>
      </c>
      <c r="H65">
        <v>44</v>
      </c>
      <c r="I65">
        <v>2035</v>
      </c>
      <c r="J65" s="1">
        <f t="shared" si="3"/>
        <v>1049231.8395949963</v>
      </c>
    </row>
    <row r="66" spans="3:10" customFormat="1">
      <c r="C66">
        <v>2030</v>
      </c>
      <c r="D66">
        <v>39</v>
      </c>
      <c r="E66" s="1">
        <v>752810.54364465678</v>
      </c>
      <c r="H66">
        <v>45</v>
      </c>
      <c r="I66">
        <v>2036</v>
      </c>
      <c r="J66" s="1">
        <f t="shared" si="3"/>
        <v>1095332.877837036</v>
      </c>
    </row>
    <row r="67" spans="3:10" customFormat="1">
      <c r="C67">
        <v>2031</v>
      </c>
      <c r="D67">
        <v>40</v>
      </c>
      <c r="E67" s="1">
        <v>783533.32475098781</v>
      </c>
      <c r="H67">
        <v>46</v>
      </c>
      <c r="I67">
        <v>2037</v>
      </c>
      <c r="J67" s="1">
        <f t="shared" si="3"/>
        <v>1143459.4986498586</v>
      </c>
    </row>
    <row r="68" spans="3:10" customFormat="1">
      <c r="C68">
        <v>2032</v>
      </c>
      <c r="D68">
        <v>41</v>
      </c>
      <c r="E68" s="1">
        <v>815509.92633961176</v>
      </c>
      <c r="H68">
        <v>47</v>
      </c>
      <c r="I68">
        <v>2038</v>
      </c>
      <c r="J68" s="1">
        <f t="shared" si="3"/>
        <v>1193700.7018674705</v>
      </c>
    </row>
    <row r="69" spans="3:10" customFormat="1">
      <c r="C69">
        <v>2033</v>
      </c>
      <c r="D69">
        <v>42</v>
      </c>
      <c r="E69" s="1">
        <v>848791.51779510861</v>
      </c>
      <c r="H69">
        <v>48</v>
      </c>
      <c r="I69">
        <v>2039</v>
      </c>
      <c r="J69" s="1">
        <f t="shared" si="3"/>
        <v>1246149.3977892259</v>
      </c>
    </row>
    <row r="70" spans="3:10" customFormat="1">
      <c r="C70">
        <v>2034</v>
      </c>
      <c r="D70">
        <v>43</v>
      </c>
      <c r="E70" s="1">
        <v>883431.35676425928</v>
      </c>
      <c r="H70">
        <v>49</v>
      </c>
      <c r="I70">
        <v>2040</v>
      </c>
      <c r="J70" s="1">
        <f t="shared" si="3"/>
        <v>1300902.5789974427</v>
      </c>
    </row>
    <row r="71" spans="3:10" customFormat="1">
      <c r="C71">
        <v>2035</v>
      </c>
      <c r="D71">
        <v>44</v>
      </c>
      <c r="E71" s="1">
        <v>919484.87437964068</v>
      </c>
      <c r="H71">
        <v>50</v>
      </c>
      <c r="I71">
        <v>2041</v>
      </c>
      <c r="J71" s="1">
        <f t="shared" si="3"/>
        <v>1358061.4997243234</v>
      </c>
    </row>
    <row r="72" spans="3:10" customFormat="1">
      <c r="C72">
        <v>2036</v>
      </c>
      <c r="D72">
        <v>45</v>
      </c>
      <c r="E72" s="1">
        <v>957009.76396126463</v>
      </c>
      <c r="H72">
        <v>51</v>
      </c>
      <c r="I72">
        <v>2042</v>
      </c>
      <c r="J72" s="1">
        <f t="shared" si="3"/>
        <v>1417731.8630998754</v>
      </c>
    </row>
    <row r="73" spans="3:10" customFormat="1">
      <c r="C73">
        <v>2037</v>
      </c>
      <c r="D73">
        <v>46</v>
      </c>
      <c r="E73" s="1">
        <v>996066.07333819859</v>
      </c>
      <c r="H73">
        <v>52</v>
      </c>
      <c r="I73">
        <v>2043</v>
      </c>
      <c r="J73" s="1">
        <f t="shared" si="3"/>
        <v>1480024.016627121</v>
      </c>
    </row>
    <row r="74" spans="3:10" customFormat="1">
      <c r="C74">
        <v>2038</v>
      </c>
      <c r="D74">
        <v>47</v>
      </c>
      <c r="E74" s="1">
        <v>1036716.3009379026</v>
      </c>
      <c r="H74">
        <v>53</v>
      </c>
      <c r="I74">
        <v>2044</v>
      </c>
      <c r="J74" s="1">
        <f t="shared" si="3"/>
        <v>1545053.1562460652</v>
      </c>
    </row>
    <row r="75" spans="3:10" customFormat="1">
      <c r="C75">
        <v>2039</v>
      </c>
      <c r="D75">
        <v>48</v>
      </c>
      <c r="E75" s="1">
        <v>1079025.4957970472</v>
      </c>
      <c r="H75">
        <v>54</v>
      </c>
      <c r="I75">
        <v>2045</v>
      </c>
      <c r="J75" s="1">
        <f t="shared" si="3"/>
        <v>1612939.5393638113</v>
      </c>
    </row>
    <row r="76" spans="3:10" customFormat="1">
      <c r="C76">
        <v>2040</v>
      </c>
      <c r="D76">
        <v>49</v>
      </c>
      <c r="E76" s="1">
        <v>1123061.3616538504</v>
      </c>
      <c r="H76">
        <v>55</v>
      </c>
      <c r="I76">
        <v>2046</v>
      </c>
      <c r="J76" s="1">
        <f t="shared" si="3"/>
        <v>1683808.7072447743</v>
      </c>
    </row>
    <row r="77" spans="3:10" customFormat="1">
      <c r="C77">
        <v>2041</v>
      </c>
      <c r="D77">
        <v>50</v>
      </c>
      <c r="E77" s="1">
        <v>1168894.3652885016</v>
      </c>
      <c r="H77">
        <v>56</v>
      </c>
      <c r="I77">
        <v>2047</v>
      </c>
      <c r="J77" s="1">
        <f t="shared" si="3"/>
        <v>1757791.7171722413</v>
      </c>
    </row>
    <row r="78" spans="3:10" customFormat="1">
      <c r="C78">
        <v>2042</v>
      </c>
      <c r="D78">
        <v>51</v>
      </c>
      <c r="E78" s="1">
        <v>1216597.8492850456</v>
      </c>
      <c r="H78">
        <v>57</v>
      </c>
      <c r="I78">
        <v>2048</v>
      </c>
      <c r="J78" s="1">
        <f t="shared" si="3"/>
        <v>1835025.3848106323</v>
      </c>
    </row>
    <row r="79" spans="3:10" customFormat="1">
      <c r="C79">
        <v>2043</v>
      </c>
      <c r="D79">
        <v>52</v>
      </c>
      <c r="E79" s="1">
        <v>1266248.1493951629</v>
      </c>
      <c r="H79">
        <v>58</v>
      </c>
      <c r="I79">
        <v>2049</v>
      </c>
      <c r="J79" s="1">
        <f t="shared" si="3"/>
        <v>1915652.5372166473</v>
      </c>
    </row>
    <row r="80" spans="3:10" customFormat="1">
      <c r="C80">
        <v>2044</v>
      </c>
      <c r="D80">
        <v>53</v>
      </c>
      <c r="E80" s="1">
        <v>1317924.7166916584</v>
      </c>
      <c r="H80">
        <v>59</v>
      </c>
      <c r="I80">
        <v>2050</v>
      </c>
      <c r="J80" s="1">
        <f t="shared" si="3"/>
        <v>1999822.2769671818</v>
      </c>
    </row>
    <row r="81" spans="3:10" customFormat="1">
      <c r="C81">
        <v>2045</v>
      </c>
      <c r="D81">
        <v>54</v>
      </c>
      <c r="E81" s="1">
        <v>1371710.244707129</v>
      </c>
    </row>
    <row r="82" spans="3:10" customFormat="1">
      <c r="C82">
        <v>2046</v>
      </c>
      <c r="D82">
        <v>55</v>
      </c>
      <c r="E82" s="1">
        <v>1427690.8017612572</v>
      </c>
      <c r="J82" s="15">
        <f>SUM(J22:J80)</f>
        <v>43756009.758938976</v>
      </c>
    </row>
    <row r="83" spans="3:10" customFormat="1">
      <c r="C83">
        <v>2047</v>
      </c>
      <c r="D83">
        <v>56</v>
      </c>
      <c r="E83" s="1">
        <v>1485955.9686884857</v>
      </c>
    </row>
    <row r="84" spans="3:10" customFormat="1">
      <c r="C84">
        <v>2048</v>
      </c>
      <c r="D84">
        <v>57</v>
      </c>
      <c r="E84" s="1">
        <v>1546598.982186463</v>
      </c>
    </row>
    <row r="85" spans="3:10" customFormat="1">
      <c r="C85">
        <v>2049</v>
      </c>
      <c r="D85">
        <v>58</v>
      </c>
      <c r="E85" s="1">
        <v>1609716.8840146516</v>
      </c>
    </row>
    <row r="86" spans="3:10" customFormat="1">
      <c r="C86">
        <v>2050</v>
      </c>
      <c r="D86">
        <v>59</v>
      </c>
      <c r="E86" s="1">
        <v>1675410.6762818485</v>
      </c>
    </row>
  </sheetData>
  <mergeCells count="1">
    <mergeCell ref="A24:B2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6"/>
  <sheetViews>
    <sheetView workbookViewId="0">
      <selection activeCell="M11" sqref="M11"/>
    </sheetView>
  </sheetViews>
  <sheetFormatPr defaultRowHeight="15"/>
  <cols>
    <col min="1" max="1" width="23.5703125" customWidth="1"/>
    <col min="2" max="2" width="15" bestFit="1" customWidth="1"/>
    <col min="8" max="8" width="19.85546875" customWidth="1"/>
    <col min="9" max="9" width="18.5703125" customWidth="1"/>
    <col min="10" max="10" width="16.7109375" customWidth="1"/>
    <col min="11" max="11" width="16.5703125" customWidth="1"/>
    <col min="12" max="12" width="14.28515625" bestFit="1" customWidth="1"/>
  </cols>
  <sheetData>
    <row r="2" spans="1:13">
      <c r="A2" t="s">
        <v>150</v>
      </c>
      <c r="B2" s="75">
        <v>4</v>
      </c>
      <c r="C2" t="s">
        <v>161</v>
      </c>
    </row>
    <row r="3" spans="1:13">
      <c r="A3" t="s">
        <v>162</v>
      </c>
      <c r="B3">
        <v>80000</v>
      </c>
      <c r="C3" t="s">
        <v>163</v>
      </c>
      <c r="G3" s="4" t="s">
        <v>58</v>
      </c>
      <c r="H3" s="4" t="s">
        <v>87</v>
      </c>
      <c r="I3" s="4" t="s">
        <v>172</v>
      </c>
      <c r="J3" s="4" t="s">
        <v>168</v>
      </c>
      <c r="K3" s="4" t="s">
        <v>66</v>
      </c>
      <c r="L3" s="4" t="s">
        <v>73</v>
      </c>
    </row>
    <row r="4" spans="1:13">
      <c r="A4" t="s">
        <v>164</v>
      </c>
      <c r="B4" s="1">
        <v>25</v>
      </c>
      <c r="G4">
        <v>1</v>
      </c>
      <c r="H4" s="15">
        <f>B3*B4</f>
        <v>2000000</v>
      </c>
      <c r="I4" s="1">
        <f>B10</f>
        <v>800000</v>
      </c>
      <c r="J4" s="15">
        <f>B8</f>
        <v>1000000</v>
      </c>
      <c r="K4" s="15">
        <f>I4+J4</f>
        <v>1800000</v>
      </c>
      <c r="L4" s="15">
        <f>H4-K4</f>
        <v>200000</v>
      </c>
    </row>
    <row r="5" spans="1:13">
      <c r="A5" t="s">
        <v>165</v>
      </c>
      <c r="B5" t="s">
        <v>166</v>
      </c>
      <c r="G5">
        <v>2</v>
      </c>
      <c r="H5" s="15">
        <f>H4+H4*$B$6</f>
        <v>3178000</v>
      </c>
      <c r="I5" s="1">
        <f>H5*($B$9-2%)</f>
        <v>1207640</v>
      </c>
      <c r="J5" s="15">
        <f>H5*$B$7</f>
        <v>1589000</v>
      </c>
      <c r="K5" s="15">
        <f>I5+J5</f>
        <v>2796640</v>
      </c>
      <c r="L5" s="15">
        <f t="shared" ref="L5:L8" si="0">H5-K5</f>
        <v>381360</v>
      </c>
      <c r="M5" s="76">
        <f>(L5-L4)/L4</f>
        <v>0.90680000000000005</v>
      </c>
    </row>
    <row r="6" spans="1:13">
      <c r="A6" t="s">
        <v>156</v>
      </c>
      <c r="B6" s="77">
        <v>0.58899999999999997</v>
      </c>
      <c r="G6">
        <v>3</v>
      </c>
      <c r="H6" s="15">
        <f t="shared" ref="H6:H8" si="1">H5+H5*$B$6</f>
        <v>5049842</v>
      </c>
      <c r="I6" s="1">
        <f>H6*(B9-4%)</f>
        <v>1817943.12</v>
      </c>
      <c r="J6" s="15">
        <f t="shared" ref="J6:J8" si="2">H6*$B$7</f>
        <v>2524921</v>
      </c>
      <c r="K6" s="15">
        <f t="shared" ref="K6:K8" si="3">I6+J6</f>
        <v>4342864.12</v>
      </c>
      <c r="L6" s="15">
        <f t="shared" si="0"/>
        <v>706977.87999999989</v>
      </c>
      <c r="M6" s="76">
        <f t="shared" ref="M6:M8" si="4">(L6-L5)/L5</f>
        <v>0.853833333333333</v>
      </c>
    </row>
    <row r="7" spans="1:13">
      <c r="A7" t="s">
        <v>167</v>
      </c>
      <c r="B7" s="32">
        <v>0.5</v>
      </c>
      <c r="G7">
        <v>4</v>
      </c>
      <c r="H7" s="15">
        <f t="shared" si="1"/>
        <v>8024198.9379999992</v>
      </c>
      <c r="I7" s="1">
        <f>H7*(B9-6%)</f>
        <v>2728227.6389199998</v>
      </c>
      <c r="J7" s="15">
        <f t="shared" si="2"/>
        <v>4012099.4689999996</v>
      </c>
      <c r="K7" s="15">
        <f t="shared" si="3"/>
        <v>6740327.1079199994</v>
      </c>
      <c r="L7" s="15">
        <f t="shared" si="0"/>
        <v>1283871.8300799998</v>
      </c>
      <c r="M7" s="76">
        <f t="shared" si="4"/>
        <v>0.81599999999999995</v>
      </c>
    </row>
    <row r="8" spans="1:13">
      <c r="A8" t="s">
        <v>168</v>
      </c>
      <c r="B8" s="15">
        <f>B11*B7</f>
        <v>1000000</v>
      </c>
      <c r="G8">
        <v>5</v>
      </c>
      <c r="H8" s="15">
        <f t="shared" si="1"/>
        <v>12750452.112481998</v>
      </c>
      <c r="I8" s="1">
        <f>H8*(B9-8%)</f>
        <v>4080144.6759942397</v>
      </c>
      <c r="J8" s="15">
        <f t="shared" si="2"/>
        <v>6375226.0562409991</v>
      </c>
      <c r="K8" s="15">
        <f t="shared" si="3"/>
        <v>10455370.732235238</v>
      </c>
      <c r="L8" s="15">
        <f t="shared" si="0"/>
        <v>2295081.3802467603</v>
      </c>
      <c r="M8" s="76">
        <f t="shared" si="4"/>
        <v>0.78762500000000057</v>
      </c>
    </row>
    <row r="9" spans="1:13">
      <c r="A9" t="s">
        <v>171</v>
      </c>
      <c r="B9" s="32">
        <v>0.4</v>
      </c>
      <c r="C9" t="s">
        <v>170</v>
      </c>
    </row>
    <row r="10" spans="1:13">
      <c r="A10" t="s">
        <v>169</v>
      </c>
      <c r="B10" s="1">
        <f>B11*B9</f>
        <v>800000</v>
      </c>
      <c r="L10" s="15">
        <f>SUM(L4:L8)</f>
        <v>4867291.09032676</v>
      </c>
      <c r="M10" s="32">
        <f>AVERAGE(M5:M8)</f>
        <v>0.84106458333333345</v>
      </c>
    </row>
    <row r="11" spans="1:13">
      <c r="A11" t="s">
        <v>87</v>
      </c>
      <c r="B11" s="15">
        <f>B3*B4</f>
        <v>2000000</v>
      </c>
    </row>
    <row r="14" spans="1:13">
      <c r="A14" t="s">
        <v>173</v>
      </c>
      <c r="B14" s="57">
        <f>NPV(B6,L4:L8)</f>
        <v>881057.26872246701</v>
      </c>
    </row>
    <row r="15" spans="1:13">
      <c r="A15" t="s">
        <v>153</v>
      </c>
      <c r="B15" s="57">
        <f>B14-B2</f>
        <v>881053.26872246701</v>
      </c>
    </row>
    <row r="16" spans="1:13">
      <c r="B16" s="1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
  <sheetViews>
    <sheetView topLeftCell="A3" zoomScaleNormal="100" workbookViewId="0">
      <selection activeCell="K11" sqref="K11"/>
    </sheetView>
  </sheetViews>
  <sheetFormatPr defaultRowHeight="15"/>
  <cols>
    <col min="1" max="1" width="12.28515625" customWidth="1"/>
    <col min="2" max="2" width="14.42578125" customWidth="1"/>
    <col min="3" max="3" width="21.28515625" customWidth="1"/>
    <col min="4" max="5" width="10.28515625" customWidth="1"/>
    <col min="6" max="6" width="12.42578125" customWidth="1"/>
    <col min="7" max="7" width="10.140625" customWidth="1"/>
    <col min="8" max="8" width="10.140625" style="79" customWidth="1"/>
    <col min="9" max="9" width="12.28515625" customWidth="1"/>
    <col min="10" max="10" width="8.42578125" customWidth="1"/>
    <col min="11" max="11" width="8.42578125" style="79" customWidth="1"/>
    <col min="12" max="12" width="11.85546875" customWidth="1"/>
    <col min="13" max="13" width="6.5703125" customWidth="1"/>
    <col min="14" max="15" width="13.85546875" customWidth="1"/>
  </cols>
  <sheetData>
    <row r="1" spans="1:25">
      <c r="A1" s="13"/>
    </row>
    <row r="2" spans="1:25" ht="275.25" customHeight="1">
      <c r="A2" s="138" t="s">
        <v>184</v>
      </c>
      <c r="B2" s="138"/>
      <c r="C2" s="138"/>
      <c r="D2" s="138"/>
      <c r="E2" s="138"/>
      <c r="F2" s="138"/>
      <c r="G2" s="138"/>
      <c r="H2" s="138"/>
      <c r="I2" s="138"/>
      <c r="J2" s="138"/>
      <c r="K2" s="138"/>
      <c r="L2" s="138"/>
      <c r="M2" s="138"/>
      <c r="N2" s="138"/>
      <c r="O2" s="138"/>
      <c r="P2" s="138"/>
      <c r="Q2" s="138"/>
      <c r="R2" s="138"/>
      <c r="S2" s="138"/>
      <c r="T2" s="138"/>
      <c r="U2" s="138"/>
      <c r="V2" s="138"/>
      <c r="W2" s="138"/>
      <c r="X2" s="138"/>
      <c r="Y2" s="138"/>
    </row>
    <row r="4" spans="1:25">
      <c r="A4" t="s">
        <v>174</v>
      </c>
    </row>
    <row r="5" spans="1:25">
      <c r="A5" t="s">
        <v>175</v>
      </c>
      <c r="B5" t="s">
        <v>185</v>
      </c>
      <c r="C5" t="s">
        <v>176</v>
      </c>
      <c r="D5" t="s">
        <v>187</v>
      </c>
      <c r="E5" s="79" t="s">
        <v>190</v>
      </c>
      <c r="F5" t="s">
        <v>177</v>
      </c>
      <c r="G5" t="s">
        <v>188</v>
      </c>
      <c r="H5" s="79" t="s">
        <v>190</v>
      </c>
      <c r="I5" t="s">
        <v>178</v>
      </c>
      <c r="J5" t="s">
        <v>189</v>
      </c>
      <c r="K5" s="79" t="s">
        <v>190</v>
      </c>
      <c r="L5" t="s">
        <v>179</v>
      </c>
      <c r="M5" t="s">
        <v>180</v>
      </c>
    </row>
    <row r="6" spans="1:25">
      <c r="A6">
        <v>1</v>
      </c>
      <c r="B6" t="s">
        <v>181</v>
      </c>
      <c r="C6" s="32">
        <v>1</v>
      </c>
      <c r="D6" s="2">
        <f t="shared" ref="D6:D17" si="0">F6*C6</f>
        <v>250</v>
      </c>
      <c r="E6" s="80"/>
      <c r="F6">
        <v>250</v>
      </c>
      <c r="G6" s="2">
        <f t="shared" ref="G6:G17" si="1">I6*C6</f>
        <v>100</v>
      </c>
      <c r="H6" s="80"/>
      <c r="I6">
        <v>100</v>
      </c>
      <c r="J6" s="2">
        <f t="shared" ref="J6:J17" si="2">L6*C6</f>
        <v>100</v>
      </c>
      <c r="K6" s="80"/>
      <c r="L6">
        <v>100</v>
      </c>
      <c r="M6">
        <v>60</v>
      </c>
    </row>
    <row r="7" spans="1:25">
      <c r="A7">
        <v>2</v>
      </c>
      <c r="B7" t="s">
        <v>181</v>
      </c>
      <c r="C7" s="32">
        <v>0.33</v>
      </c>
      <c r="D7" s="2">
        <f t="shared" si="0"/>
        <v>165</v>
      </c>
      <c r="E7" s="80">
        <v>1</v>
      </c>
      <c r="F7">
        <v>500</v>
      </c>
      <c r="G7" s="2">
        <f t="shared" si="1"/>
        <v>99</v>
      </c>
      <c r="H7" s="80">
        <v>1</v>
      </c>
      <c r="I7">
        <v>300</v>
      </c>
      <c r="J7" s="2">
        <f t="shared" si="2"/>
        <v>99</v>
      </c>
      <c r="K7" s="80">
        <v>1</v>
      </c>
      <c r="L7">
        <v>300</v>
      </c>
      <c r="M7">
        <v>180</v>
      </c>
    </row>
    <row r="8" spans="1:25">
      <c r="A8">
        <v>3</v>
      </c>
      <c r="B8" t="s">
        <v>181</v>
      </c>
      <c r="C8" s="32">
        <v>0.5</v>
      </c>
      <c r="D8" s="2">
        <f t="shared" si="0"/>
        <v>50</v>
      </c>
      <c r="E8" s="80">
        <v>1</v>
      </c>
      <c r="F8">
        <v>100</v>
      </c>
      <c r="G8" s="2">
        <f t="shared" si="1"/>
        <v>100</v>
      </c>
      <c r="H8" s="80"/>
      <c r="I8">
        <v>200</v>
      </c>
      <c r="J8" s="2">
        <f t="shared" si="2"/>
        <v>200</v>
      </c>
      <c r="K8" s="80"/>
      <c r="L8">
        <v>400</v>
      </c>
      <c r="M8">
        <v>80</v>
      </c>
    </row>
    <row r="9" spans="1:25">
      <c r="A9">
        <v>4</v>
      </c>
      <c r="B9" t="s">
        <v>181</v>
      </c>
      <c r="C9" s="32">
        <v>1</v>
      </c>
      <c r="D9" s="2">
        <f t="shared" si="0"/>
        <v>750</v>
      </c>
      <c r="E9" s="80">
        <v>1</v>
      </c>
      <c r="F9">
        <v>750</v>
      </c>
      <c r="G9" s="2">
        <f t="shared" si="1"/>
        <v>500</v>
      </c>
      <c r="H9" s="80">
        <v>1</v>
      </c>
      <c r="I9">
        <v>500</v>
      </c>
      <c r="J9" s="2">
        <f t="shared" si="2"/>
        <v>300</v>
      </c>
      <c r="K9" s="80">
        <v>1</v>
      </c>
      <c r="L9">
        <v>300</v>
      </c>
      <c r="M9">
        <v>310</v>
      </c>
    </row>
    <row r="10" spans="1:25">
      <c r="A10">
        <v>5</v>
      </c>
      <c r="B10" t="s">
        <v>181</v>
      </c>
      <c r="C10" s="32">
        <v>0.75</v>
      </c>
      <c r="D10" s="2">
        <f t="shared" si="0"/>
        <v>150</v>
      </c>
      <c r="E10" s="80">
        <v>1</v>
      </c>
      <c r="F10">
        <v>200</v>
      </c>
      <c r="G10" s="2">
        <f t="shared" si="1"/>
        <v>300</v>
      </c>
      <c r="H10" s="80"/>
      <c r="I10">
        <v>400</v>
      </c>
      <c r="J10" s="2">
        <f t="shared" si="2"/>
        <v>600</v>
      </c>
      <c r="K10" s="80">
        <v>1</v>
      </c>
      <c r="L10">
        <v>800</v>
      </c>
      <c r="M10">
        <v>220</v>
      </c>
    </row>
    <row r="11" spans="1:25">
      <c r="A11">
        <v>6</v>
      </c>
      <c r="B11" t="s">
        <v>182</v>
      </c>
      <c r="C11" s="32">
        <v>0.5</v>
      </c>
      <c r="D11" s="2">
        <f t="shared" si="0"/>
        <v>500</v>
      </c>
      <c r="E11" s="80"/>
      <c r="F11">
        <v>1000</v>
      </c>
      <c r="G11" s="2">
        <f t="shared" si="1"/>
        <v>150</v>
      </c>
      <c r="H11" s="80"/>
      <c r="I11">
        <v>300</v>
      </c>
      <c r="J11" s="2">
        <f t="shared" si="2"/>
        <v>150</v>
      </c>
      <c r="K11" s="80">
        <v>1</v>
      </c>
      <c r="L11">
        <v>300</v>
      </c>
      <c r="M11">
        <v>180</v>
      </c>
    </row>
    <row r="12" spans="1:25">
      <c r="A12">
        <v>7</v>
      </c>
      <c r="B12" t="s">
        <v>182</v>
      </c>
      <c r="C12" s="32">
        <v>1</v>
      </c>
      <c r="D12" s="2">
        <f t="shared" si="0"/>
        <v>750</v>
      </c>
      <c r="E12" s="80">
        <v>1</v>
      </c>
      <c r="F12">
        <v>750</v>
      </c>
      <c r="G12" s="2">
        <f t="shared" si="1"/>
        <v>750</v>
      </c>
      <c r="H12" s="80">
        <v>1</v>
      </c>
      <c r="I12">
        <v>750</v>
      </c>
      <c r="J12" s="2">
        <f t="shared" si="2"/>
        <v>300</v>
      </c>
      <c r="K12" s="80">
        <v>1</v>
      </c>
      <c r="L12">
        <v>300</v>
      </c>
      <c r="M12">
        <v>410</v>
      </c>
    </row>
    <row r="13" spans="1:25">
      <c r="A13">
        <v>8</v>
      </c>
      <c r="B13" t="s">
        <v>182</v>
      </c>
      <c r="C13" s="32">
        <v>1</v>
      </c>
      <c r="D13" s="2">
        <f t="shared" si="0"/>
        <v>800</v>
      </c>
      <c r="E13" s="80"/>
      <c r="F13">
        <v>800</v>
      </c>
      <c r="G13" s="2">
        <f t="shared" si="1"/>
        <v>700</v>
      </c>
      <c r="H13" s="80">
        <v>1</v>
      </c>
      <c r="I13">
        <v>700</v>
      </c>
      <c r="J13" s="2">
        <f t="shared" si="2"/>
        <v>600</v>
      </c>
      <c r="K13" s="80">
        <v>1</v>
      </c>
      <c r="L13">
        <v>600</v>
      </c>
      <c r="M13">
        <v>280</v>
      </c>
    </row>
    <row r="14" spans="1:25">
      <c r="A14">
        <v>9</v>
      </c>
      <c r="B14" t="s">
        <v>182</v>
      </c>
      <c r="C14" s="32">
        <v>0.67</v>
      </c>
      <c r="D14" s="2">
        <f t="shared" si="0"/>
        <v>268</v>
      </c>
      <c r="E14" s="80">
        <v>1</v>
      </c>
      <c r="F14">
        <v>400</v>
      </c>
      <c r="G14" s="2">
        <f t="shared" si="1"/>
        <v>402</v>
      </c>
      <c r="H14" s="80">
        <v>1</v>
      </c>
      <c r="I14">
        <v>600</v>
      </c>
      <c r="J14" s="2">
        <f t="shared" si="2"/>
        <v>536</v>
      </c>
      <c r="K14" s="80">
        <v>1</v>
      </c>
      <c r="L14">
        <v>800</v>
      </c>
      <c r="M14">
        <v>380</v>
      </c>
    </row>
    <row r="15" spans="1:25">
      <c r="A15">
        <v>10</v>
      </c>
      <c r="B15" t="s">
        <v>183</v>
      </c>
      <c r="C15" s="32">
        <v>1</v>
      </c>
      <c r="D15" s="2">
        <f t="shared" si="0"/>
        <v>100</v>
      </c>
      <c r="E15" s="80"/>
      <c r="F15">
        <v>100</v>
      </c>
      <c r="G15" s="2">
        <f t="shared" si="1"/>
        <v>200</v>
      </c>
      <c r="H15" s="80"/>
      <c r="I15">
        <v>200</v>
      </c>
      <c r="J15" s="2">
        <f t="shared" si="2"/>
        <v>400</v>
      </c>
      <c r="K15" s="80"/>
      <c r="L15">
        <v>400</v>
      </c>
      <c r="M15">
        <v>100</v>
      </c>
    </row>
    <row r="16" spans="1:25">
      <c r="A16">
        <v>11</v>
      </c>
      <c r="B16" t="s">
        <v>183</v>
      </c>
      <c r="C16" s="32">
        <v>0.5</v>
      </c>
      <c r="D16" s="2">
        <f t="shared" si="0"/>
        <v>350</v>
      </c>
      <c r="E16" s="80">
        <v>1</v>
      </c>
      <c r="F16">
        <v>700</v>
      </c>
      <c r="G16" s="2">
        <f t="shared" si="1"/>
        <v>250</v>
      </c>
      <c r="H16" s="80"/>
      <c r="I16">
        <v>500</v>
      </c>
      <c r="J16" s="2">
        <f t="shared" si="2"/>
        <v>150</v>
      </c>
      <c r="K16" s="80">
        <v>1</v>
      </c>
      <c r="L16">
        <v>300</v>
      </c>
      <c r="M16">
        <v>260</v>
      </c>
    </row>
    <row r="17" spans="1:13">
      <c r="A17">
        <v>12</v>
      </c>
      <c r="B17" t="s">
        <v>183</v>
      </c>
      <c r="C17" s="32">
        <v>1</v>
      </c>
      <c r="D17" s="2">
        <f t="shared" si="0"/>
        <v>1500</v>
      </c>
      <c r="E17" s="80">
        <v>1</v>
      </c>
      <c r="F17">
        <v>1500</v>
      </c>
      <c r="G17" s="2">
        <f t="shared" si="1"/>
        <v>400</v>
      </c>
      <c r="H17" s="80">
        <v>1</v>
      </c>
      <c r="I17">
        <v>400</v>
      </c>
      <c r="J17" s="2">
        <f t="shared" si="2"/>
        <v>400</v>
      </c>
      <c r="K17" s="80">
        <v>1</v>
      </c>
      <c r="L17">
        <v>400</v>
      </c>
      <c r="M17">
        <v>340</v>
      </c>
    </row>
    <row r="18" spans="1:13" s="4" customFormat="1">
      <c r="D18" s="9">
        <f>SUMIF(E6:E17, "=1", D6:D17)</f>
        <v>3983</v>
      </c>
      <c r="E18" s="81"/>
      <c r="G18" s="9">
        <f>SUMIF(H6:H17, "=1", G6:G17)</f>
        <v>2851</v>
      </c>
      <c r="H18" s="81"/>
      <c r="J18" s="9">
        <f>SUMIF(K6:K17, "=1", J6:J17)</f>
        <v>3135</v>
      </c>
      <c r="K18" s="81"/>
    </row>
    <row r="19" spans="1:13">
      <c r="E19" s="79"/>
    </row>
    <row r="21" spans="1:13">
      <c r="A21" t="s">
        <v>186</v>
      </c>
      <c r="B21" s="32">
        <v>0.12</v>
      </c>
      <c r="F21" s="3">
        <f>SUM(D18+G18+J18)</f>
        <v>9969</v>
      </c>
    </row>
  </sheetData>
  <mergeCells count="1">
    <mergeCell ref="A2:Y2"/>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23"/>
  <sheetViews>
    <sheetView topLeftCell="A5" zoomScaleNormal="100" workbookViewId="0">
      <selection activeCell="A5" sqref="A5:F23"/>
    </sheetView>
  </sheetViews>
  <sheetFormatPr defaultRowHeight="15"/>
  <cols>
    <col min="1" max="1" width="20.42578125" customWidth="1"/>
    <col min="2" max="2" width="15.85546875" customWidth="1"/>
    <col min="3" max="3" width="14.140625" customWidth="1"/>
  </cols>
  <sheetData>
    <row r="2" spans="1:16" ht="132.75" customHeight="1">
      <c r="A2" s="138" t="s">
        <v>191</v>
      </c>
      <c r="B2" s="138"/>
      <c r="C2" s="138"/>
      <c r="D2" s="138"/>
      <c r="E2" s="138"/>
      <c r="F2" s="138"/>
      <c r="G2" s="138"/>
      <c r="H2" s="138"/>
      <c r="I2" s="138"/>
      <c r="J2" s="138"/>
      <c r="K2" s="138"/>
      <c r="L2" s="138"/>
      <c r="M2" s="138"/>
      <c r="N2" s="138"/>
      <c r="O2" s="138"/>
      <c r="P2" s="138"/>
    </row>
    <row r="5" spans="1:16" s="4" customFormat="1">
      <c r="A5" s="51"/>
      <c r="B5" s="51" t="s">
        <v>193</v>
      </c>
      <c r="C5" s="51" t="s">
        <v>194</v>
      </c>
      <c r="D5" s="51"/>
      <c r="E5" s="51"/>
      <c r="F5" s="51"/>
    </row>
    <row r="6" spans="1:16">
      <c r="A6" s="84" t="s">
        <v>192</v>
      </c>
      <c r="B6" s="85">
        <v>175</v>
      </c>
      <c r="C6" s="85">
        <v>10</v>
      </c>
      <c r="D6" s="86"/>
      <c r="E6" s="86"/>
      <c r="F6" s="86"/>
    </row>
    <row r="7" spans="1:16">
      <c r="A7" s="86"/>
      <c r="B7" s="86">
        <v>3000</v>
      </c>
      <c r="C7" s="86">
        <v>7000</v>
      </c>
      <c r="D7" s="86" t="s">
        <v>202</v>
      </c>
      <c r="E7" s="86"/>
      <c r="F7" s="86"/>
    </row>
    <row r="8" spans="1:16">
      <c r="A8" s="86" t="s">
        <v>195</v>
      </c>
      <c r="B8" s="86"/>
      <c r="C8" s="86"/>
      <c r="D8" s="86"/>
      <c r="E8" s="86"/>
      <c r="F8" s="86"/>
    </row>
    <row r="9" spans="1:16">
      <c r="A9" s="86" t="s">
        <v>203</v>
      </c>
      <c r="B9" s="87">
        <f>SUMPRODUCT(B6:C6, B7:C7)</f>
        <v>595000</v>
      </c>
      <c r="C9" s="86"/>
      <c r="D9" s="86"/>
      <c r="E9" s="86"/>
      <c r="F9" s="86"/>
    </row>
    <row r="10" spans="1:16">
      <c r="A10" s="86"/>
      <c r="B10" s="86"/>
      <c r="C10" s="86"/>
      <c r="D10" s="86"/>
      <c r="E10" s="86"/>
      <c r="F10" s="86"/>
    </row>
    <row r="11" spans="1:16">
      <c r="A11" s="86"/>
      <c r="B11" s="86"/>
      <c r="C11" s="86"/>
      <c r="D11" s="86"/>
      <c r="E11" s="86"/>
      <c r="F11" s="86"/>
    </row>
    <row r="12" spans="1:16">
      <c r="A12" s="86"/>
      <c r="B12" s="86"/>
      <c r="C12" s="86"/>
      <c r="D12" s="86"/>
      <c r="E12" s="86"/>
      <c r="F12" s="86"/>
    </row>
    <row r="13" spans="1:16">
      <c r="A13" s="86"/>
      <c r="B13" s="86"/>
      <c r="C13" s="86"/>
      <c r="D13" s="86" t="s">
        <v>200</v>
      </c>
      <c r="E13" s="86"/>
      <c r="F13" s="86"/>
    </row>
    <row r="14" spans="1:16" s="4" customFormat="1">
      <c r="A14" s="53" t="s">
        <v>196</v>
      </c>
      <c r="B14" s="53"/>
      <c r="C14" s="53"/>
      <c r="D14" s="53" t="s">
        <v>197</v>
      </c>
      <c r="E14" s="53" t="s">
        <v>199</v>
      </c>
      <c r="F14" s="53" t="s">
        <v>198</v>
      </c>
    </row>
    <row r="15" spans="1:16">
      <c r="A15" s="78" t="s">
        <v>0</v>
      </c>
      <c r="B15" s="78">
        <v>200</v>
      </c>
      <c r="C15" s="78">
        <v>500</v>
      </c>
      <c r="D15" s="78">
        <f>SUMPRODUCT($B$6:$C$6, B15:C15)</f>
        <v>40000</v>
      </c>
      <c r="E15" s="78" t="s">
        <v>201</v>
      </c>
      <c r="F15" s="78">
        <v>40000</v>
      </c>
    </row>
    <row r="16" spans="1:16">
      <c r="A16" s="78" t="s">
        <v>204</v>
      </c>
      <c r="B16" s="78">
        <v>1</v>
      </c>
      <c r="C16" s="78"/>
      <c r="D16" s="78">
        <f t="shared" ref="D16:D18" si="0">SUMPRODUCT($B$6:$C$6, B16:C16)</f>
        <v>175</v>
      </c>
      <c r="E16" s="78" t="s">
        <v>206</v>
      </c>
      <c r="F16" s="78">
        <v>10</v>
      </c>
    </row>
    <row r="17" spans="1:6">
      <c r="A17" s="78" t="s">
        <v>205</v>
      </c>
      <c r="B17" s="78"/>
      <c r="C17" s="78">
        <v>1</v>
      </c>
      <c r="D17" s="78">
        <f t="shared" si="0"/>
        <v>10</v>
      </c>
      <c r="E17" s="78" t="s">
        <v>206</v>
      </c>
      <c r="F17" s="78">
        <v>10</v>
      </c>
    </row>
    <row r="18" spans="1:6">
      <c r="A18" s="78" t="s">
        <v>207</v>
      </c>
      <c r="B18" s="78">
        <v>1</v>
      </c>
      <c r="C18" s="78">
        <v>-1</v>
      </c>
      <c r="D18" s="78">
        <f t="shared" si="0"/>
        <v>165</v>
      </c>
      <c r="E18" s="78" t="s">
        <v>206</v>
      </c>
      <c r="F18" s="78">
        <v>0</v>
      </c>
    </row>
    <row r="19" spans="1:6">
      <c r="A19" s="78"/>
      <c r="B19" s="78"/>
      <c r="C19" s="78"/>
      <c r="D19" s="78"/>
      <c r="E19" s="78"/>
      <c r="F19" s="78"/>
    </row>
    <row r="20" spans="1:6">
      <c r="A20" s="78"/>
      <c r="B20" s="78"/>
      <c r="C20" s="78"/>
      <c r="D20" s="78"/>
      <c r="E20" s="78"/>
      <c r="F20" s="78"/>
    </row>
    <row r="22" spans="1:6">
      <c r="A22" t="s">
        <v>208</v>
      </c>
    </row>
    <row r="23" spans="1:6">
      <c r="A23" t="s">
        <v>209</v>
      </c>
    </row>
  </sheetData>
  <mergeCells count="1">
    <mergeCell ref="A2:P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C4" sqref="C4"/>
    </sheetView>
  </sheetViews>
  <sheetFormatPr defaultRowHeight="15"/>
  <cols>
    <col min="1" max="1" width="15.85546875" customWidth="1"/>
  </cols>
  <sheetData>
    <row r="1" spans="1:6">
      <c r="A1" s="51"/>
      <c r="B1" s="51" t="s">
        <v>193</v>
      </c>
      <c r="C1" s="51" t="s">
        <v>194</v>
      </c>
      <c r="D1" s="51"/>
      <c r="E1" s="51"/>
      <c r="F1" s="51"/>
    </row>
    <row r="2" spans="1:6">
      <c r="A2" s="84" t="s">
        <v>192</v>
      </c>
      <c r="B2" s="85">
        <v>29.999999999999996</v>
      </c>
      <c r="C2" s="85">
        <v>60</v>
      </c>
      <c r="D2" s="86"/>
      <c r="E2" s="86"/>
      <c r="F2" s="86"/>
    </row>
    <row r="3" spans="1:6">
      <c r="A3" s="86" t="s">
        <v>212</v>
      </c>
      <c r="B3" s="86">
        <v>7</v>
      </c>
      <c r="C3" s="86">
        <v>3</v>
      </c>
      <c r="D3" s="86" t="s">
        <v>202</v>
      </c>
      <c r="E3" s="86"/>
      <c r="F3" s="86"/>
    </row>
    <row r="4" spans="1:6">
      <c r="A4" s="86" t="s">
        <v>195</v>
      </c>
      <c r="B4" s="86"/>
      <c r="C4" s="86"/>
      <c r="D4" s="86"/>
      <c r="E4" s="86"/>
      <c r="F4" s="86"/>
    </row>
    <row r="5" spans="1:6">
      <c r="A5" s="86" t="s">
        <v>213</v>
      </c>
      <c r="B5" s="87">
        <f>SUMPRODUCT(B2:C2, B3:C3)</f>
        <v>390</v>
      </c>
      <c r="C5" s="86"/>
      <c r="D5" s="86"/>
      <c r="E5" s="86"/>
      <c r="F5" s="86"/>
    </row>
    <row r="6" spans="1:6">
      <c r="A6" s="86"/>
      <c r="B6" s="86"/>
      <c r="C6" s="86"/>
      <c r="D6" s="86"/>
      <c r="E6" s="86"/>
      <c r="F6" s="86"/>
    </row>
    <row r="7" spans="1:6">
      <c r="A7" s="86"/>
      <c r="B7" s="86"/>
      <c r="C7" s="86"/>
      <c r="D7" s="86"/>
      <c r="E7" s="86"/>
      <c r="F7" s="86"/>
    </row>
    <row r="8" spans="1:6">
      <c r="A8" s="86"/>
      <c r="B8" s="86"/>
      <c r="C8" s="86"/>
      <c r="D8" s="86"/>
      <c r="E8" s="86"/>
      <c r="F8" s="86"/>
    </row>
    <row r="9" spans="1:6">
      <c r="A9" s="86"/>
      <c r="B9" s="86"/>
      <c r="C9" s="86"/>
      <c r="D9" s="86" t="s">
        <v>200</v>
      </c>
      <c r="E9" s="86"/>
      <c r="F9" s="86"/>
    </row>
    <row r="10" spans="1:6">
      <c r="A10" s="53" t="s">
        <v>196</v>
      </c>
      <c r="B10" s="53"/>
      <c r="C10" s="53"/>
      <c r="D10" s="53" t="s">
        <v>197</v>
      </c>
      <c r="E10" s="53" t="s">
        <v>199</v>
      </c>
      <c r="F10" s="53" t="s">
        <v>198</v>
      </c>
    </row>
    <row r="11" spans="1:6">
      <c r="A11" s="78" t="s">
        <v>210</v>
      </c>
      <c r="B11" s="78">
        <v>2</v>
      </c>
      <c r="C11" s="78">
        <v>1</v>
      </c>
      <c r="D11" s="78">
        <f>SUMPRODUCT($B$2:$C$2, B11:C11)</f>
        <v>120</v>
      </c>
      <c r="E11" s="78" t="s">
        <v>201</v>
      </c>
      <c r="F11" s="78">
        <v>120</v>
      </c>
    </row>
    <row r="12" spans="1:6">
      <c r="A12" s="78" t="s">
        <v>211</v>
      </c>
      <c r="B12" s="78">
        <v>2</v>
      </c>
      <c r="C12" s="78">
        <v>3</v>
      </c>
      <c r="D12" s="78">
        <f t="shared" ref="D12" si="0">SUMPRODUCT($B$2:$C$2, B12:C12)</f>
        <v>240</v>
      </c>
      <c r="E12" s="78" t="s">
        <v>201</v>
      </c>
      <c r="F12" s="78">
        <v>240</v>
      </c>
    </row>
    <row r="13" spans="1:6">
      <c r="A13" s="78"/>
      <c r="B13" s="78"/>
      <c r="C13" s="78"/>
      <c r="D13" s="78"/>
      <c r="E13" s="78"/>
      <c r="F13" s="78"/>
    </row>
    <row r="14" spans="1:6">
      <c r="A14" s="78"/>
      <c r="B14" s="78"/>
      <c r="C14" s="78"/>
      <c r="D14" s="78"/>
      <c r="E14" s="78"/>
      <c r="F14" s="78"/>
    </row>
    <row r="15" spans="1:6">
      <c r="A15" s="78"/>
      <c r="B15" s="78"/>
      <c r="C15" s="78"/>
      <c r="D15" s="78"/>
      <c r="E15" s="78"/>
      <c r="F15" s="78"/>
    </row>
    <row r="16" spans="1:6">
      <c r="A16" s="78"/>
      <c r="B16" s="78"/>
      <c r="C16" s="78"/>
      <c r="D16" s="78"/>
      <c r="E16" s="78"/>
      <c r="F16" s="78"/>
    </row>
    <row r="18" spans="1:1">
      <c r="A18" t="s">
        <v>208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27"/>
  <sheetViews>
    <sheetView topLeftCell="A21" zoomScaleNormal="100" workbookViewId="0">
      <selection activeCell="A4" sqref="A4:H29"/>
    </sheetView>
  </sheetViews>
  <sheetFormatPr defaultRowHeight="15"/>
  <cols>
    <col min="1" max="1" width="18.7109375" customWidth="1"/>
    <col min="4" max="4" width="10.5703125" bestFit="1" customWidth="1"/>
  </cols>
  <sheetData>
    <row r="2" spans="1:16" ht="171" customHeight="1">
      <c r="A2" s="138" t="s">
        <v>214</v>
      </c>
      <c r="B2" s="138"/>
      <c r="C2" s="138"/>
      <c r="D2" s="138"/>
      <c r="E2" s="138"/>
      <c r="F2" s="138"/>
      <c r="G2" s="138"/>
      <c r="H2" s="138"/>
      <c r="I2" s="138"/>
      <c r="J2" s="138"/>
      <c r="K2" s="138"/>
      <c r="L2" s="138"/>
      <c r="M2" s="138"/>
      <c r="N2" s="138"/>
      <c r="O2" s="138"/>
      <c r="P2" s="138"/>
    </row>
    <row r="4" spans="1:16">
      <c r="B4" t="s">
        <v>217</v>
      </c>
      <c r="C4" t="s">
        <v>218</v>
      </c>
    </row>
    <row r="5" spans="1:16">
      <c r="A5" t="s">
        <v>192</v>
      </c>
      <c r="B5" s="14">
        <v>560</v>
      </c>
      <c r="C5" s="14">
        <v>1200</v>
      </c>
    </row>
    <row r="8" spans="1:16">
      <c r="A8" t="s">
        <v>215</v>
      </c>
      <c r="D8" t="s">
        <v>221</v>
      </c>
    </row>
    <row r="9" spans="1:16">
      <c r="A9" t="s">
        <v>87</v>
      </c>
      <c r="B9">
        <v>300</v>
      </c>
      <c r="C9">
        <v>450</v>
      </c>
      <c r="D9" s="4">
        <f>SUMPRODUCT(B5:C5,B9:C9)</f>
        <v>708000</v>
      </c>
    </row>
    <row r="10" spans="1:16">
      <c r="A10" t="s">
        <v>22</v>
      </c>
    </row>
    <row r="11" spans="1:16">
      <c r="A11" t="s">
        <v>222</v>
      </c>
      <c r="B11" s="2">
        <v>150</v>
      </c>
      <c r="C11" s="2">
        <v>225</v>
      </c>
      <c r="D11" s="2">
        <f>SUMPRODUCT(B5:C5,B11:C11)</f>
        <v>354000</v>
      </c>
    </row>
    <row r="12" spans="1:16">
      <c r="A12" t="s">
        <v>225</v>
      </c>
      <c r="B12">
        <v>5</v>
      </c>
      <c r="C12">
        <v>6</v>
      </c>
      <c r="D12" s="3">
        <f>SUMPRODUCT(B5:C5,B12:C12)*B17</f>
        <v>110000</v>
      </c>
    </row>
    <row r="13" spans="1:16">
      <c r="A13" t="s">
        <v>226</v>
      </c>
      <c r="B13">
        <v>1</v>
      </c>
      <c r="C13">
        <v>2</v>
      </c>
      <c r="D13" s="3">
        <f>SUMPRODUCT(B5:C5,B13:C13)*B18</f>
        <v>44400</v>
      </c>
    </row>
    <row r="14" spans="1:16">
      <c r="D14" s="9">
        <f>SUM(D11:D13)</f>
        <v>508400</v>
      </c>
    </row>
    <row r="15" spans="1:16">
      <c r="A15" t="s">
        <v>73</v>
      </c>
      <c r="D15" s="88">
        <f>D9-D14</f>
        <v>199600</v>
      </c>
    </row>
    <row r="17" spans="1:6">
      <c r="A17" t="s">
        <v>227</v>
      </c>
      <c r="B17" s="2">
        <v>11</v>
      </c>
    </row>
    <row r="18" spans="1:6">
      <c r="A18" t="s">
        <v>228</v>
      </c>
      <c r="B18" s="2">
        <v>15</v>
      </c>
    </row>
    <row r="20" spans="1:6">
      <c r="A20" s="22" t="s">
        <v>216</v>
      </c>
      <c r="B20" s="22"/>
      <c r="C20" s="22"/>
      <c r="D20" s="22" t="s">
        <v>197</v>
      </c>
      <c r="E20" s="22" t="s">
        <v>199</v>
      </c>
      <c r="F20" s="22" t="s">
        <v>198</v>
      </c>
    </row>
    <row r="21" spans="1:6">
      <c r="A21" s="22" t="s">
        <v>219</v>
      </c>
      <c r="B21" s="22">
        <v>1</v>
      </c>
      <c r="C21" s="22"/>
      <c r="D21" s="22">
        <f>SUMPRODUCT($B$5:$C$5,B21:C21)</f>
        <v>560</v>
      </c>
      <c r="E21" s="22" t="s">
        <v>201</v>
      </c>
      <c r="F21" s="22">
        <v>600</v>
      </c>
    </row>
    <row r="22" spans="1:6">
      <c r="A22" s="22" t="s">
        <v>220</v>
      </c>
      <c r="B22" s="22"/>
      <c r="C22" s="22">
        <v>1</v>
      </c>
      <c r="D22" s="22">
        <f>SUMPRODUCT($B$5:$C$5,B22:C22)</f>
        <v>1200</v>
      </c>
      <c r="E22" s="22" t="s">
        <v>201</v>
      </c>
      <c r="F22" s="22">
        <v>1200</v>
      </c>
    </row>
    <row r="23" spans="1:6">
      <c r="A23" s="22" t="s">
        <v>223</v>
      </c>
      <c r="B23" s="22"/>
      <c r="C23" s="22"/>
      <c r="D23" s="22">
        <f>SUMPRODUCT(B5:C5,B12:C12)</f>
        <v>10000</v>
      </c>
      <c r="E23" s="22" t="s">
        <v>201</v>
      </c>
      <c r="F23" s="22">
        <v>10000</v>
      </c>
    </row>
    <row r="24" spans="1:6">
      <c r="A24" s="22" t="s">
        <v>224</v>
      </c>
      <c r="B24" s="22"/>
      <c r="C24" s="22"/>
      <c r="D24" s="22">
        <f>SUMPRODUCT(B5:C5,B13:C13)</f>
        <v>2960</v>
      </c>
      <c r="E24" s="22" t="s">
        <v>201</v>
      </c>
      <c r="F24" s="22">
        <v>3000</v>
      </c>
    </row>
    <row r="25" spans="1:6">
      <c r="A25" s="22"/>
      <c r="B25" s="22"/>
      <c r="C25" s="22"/>
      <c r="D25" s="22"/>
      <c r="E25" s="22"/>
      <c r="F25" s="22"/>
    </row>
    <row r="26" spans="1:6">
      <c r="A26" s="22"/>
      <c r="B26" s="22"/>
      <c r="C26" s="22"/>
      <c r="D26" s="22"/>
      <c r="E26" s="22"/>
      <c r="F26" s="22"/>
    </row>
    <row r="27" spans="1:6">
      <c r="A27" s="22"/>
      <c r="B27" s="22"/>
      <c r="C27" s="22"/>
      <c r="D27" s="22"/>
      <c r="E27" s="22"/>
      <c r="F27" s="22"/>
    </row>
  </sheetData>
  <mergeCells count="1">
    <mergeCell ref="A2:P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26"/>
  <sheetViews>
    <sheetView workbookViewId="0">
      <selection activeCell="D14" sqref="D14"/>
    </sheetView>
  </sheetViews>
  <sheetFormatPr defaultRowHeight="15"/>
  <cols>
    <col min="1" max="1" width="19.85546875" customWidth="1"/>
    <col min="4" max="4" width="14.42578125" customWidth="1"/>
  </cols>
  <sheetData>
    <row r="3" spans="1:4">
      <c r="B3" t="s">
        <v>229</v>
      </c>
      <c r="C3" t="s">
        <v>230</v>
      </c>
    </row>
    <row r="4" spans="1:4">
      <c r="A4" t="s">
        <v>192</v>
      </c>
      <c r="B4" s="14">
        <v>260</v>
      </c>
      <c r="C4" s="14">
        <v>35</v>
      </c>
    </row>
    <row r="7" spans="1:4">
      <c r="A7" t="s">
        <v>215</v>
      </c>
      <c r="D7" t="s">
        <v>221</v>
      </c>
    </row>
    <row r="8" spans="1:4">
      <c r="A8" t="s">
        <v>87</v>
      </c>
      <c r="B8">
        <v>12</v>
      </c>
      <c r="C8">
        <v>20</v>
      </c>
      <c r="D8" s="4">
        <f>SUMPRODUCT(B4:C4,B8:C8)</f>
        <v>3820</v>
      </c>
    </row>
    <row r="9" spans="1:4">
      <c r="A9" t="s">
        <v>22</v>
      </c>
    </row>
    <row r="10" spans="1:4">
      <c r="A10" t="s">
        <v>222</v>
      </c>
      <c r="B10" s="2"/>
      <c r="C10" s="2"/>
      <c r="D10" s="2"/>
    </row>
    <row r="11" spans="1:4">
      <c r="A11" t="s">
        <v>232</v>
      </c>
      <c r="B11">
        <v>9</v>
      </c>
      <c r="C11">
        <v>36</v>
      </c>
      <c r="D11" s="3"/>
    </row>
    <row r="12" spans="1:4">
      <c r="A12" t="s">
        <v>233</v>
      </c>
      <c r="B12">
        <v>4</v>
      </c>
      <c r="C12">
        <v>6</v>
      </c>
      <c r="D12" s="3"/>
    </row>
    <row r="13" spans="1:4">
      <c r="D13" s="9"/>
    </row>
    <row r="14" spans="1:4">
      <c r="A14" t="s">
        <v>73</v>
      </c>
      <c r="D14" s="88">
        <f>D8-D13</f>
        <v>3820</v>
      </c>
    </row>
    <row r="16" spans="1:4">
      <c r="B16" s="2"/>
    </row>
    <row r="17" spans="1:6">
      <c r="B17" s="2"/>
    </row>
    <row r="19" spans="1:6">
      <c r="A19" s="22" t="s">
        <v>216</v>
      </c>
      <c r="B19" s="22"/>
      <c r="C19" s="22"/>
      <c r="D19" s="22" t="s">
        <v>197</v>
      </c>
      <c r="E19" s="22" t="s">
        <v>199</v>
      </c>
      <c r="F19" s="22" t="s">
        <v>198</v>
      </c>
    </row>
    <row r="20" spans="1:6">
      <c r="A20" s="22" t="s">
        <v>231</v>
      </c>
      <c r="B20" s="22"/>
      <c r="C20" s="22"/>
      <c r="D20" s="22">
        <f>SUMPRODUCT(B12:C12,B4:C4)</f>
        <v>1250</v>
      </c>
      <c r="E20" s="22" t="s">
        <v>201</v>
      </c>
      <c r="F20" s="22">
        <v>1250</v>
      </c>
    </row>
    <row r="21" spans="1:6">
      <c r="A21" s="22" t="s">
        <v>232</v>
      </c>
      <c r="B21" s="22"/>
      <c r="C21" s="22"/>
      <c r="D21" s="22">
        <f>SUMPRODUCT(B11:C11,B4:C4)</f>
        <v>3600</v>
      </c>
      <c r="E21" s="22" t="s">
        <v>201</v>
      </c>
      <c r="F21" s="22">
        <v>3600</v>
      </c>
    </row>
    <row r="24" spans="1:6">
      <c r="A24" s="89"/>
      <c r="B24" s="89"/>
      <c r="C24" s="89"/>
      <c r="D24" s="89"/>
      <c r="E24" s="89"/>
      <c r="F24" s="89"/>
    </row>
    <row r="25" spans="1:6">
      <c r="A25" s="89"/>
      <c r="B25" s="89"/>
      <c r="C25" s="89"/>
      <c r="D25" s="89"/>
      <c r="E25" s="89"/>
      <c r="F25" s="89"/>
    </row>
    <row r="26" spans="1:6">
      <c r="A26" s="89"/>
      <c r="B26" s="89"/>
      <c r="C26" s="89"/>
      <c r="D26" s="89"/>
      <c r="E26" s="89"/>
      <c r="F26" s="89"/>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27"/>
  <sheetViews>
    <sheetView topLeftCell="A3" zoomScaleNormal="100" workbookViewId="0">
      <selection activeCell="N16" sqref="N16"/>
    </sheetView>
  </sheetViews>
  <sheetFormatPr defaultRowHeight="15"/>
  <cols>
    <col min="1" max="1" width="32.140625" customWidth="1"/>
    <col min="2" max="2" width="19.85546875" customWidth="1"/>
    <col min="3" max="4" width="9.28515625" bestFit="1" customWidth="1"/>
    <col min="5" max="5" width="11.5703125" bestFit="1" customWidth="1"/>
    <col min="6" max="6" width="10.5703125" bestFit="1" customWidth="1"/>
    <col min="9" max="9" width="11.7109375" customWidth="1"/>
  </cols>
  <sheetData>
    <row r="2" spans="1:15" ht="111" customHeight="1">
      <c r="A2" s="140" t="s">
        <v>240</v>
      </c>
      <c r="B2" s="140"/>
      <c r="C2" s="140"/>
      <c r="D2" s="140"/>
      <c r="E2" s="140"/>
      <c r="F2" s="140"/>
      <c r="G2" s="140"/>
      <c r="H2" s="140"/>
      <c r="I2" s="140"/>
      <c r="J2" s="140"/>
      <c r="K2" s="140"/>
      <c r="L2" s="140"/>
      <c r="M2" s="140"/>
      <c r="N2" s="140"/>
      <c r="O2" s="140"/>
    </row>
    <row r="4" spans="1:15" ht="15" customHeight="1">
      <c r="A4" s="35" t="s">
        <v>150</v>
      </c>
      <c r="B4" s="35" t="s">
        <v>234</v>
      </c>
    </row>
    <row r="5" spans="1:15" ht="15" customHeight="1">
      <c r="A5" s="36" t="s">
        <v>235</v>
      </c>
      <c r="B5" s="36">
        <v>5.3</v>
      </c>
    </row>
    <row r="6" spans="1:15" ht="15" customHeight="1">
      <c r="A6" s="36" t="s">
        <v>236</v>
      </c>
      <c r="B6" s="36">
        <v>6.8</v>
      </c>
    </row>
    <row r="7" spans="1:15" ht="15" customHeight="1">
      <c r="A7" s="36" t="s">
        <v>237</v>
      </c>
      <c r="B7" s="36">
        <v>4.9000000000000004</v>
      </c>
    </row>
    <row r="8" spans="1:15" ht="15" customHeight="1">
      <c r="A8" s="36" t="s">
        <v>238</v>
      </c>
      <c r="B8" s="36">
        <v>8.4</v>
      </c>
    </row>
    <row r="9" spans="1:15" ht="15" customHeight="1">
      <c r="A9" s="36" t="s">
        <v>239</v>
      </c>
      <c r="B9" s="36">
        <v>11.8</v>
      </c>
    </row>
    <row r="11" spans="1:15">
      <c r="B11" s="86" t="s">
        <v>242</v>
      </c>
      <c r="C11" s="86" t="s">
        <v>243</v>
      </c>
      <c r="D11" s="86" t="s">
        <v>244</v>
      </c>
      <c r="E11" s="86" t="s">
        <v>245</v>
      </c>
      <c r="F11" s="86" t="s">
        <v>246</v>
      </c>
      <c r="G11" s="86"/>
      <c r="H11" s="86"/>
    </row>
    <row r="12" spans="1:15" s="4" customFormat="1">
      <c r="A12" s="35" t="s">
        <v>192</v>
      </c>
      <c r="B12" s="101">
        <v>50000</v>
      </c>
      <c r="C12" s="101">
        <v>0</v>
      </c>
      <c r="D12" s="101">
        <v>0</v>
      </c>
      <c r="E12" s="101">
        <v>175000</v>
      </c>
      <c r="F12" s="101">
        <v>25000</v>
      </c>
    </row>
    <row r="13" spans="1:15">
      <c r="B13" s="91">
        <v>5.2999999999999999E-2</v>
      </c>
      <c r="C13" s="91">
        <v>6.8000000000000005E-2</v>
      </c>
      <c r="D13" s="91">
        <v>4.9000000000000002E-2</v>
      </c>
      <c r="E13" s="91">
        <v>8.4000000000000005E-2</v>
      </c>
      <c r="F13" s="91">
        <v>0.11799999999999999</v>
      </c>
    </row>
    <row r="15" spans="1:15" s="4" customFormat="1">
      <c r="A15" s="4" t="s">
        <v>241</v>
      </c>
    </row>
    <row r="16" spans="1:15">
      <c r="A16" t="s">
        <v>247</v>
      </c>
      <c r="B16" s="94">
        <f>SUMPRODUCT(B12:F12,B13:F13)</f>
        <v>20300</v>
      </c>
    </row>
    <row r="18" spans="1:9">
      <c r="A18" s="95" t="s">
        <v>248</v>
      </c>
      <c r="B18" s="82"/>
      <c r="C18" s="82"/>
      <c r="D18" s="82"/>
      <c r="E18" s="82"/>
      <c r="F18" s="82"/>
      <c r="G18" s="53" t="s">
        <v>197</v>
      </c>
      <c r="H18" s="53" t="s">
        <v>199</v>
      </c>
      <c r="I18" s="53" t="s">
        <v>198</v>
      </c>
    </row>
    <row r="19" spans="1:9">
      <c r="A19" s="96" t="s">
        <v>0</v>
      </c>
      <c r="B19" s="82">
        <v>1</v>
      </c>
      <c r="C19" s="82">
        <v>1</v>
      </c>
      <c r="D19" s="82">
        <v>1</v>
      </c>
      <c r="E19" s="82">
        <v>1</v>
      </c>
      <c r="F19" s="82">
        <v>1</v>
      </c>
      <c r="G19" s="82">
        <f>SUMPRODUCT(B19:F19,$B$12:$F$12)</f>
        <v>250000</v>
      </c>
      <c r="H19" s="82" t="s">
        <v>201</v>
      </c>
      <c r="I19" s="82">
        <v>250000</v>
      </c>
    </row>
    <row r="20" spans="1:9">
      <c r="A20" s="96" t="s">
        <v>249</v>
      </c>
      <c r="B20" s="82">
        <v>1</v>
      </c>
      <c r="C20" s="82"/>
      <c r="D20" s="82"/>
      <c r="E20" s="82"/>
      <c r="F20" s="82"/>
      <c r="G20" s="82">
        <f>SUMPRODUCT(B20:F20,$B$12:$F$12)</f>
        <v>50000</v>
      </c>
      <c r="H20" s="82" t="s">
        <v>206</v>
      </c>
      <c r="I20" s="82">
        <f>20%*I19</f>
        <v>50000</v>
      </c>
    </row>
    <row r="21" spans="1:9">
      <c r="A21" s="96" t="s">
        <v>250</v>
      </c>
      <c r="B21" s="82"/>
      <c r="C21" s="82">
        <v>1</v>
      </c>
      <c r="D21" s="82">
        <v>1</v>
      </c>
      <c r="E21" s="82">
        <v>1</v>
      </c>
      <c r="F21" s="82"/>
      <c r="G21" s="82">
        <f>SUMPRODUCT(B21:F21,$B$12:$F$12)</f>
        <v>175000</v>
      </c>
      <c r="H21" s="82" t="s">
        <v>206</v>
      </c>
      <c r="I21" s="82">
        <f>40%*I19</f>
        <v>100000</v>
      </c>
    </row>
    <row r="22" spans="1:9">
      <c r="A22" s="96" t="s">
        <v>251</v>
      </c>
      <c r="B22" s="99">
        <v>-0.5</v>
      </c>
      <c r="C22" s="82"/>
      <c r="D22" s="82"/>
      <c r="E22" s="82"/>
      <c r="F22" s="82">
        <v>1</v>
      </c>
      <c r="G22" s="82">
        <f>SUMPRODUCT(B22:F22,$B$12:$F$12)</f>
        <v>0</v>
      </c>
      <c r="H22" s="82" t="s">
        <v>201</v>
      </c>
      <c r="I22" s="82">
        <v>0</v>
      </c>
    </row>
    <row r="23" spans="1:9">
      <c r="A23" s="97"/>
      <c r="B23" s="98"/>
      <c r="C23" s="98"/>
      <c r="D23" s="98"/>
      <c r="E23" s="98"/>
      <c r="F23" s="98">
        <v>1</v>
      </c>
      <c r="G23" s="82">
        <f>SUMPRODUCT(B23:F23,$B$12:$F$12)</f>
        <v>25000</v>
      </c>
      <c r="H23" s="98" t="s">
        <v>201</v>
      </c>
      <c r="I23" s="100">
        <f>50%*B12</f>
        <v>25000</v>
      </c>
    </row>
    <row r="24" spans="1:9">
      <c r="A24" s="97"/>
      <c r="B24" s="98"/>
      <c r="C24" s="98"/>
      <c r="D24" s="98"/>
      <c r="E24" s="98"/>
      <c r="F24" s="98"/>
      <c r="G24" s="98"/>
      <c r="H24" s="98"/>
      <c r="I24" s="98"/>
    </row>
    <row r="25" spans="1:9">
      <c r="A25" s="97"/>
      <c r="B25" s="98"/>
      <c r="C25" s="98"/>
      <c r="D25" s="98"/>
      <c r="E25" s="98"/>
      <c r="F25" s="98"/>
      <c r="G25" s="98"/>
      <c r="H25" s="98"/>
      <c r="I25" s="98"/>
    </row>
    <row r="26" spans="1:9">
      <c r="A26" s="98"/>
      <c r="B26" s="98"/>
      <c r="C26" s="98"/>
      <c r="D26" s="98"/>
      <c r="E26" s="98"/>
      <c r="F26" s="98"/>
      <c r="G26" s="98"/>
      <c r="H26" s="98"/>
      <c r="I26" s="98"/>
    </row>
    <row r="27" spans="1:9">
      <c r="A27" s="89"/>
      <c r="B27" s="89"/>
      <c r="C27" s="89"/>
      <c r="D27" s="89"/>
      <c r="E27" s="89"/>
      <c r="F27" s="89"/>
      <c r="G27" s="89"/>
      <c r="H27" s="89"/>
      <c r="I27" s="89"/>
    </row>
  </sheetData>
  <mergeCells count="1">
    <mergeCell ref="A2:O2"/>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N23"/>
  <sheetViews>
    <sheetView topLeftCell="A2" workbookViewId="0">
      <selection activeCell="K25" sqref="K25"/>
    </sheetView>
  </sheetViews>
  <sheetFormatPr defaultRowHeight="15"/>
  <cols>
    <col min="1" max="1" width="15.5703125" customWidth="1"/>
    <col min="2" max="2" width="9.7109375" customWidth="1"/>
    <col min="4" max="4" width="14.5703125" customWidth="1"/>
    <col min="5" max="5" width="11.28515625" customWidth="1"/>
    <col min="6" max="6" width="13.140625" customWidth="1"/>
    <col min="10" max="10" width="23" customWidth="1"/>
    <col min="11" max="11" width="16.85546875" customWidth="1"/>
    <col min="12" max="12" width="12.5703125" customWidth="1"/>
    <col min="13" max="13" width="22.42578125" customWidth="1"/>
    <col min="14" max="14" width="19.28515625" customWidth="1"/>
  </cols>
  <sheetData>
    <row r="3" spans="1:14">
      <c r="A3" s="102"/>
      <c r="B3" s="102"/>
      <c r="C3" s="102"/>
      <c r="D3" s="102"/>
      <c r="E3" s="102"/>
    </row>
    <row r="4" spans="1:14" ht="47.25">
      <c r="J4" s="103" t="s">
        <v>262</v>
      </c>
      <c r="K4" s="103" t="s">
        <v>252</v>
      </c>
      <c r="L4" s="103" t="s">
        <v>253</v>
      </c>
      <c r="M4" s="103" t="s">
        <v>254</v>
      </c>
      <c r="N4" s="103" t="s">
        <v>255</v>
      </c>
    </row>
    <row r="5" spans="1:14">
      <c r="J5" s="104" t="s">
        <v>256</v>
      </c>
      <c r="K5" s="104">
        <v>3</v>
      </c>
      <c r="L5" s="104">
        <v>4</v>
      </c>
      <c r="M5" s="104">
        <v>2</v>
      </c>
      <c r="N5" s="104">
        <v>5</v>
      </c>
    </row>
    <row r="6" spans="1:14">
      <c r="J6" s="104" t="s">
        <v>257</v>
      </c>
      <c r="K6" s="104">
        <v>0.5</v>
      </c>
      <c r="L6" s="104">
        <v>1</v>
      </c>
      <c r="M6" s="104">
        <v>1</v>
      </c>
      <c r="N6" s="104">
        <v>2</v>
      </c>
    </row>
    <row r="7" spans="1:14">
      <c r="J7" s="104" t="s">
        <v>258</v>
      </c>
      <c r="K7" s="104">
        <v>4</v>
      </c>
      <c r="L7" s="104">
        <v>2</v>
      </c>
      <c r="M7" s="104">
        <v>6</v>
      </c>
      <c r="N7" s="104">
        <v>10</v>
      </c>
    </row>
    <row r="8" spans="1:14">
      <c r="J8" s="104" t="s">
        <v>259</v>
      </c>
      <c r="K8" s="104">
        <v>1</v>
      </c>
      <c r="L8" s="104">
        <v>1.5</v>
      </c>
      <c r="M8" s="104">
        <v>2</v>
      </c>
      <c r="N8" s="104">
        <v>7</v>
      </c>
    </row>
    <row r="9" spans="1:14">
      <c r="J9" s="104" t="s">
        <v>260</v>
      </c>
      <c r="K9" s="104">
        <v>0.5</v>
      </c>
      <c r="L9" s="104">
        <v>1.5</v>
      </c>
      <c r="M9" s="104">
        <v>0.5</v>
      </c>
      <c r="N9" s="104">
        <v>6</v>
      </c>
    </row>
    <row r="10" spans="1:14">
      <c r="J10" s="104" t="s">
        <v>261</v>
      </c>
      <c r="K10" s="105">
        <v>0.09</v>
      </c>
      <c r="L10" s="105">
        <v>0.12</v>
      </c>
      <c r="M10" s="105">
        <v>0.18</v>
      </c>
      <c r="N10" s="104"/>
    </row>
    <row r="11" spans="1:14">
      <c r="B11" s="86" t="s">
        <v>242</v>
      </c>
      <c r="C11" s="86" t="s">
        <v>243</v>
      </c>
      <c r="D11" s="86" t="s">
        <v>244</v>
      </c>
      <c r="E11" s="98"/>
      <c r="F11" s="98"/>
      <c r="G11" s="86"/>
      <c r="H11" s="86"/>
    </row>
    <row r="12" spans="1:14" ht="24" customHeight="1">
      <c r="A12" s="35" t="s">
        <v>192</v>
      </c>
      <c r="B12" s="107">
        <v>0.25</v>
      </c>
      <c r="C12" s="107">
        <v>4.4999999999999991</v>
      </c>
      <c r="D12" s="107">
        <v>0</v>
      </c>
      <c r="E12" s="109"/>
      <c r="F12" s="109"/>
      <c r="G12" s="4"/>
      <c r="H12" s="4"/>
      <c r="I12" s="4"/>
    </row>
    <row r="13" spans="1:14">
      <c r="B13" s="106">
        <v>0.09</v>
      </c>
      <c r="C13" s="106">
        <v>0.12</v>
      </c>
      <c r="D13" s="106">
        <v>0.18</v>
      </c>
      <c r="E13" s="110"/>
      <c r="F13" s="110"/>
    </row>
    <row r="15" spans="1:14">
      <c r="A15" s="4" t="s">
        <v>263</v>
      </c>
      <c r="B15" s="4"/>
      <c r="C15" s="4"/>
      <c r="D15" s="4"/>
      <c r="E15" s="4"/>
      <c r="F15" s="4"/>
      <c r="G15" s="4"/>
      <c r="H15" s="4"/>
      <c r="I15" s="4"/>
    </row>
    <row r="16" spans="1:14">
      <c r="A16" t="s">
        <v>264</v>
      </c>
      <c r="B16" s="94">
        <f>SUMPRODUCT(B12:D12,B13:D13)</f>
        <v>0.56249999999999989</v>
      </c>
    </row>
    <row r="18" spans="1:13">
      <c r="A18" s="95" t="s">
        <v>248</v>
      </c>
      <c r="B18" s="82"/>
      <c r="C18" s="82"/>
      <c r="D18" s="82"/>
      <c r="E18" s="53" t="s">
        <v>197</v>
      </c>
      <c r="F18" s="53" t="s">
        <v>199</v>
      </c>
      <c r="G18" s="53" t="s">
        <v>198</v>
      </c>
    </row>
    <row r="19" spans="1:13">
      <c r="A19" s="96" t="s">
        <v>256</v>
      </c>
      <c r="B19" s="22">
        <v>1</v>
      </c>
      <c r="C19" s="22">
        <v>1</v>
      </c>
      <c r="D19" s="22">
        <v>1</v>
      </c>
      <c r="E19" s="82">
        <f>SUMPRODUCT($B$12:$D$12,K19:M19)</f>
        <v>18.749999999999996</v>
      </c>
      <c r="F19" s="82" t="s">
        <v>206</v>
      </c>
      <c r="G19" s="82">
        <v>5</v>
      </c>
      <c r="K19" s="82">
        <v>3</v>
      </c>
      <c r="L19" s="82">
        <v>4</v>
      </c>
      <c r="M19" s="82">
        <v>2</v>
      </c>
    </row>
    <row r="20" spans="1:13">
      <c r="A20" s="96" t="s">
        <v>257</v>
      </c>
      <c r="B20" s="22">
        <v>1</v>
      </c>
      <c r="C20" s="22">
        <v>1</v>
      </c>
      <c r="D20" s="22">
        <v>1</v>
      </c>
      <c r="E20" s="82">
        <f t="shared" ref="E20:E23" si="0">SUMPRODUCT($B$12:$D$12,K20:M20)</f>
        <v>4.6249999999999991</v>
      </c>
      <c r="F20" s="82" t="s">
        <v>206</v>
      </c>
      <c r="G20" s="82">
        <v>2</v>
      </c>
      <c r="K20" s="82">
        <v>0.5</v>
      </c>
      <c r="L20" s="82">
        <v>1</v>
      </c>
      <c r="M20" s="82">
        <v>1</v>
      </c>
    </row>
    <row r="21" spans="1:13">
      <c r="A21" s="96" t="s">
        <v>258</v>
      </c>
      <c r="B21" s="22">
        <v>1</v>
      </c>
      <c r="C21" s="22">
        <v>1</v>
      </c>
      <c r="D21" s="22">
        <v>1</v>
      </c>
      <c r="E21" s="82">
        <f t="shared" si="0"/>
        <v>9.9999999999999982</v>
      </c>
      <c r="F21" s="82" t="s">
        <v>206</v>
      </c>
      <c r="G21" s="82">
        <v>10</v>
      </c>
      <c r="K21" s="82">
        <v>4</v>
      </c>
      <c r="L21" s="82">
        <v>2</v>
      </c>
      <c r="M21" s="82">
        <v>6</v>
      </c>
    </row>
    <row r="22" spans="1:13">
      <c r="A22" s="96" t="s">
        <v>259</v>
      </c>
      <c r="B22" s="22">
        <v>1</v>
      </c>
      <c r="C22" s="22">
        <v>1</v>
      </c>
      <c r="D22" s="22">
        <v>1</v>
      </c>
      <c r="E22" s="82">
        <f t="shared" si="0"/>
        <v>6.9999999999999982</v>
      </c>
      <c r="F22" s="82" t="s">
        <v>206</v>
      </c>
      <c r="G22" s="82">
        <v>7</v>
      </c>
      <c r="K22" s="108">
        <v>1</v>
      </c>
      <c r="L22" s="82">
        <v>1.5</v>
      </c>
      <c r="M22" s="82">
        <v>2</v>
      </c>
    </row>
    <row r="23" spans="1:13">
      <c r="A23" s="96" t="s">
        <v>260</v>
      </c>
      <c r="B23" s="22">
        <v>1</v>
      </c>
      <c r="C23" s="22">
        <v>1</v>
      </c>
      <c r="D23" s="22">
        <v>1</v>
      </c>
      <c r="E23" s="82">
        <f t="shared" si="0"/>
        <v>6.8749999999999982</v>
      </c>
      <c r="F23" s="82" t="s">
        <v>206</v>
      </c>
      <c r="G23" s="108">
        <v>6</v>
      </c>
      <c r="K23" s="82">
        <v>0.5</v>
      </c>
      <c r="L23" s="82">
        <v>1.5</v>
      </c>
      <c r="M23" s="82">
        <v>0.5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X28"/>
  <sheetViews>
    <sheetView topLeftCell="D6" zoomScaleNormal="100" workbookViewId="0">
      <selection activeCell="B18" sqref="B18"/>
    </sheetView>
  </sheetViews>
  <sheetFormatPr defaultRowHeight="15"/>
  <cols>
    <col min="1" max="1" width="16.28515625" customWidth="1"/>
    <col min="2" max="2" width="20.85546875" customWidth="1"/>
    <col min="3" max="3" width="23.42578125" customWidth="1"/>
    <col min="4" max="4" width="22.140625" customWidth="1"/>
    <col min="5" max="5" width="21.42578125" customWidth="1"/>
    <col min="10" max="10" width="10.42578125" customWidth="1"/>
    <col min="11" max="15" width="9.140625" hidden="1" customWidth="1"/>
  </cols>
  <sheetData>
    <row r="3" spans="1:22" ht="119.25" customHeight="1">
      <c r="A3" s="140" t="s">
        <v>265</v>
      </c>
      <c r="B3" s="140"/>
      <c r="C3" s="140"/>
      <c r="D3" s="140"/>
      <c r="E3" s="140"/>
      <c r="F3" s="140"/>
      <c r="G3" s="140"/>
      <c r="H3" s="140"/>
      <c r="I3" s="140"/>
      <c r="J3" s="140"/>
      <c r="K3" s="140"/>
      <c r="L3" s="140"/>
      <c r="M3" s="140"/>
      <c r="N3" s="140"/>
      <c r="O3" s="140"/>
    </row>
    <row r="5" spans="1:22" ht="30">
      <c r="A5" s="16" t="s">
        <v>266</v>
      </c>
      <c r="B5" s="16" t="s">
        <v>267</v>
      </c>
      <c r="C5" s="16" t="s">
        <v>268</v>
      </c>
      <c r="D5" s="16" t="s">
        <v>269</v>
      </c>
      <c r="E5" s="16" t="s">
        <v>270</v>
      </c>
    </row>
    <row r="6" spans="1:22">
      <c r="A6" s="17" t="s">
        <v>256</v>
      </c>
      <c r="B6" s="17">
        <v>5</v>
      </c>
      <c r="C6" s="17">
        <v>8</v>
      </c>
      <c r="D6" s="17">
        <v>6</v>
      </c>
      <c r="E6" s="17">
        <v>700</v>
      </c>
    </row>
    <row r="7" spans="1:22">
      <c r="A7" s="17" t="s">
        <v>257</v>
      </c>
      <c r="B7" s="17">
        <v>0</v>
      </c>
      <c r="C7" s="17">
        <v>4</v>
      </c>
      <c r="D7" s="17">
        <v>12</v>
      </c>
      <c r="E7" s="17">
        <v>500</v>
      </c>
    </row>
    <row r="8" spans="1:22">
      <c r="A8" s="17" t="s">
        <v>258</v>
      </c>
      <c r="B8" s="17">
        <v>4</v>
      </c>
      <c r="C8" s="17">
        <v>0</v>
      </c>
      <c r="D8" s="17">
        <v>7</v>
      </c>
      <c r="E8" s="17">
        <v>100</v>
      </c>
    </row>
    <row r="9" spans="1:22">
      <c r="A9" s="17" t="s">
        <v>259</v>
      </c>
      <c r="B9" s="17">
        <v>7</v>
      </c>
      <c r="C9" s="17">
        <v>2</v>
      </c>
      <c r="D9" s="17">
        <v>5</v>
      </c>
      <c r="E9" s="17">
        <v>800</v>
      </c>
    </row>
    <row r="10" spans="1:22">
      <c r="A10" s="17" t="s">
        <v>260</v>
      </c>
      <c r="B10" s="17">
        <v>12</v>
      </c>
      <c r="C10" s="17">
        <v>7</v>
      </c>
      <c r="D10" s="17">
        <v>0</v>
      </c>
      <c r="E10" s="17">
        <v>400</v>
      </c>
    </row>
    <row r="13" spans="1:22" s="83" customFormat="1" ht="15" customHeight="1">
      <c r="A13" s="111" t="s">
        <v>192</v>
      </c>
      <c r="B13" s="83" t="s">
        <v>271</v>
      </c>
      <c r="C13" s="83" t="s">
        <v>272</v>
      </c>
      <c r="D13" s="83" t="s">
        <v>273</v>
      </c>
      <c r="E13" s="83" t="s">
        <v>274</v>
      </c>
      <c r="F13" s="83" t="s">
        <v>275</v>
      </c>
      <c r="G13" s="83" t="s">
        <v>276</v>
      </c>
      <c r="H13" s="83" t="s">
        <v>277</v>
      </c>
      <c r="I13" s="83" t="s">
        <v>278</v>
      </c>
      <c r="J13" s="83" t="s">
        <v>279</v>
      </c>
      <c r="P13" s="83" t="s">
        <v>280</v>
      </c>
      <c r="Q13" s="83" t="s">
        <v>281</v>
      </c>
      <c r="R13" s="83" t="s">
        <v>282</v>
      </c>
      <c r="S13" s="83" t="s">
        <v>283</v>
      </c>
      <c r="T13" s="83" t="s">
        <v>284</v>
      </c>
      <c r="U13" s="83" t="s">
        <v>285</v>
      </c>
    </row>
    <row r="14" spans="1:22">
      <c r="B14" s="14">
        <v>400</v>
      </c>
      <c r="C14" s="14">
        <v>0</v>
      </c>
      <c r="D14" s="14">
        <v>300</v>
      </c>
      <c r="E14" s="14">
        <v>500</v>
      </c>
      <c r="F14" s="14">
        <v>0</v>
      </c>
      <c r="G14" s="14">
        <v>0</v>
      </c>
      <c r="H14" s="14">
        <v>0</v>
      </c>
      <c r="I14" s="14">
        <v>100</v>
      </c>
      <c r="J14" s="14">
        <v>0</v>
      </c>
      <c r="K14" s="14">
        <v>0</v>
      </c>
      <c r="L14" s="14">
        <v>0</v>
      </c>
      <c r="M14" s="14">
        <v>0</v>
      </c>
      <c r="N14" s="14">
        <v>0</v>
      </c>
      <c r="O14" s="14">
        <v>0</v>
      </c>
      <c r="P14" s="14">
        <v>0</v>
      </c>
      <c r="Q14" s="14">
        <v>800</v>
      </c>
      <c r="R14" s="14">
        <v>0</v>
      </c>
      <c r="S14" s="14">
        <v>0</v>
      </c>
      <c r="T14" s="14">
        <v>0</v>
      </c>
      <c r="U14" s="14">
        <v>400</v>
      </c>
    </row>
    <row r="15" spans="1:22">
      <c r="B15">
        <v>5</v>
      </c>
      <c r="C15">
        <v>8</v>
      </c>
      <c r="D15">
        <v>6</v>
      </c>
      <c r="E15">
        <v>0</v>
      </c>
      <c r="F15">
        <v>4</v>
      </c>
      <c r="G15">
        <v>12</v>
      </c>
      <c r="H15">
        <v>4</v>
      </c>
      <c r="I15">
        <v>0</v>
      </c>
      <c r="J15">
        <v>7</v>
      </c>
      <c r="P15">
        <v>7</v>
      </c>
      <c r="Q15">
        <v>2</v>
      </c>
      <c r="R15">
        <v>5</v>
      </c>
      <c r="S15">
        <v>12</v>
      </c>
      <c r="T15">
        <v>7</v>
      </c>
      <c r="U15">
        <v>0</v>
      </c>
      <c r="V15" t="s">
        <v>287</v>
      </c>
    </row>
    <row r="17" spans="1:24">
      <c r="A17" t="s">
        <v>286</v>
      </c>
    </row>
    <row r="18" spans="1:24">
      <c r="A18" t="s">
        <v>288</v>
      </c>
      <c r="B18" s="92">
        <f>SUMPRODUCT(B14:U14,B15:U15)</f>
        <v>5400</v>
      </c>
    </row>
    <row r="20" spans="1:24">
      <c r="A20" s="37" t="s">
        <v>289</v>
      </c>
      <c r="B20" s="22"/>
      <c r="C20" s="22"/>
      <c r="D20" s="22"/>
      <c r="E20" s="22"/>
      <c r="F20" s="22"/>
      <c r="G20" s="22"/>
      <c r="H20" s="22"/>
      <c r="I20" s="22"/>
      <c r="J20" s="22"/>
      <c r="K20" s="22"/>
      <c r="L20" s="22"/>
      <c r="M20" s="22"/>
      <c r="N20" s="22"/>
      <c r="O20" s="22"/>
      <c r="P20" s="22"/>
      <c r="Q20" s="22"/>
      <c r="R20" s="22"/>
      <c r="S20" s="22"/>
      <c r="T20" s="22"/>
      <c r="U20" s="22"/>
      <c r="V20" s="37" t="s">
        <v>197</v>
      </c>
      <c r="W20" s="37" t="s">
        <v>199</v>
      </c>
      <c r="X20" s="37" t="s">
        <v>198</v>
      </c>
    </row>
    <row r="21" spans="1:24">
      <c r="A21" s="22" t="s">
        <v>290</v>
      </c>
      <c r="B21" s="22">
        <v>1</v>
      </c>
      <c r="C21" s="22"/>
      <c r="D21" s="22"/>
      <c r="E21" s="22">
        <v>1</v>
      </c>
      <c r="F21" s="22"/>
      <c r="G21" s="22"/>
      <c r="H21" s="22">
        <v>1</v>
      </c>
      <c r="I21" s="22"/>
      <c r="J21" s="22"/>
      <c r="K21" s="22"/>
      <c r="L21" s="22"/>
      <c r="M21" s="22"/>
      <c r="N21" s="22"/>
      <c r="O21" s="22"/>
      <c r="P21" s="22">
        <v>1</v>
      </c>
      <c r="Q21" s="22"/>
      <c r="R21" s="22"/>
      <c r="S21" s="22">
        <v>1</v>
      </c>
      <c r="T21" s="22"/>
      <c r="U21" s="22"/>
      <c r="V21" s="22">
        <f>SUMPRODUCT($B$14:$U$14,B21:U21)</f>
        <v>900</v>
      </c>
      <c r="W21" s="22" t="s">
        <v>201</v>
      </c>
      <c r="X21" s="22">
        <v>900</v>
      </c>
    </row>
    <row r="22" spans="1:24">
      <c r="A22" s="22" t="s">
        <v>291</v>
      </c>
      <c r="B22" s="22"/>
      <c r="C22" s="22">
        <v>1</v>
      </c>
      <c r="D22" s="22"/>
      <c r="E22" s="22"/>
      <c r="F22" s="22">
        <v>1</v>
      </c>
      <c r="G22" s="22"/>
      <c r="H22" s="22"/>
      <c r="I22" s="22">
        <v>1</v>
      </c>
      <c r="J22" s="22"/>
      <c r="K22" s="22"/>
      <c r="L22" s="22"/>
      <c r="M22" s="22"/>
      <c r="N22" s="22"/>
      <c r="O22" s="22"/>
      <c r="P22" s="22"/>
      <c r="Q22" s="22">
        <v>1</v>
      </c>
      <c r="R22" s="22"/>
      <c r="S22" s="22"/>
      <c r="T22" s="22">
        <v>1</v>
      </c>
      <c r="U22" s="22"/>
      <c r="V22" s="22">
        <f t="shared" ref="V22:V28" si="0">SUMPRODUCT($B$14:$U$14,B22:U22)</f>
        <v>900</v>
      </c>
      <c r="W22" s="22" t="s">
        <v>201</v>
      </c>
      <c r="X22" s="22">
        <v>900</v>
      </c>
    </row>
    <row r="23" spans="1:24">
      <c r="A23" s="22" t="s">
        <v>292</v>
      </c>
      <c r="B23" s="22"/>
      <c r="C23" s="22"/>
      <c r="D23" s="22">
        <v>1</v>
      </c>
      <c r="E23" s="22"/>
      <c r="F23" s="22"/>
      <c r="G23" s="22">
        <v>1</v>
      </c>
      <c r="H23" s="22"/>
      <c r="I23" s="22"/>
      <c r="J23" s="22">
        <v>1</v>
      </c>
      <c r="K23" s="22"/>
      <c r="L23" s="22"/>
      <c r="M23" s="22"/>
      <c r="N23" s="22"/>
      <c r="O23" s="22"/>
      <c r="P23" s="22"/>
      <c r="Q23" s="22"/>
      <c r="R23" s="22">
        <v>1</v>
      </c>
      <c r="S23" s="22"/>
      <c r="T23" s="22"/>
      <c r="U23" s="22">
        <v>1</v>
      </c>
      <c r="V23" s="22">
        <f t="shared" si="0"/>
        <v>700</v>
      </c>
      <c r="W23" s="22" t="s">
        <v>201</v>
      </c>
      <c r="X23" s="22">
        <v>900</v>
      </c>
    </row>
    <row r="24" spans="1:24">
      <c r="A24" s="62" t="s">
        <v>293</v>
      </c>
      <c r="B24" s="22">
        <v>1</v>
      </c>
      <c r="C24" s="22">
        <v>1</v>
      </c>
      <c r="D24" s="22">
        <v>1</v>
      </c>
      <c r="E24" s="22"/>
      <c r="F24" s="22"/>
      <c r="G24" s="22"/>
      <c r="H24" s="22"/>
      <c r="I24" s="22"/>
      <c r="J24" s="22"/>
      <c r="K24" s="22"/>
      <c r="L24" s="22"/>
      <c r="M24" s="22"/>
      <c r="N24" s="22"/>
      <c r="O24" s="22"/>
      <c r="P24" s="22"/>
      <c r="Q24" s="22"/>
      <c r="R24" s="22"/>
      <c r="S24" s="22"/>
      <c r="T24" s="22"/>
      <c r="U24" s="22"/>
      <c r="V24" s="22">
        <f t="shared" si="0"/>
        <v>700</v>
      </c>
      <c r="W24" s="22" t="s">
        <v>298</v>
      </c>
      <c r="X24" s="22">
        <v>700</v>
      </c>
    </row>
    <row r="25" spans="1:24">
      <c r="A25" s="62" t="s">
        <v>294</v>
      </c>
      <c r="B25" s="22"/>
      <c r="C25" s="22"/>
      <c r="D25" s="22"/>
      <c r="E25" s="22">
        <v>1</v>
      </c>
      <c r="F25" s="22">
        <v>1</v>
      </c>
      <c r="G25" s="22">
        <v>1</v>
      </c>
      <c r="H25" s="22"/>
      <c r="I25" s="22"/>
      <c r="J25" s="22"/>
      <c r="K25" s="22"/>
      <c r="L25" s="22"/>
      <c r="M25" s="22"/>
      <c r="N25" s="22"/>
      <c r="O25" s="22"/>
      <c r="P25" s="22"/>
      <c r="Q25" s="22"/>
      <c r="R25" s="22"/>
      <c r="S25" s="22"/>
      <c r="T25" s="22"/>
      <c r="U25" s="22"/>
      <c r="V25" s="22">
        <f t="shared" si="0"/>
        <v>500</v>
      </c>
      <c r="W25" s="22" t="s">
        <v>298</v>
      </c>
      <c r="X25" s="22">
        <v>500</v>
      </c>
    </row>
    <row r="26" spans="1:24">
      <c r="A26" s="62" t="s">
        <v>295</v>
      </c>
      <c r="B26" s="22"/>
      <c r="C26" s="22"/>
      <c r="D26" s="22"/>
      <c r="E26" s="22"/>
      <c r="F26" s="22"/>
      <c r="G26" s="22"/>
      <c r="H26" s="22">
        <v>1</v>
      </c>
      <c r="I26" s="22">
        <v>1</v>
      </c>
      <c r="J26" s="22">
        <v>1</v>
      </c>
      <c r="K26" s="22"/>
      <c r="L26" s="22"/>
      <c r="M26" s="22"/>
      <c r="N26" s="22"/>
      <c r="O26" s="22"/>
      <c r="P26" s="22"/>
      <c r="Q26" s="22"/>
      <c r="R26" s="22"/>
      <c r="S26" s="22"/>
      <c r="T26" s="22"/>
      <c r="U26" s="22"/>
      <c r="V26" s="22">
        <f t="shared" si="0"/>
        <v>100</v>
      </c>
      <c r="W26" s="22" t="s">
        <v>298</v>
      </c>
      <c r="X26" s="22">
        <v>100</v>
      </c>
    </row>
    <row r="27" spans="1:24">
      <c r="A27" s="22" t="s">
        <v>296</v>
      </c>
      <c r="B27" s="22"/>
      <c r="C27" s="22"/>
      <c r="D27" s="22"/>
      <c r="E27" s="22"/>
      <c r="F27" s="22"/>
      <c r="G27" s="22"/>
      <c r="H27" s="22"/>
      <c r="I27" s="22"/>
      <c r="J27" s="22"/>
      <c r="K27" s="22"/>
      <c r="L27" s="22"/>
      <c r="M27" s="22"/>
      <c r="N27" s="22"/>
      <c r="O27" s="22"/>
      <c r="P27" s="22">
        <v>1</v>
      </c>
      <c r="Q27" s="22">
        <v>1</v>
      </c>
      <c r="R27" s="22">
        <v>1</v>
      </c>
      <c r="S27" s="22"/>
      <c r="T27" s="22"/>
      <c r="U27" s="22"/>
      <c r="V27" s="22">
        <f t="shared" si="0"/>
        <v>800</v>
      </c>
      <c r="W27" s="22" t="s">
        <v>298</v>
      </c>
      <c r="X27" s="22">
        <v>800</v>
      </c>
    </row>
    <row r="28" spans="1:24">
      <c r="A28" s="22" t="s">
        <v>297</v>
      </c>
      <c r="B28" s="22"/>
      <c r="C28" s="22"/>
      <c r="D28" s="22"/>
      <c r="E28" s="22"/>
      <c r="F28" s="22"/>
      <c r="G28" s="22"/>
      <c r="H28" s="22"/>
      <c r="I28" s="22"/>
      <c r="J28" s="22"/>
      <c r="K28" s="22"/>
      <c r="L28" s="22"/>
      <c r="M28" s="22"/>
      <c r="N28" s="22"/>
      <c r="O28" s="22"/>
      <c r="P28" s="22"/>
      <c r="Q28" s="22"/>
      <c r="R28" s="22"/>
      <c r="S28" s="22">
        <v>1</v>
      </c>
      <c r="T28" s="22">
        <v>1</v>
      </c>
      <c r="U28" s="22">
        <v>1</v>
      </c>
      <c r="V28" s="22">
        <f t="shared" si="0"/>
        <v>400</v>
      </c>
      <c r="W28" s="22" t="s">
        <v>298</v>
      </c>
      <c r="X28" s="22">
        <v>400</v>
      </c>
    </row>
  </sheetData>
  <mergeCells count="1">
    <mergeCell ref="A3:O3"/>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25"/>
  <sheetViews>
    <sheetView topLeftCell="A3" zoomScaleNormal="100" workbookViewId="0">
      <selection activeCell="B16" sqref="B16"/>
    </sheetView>
  </sheetViews>
  <sheetFormatPr defaultRowHeight="15"/>
  <sheetData>
    <row r="2" spans="1:15" ht="202.5" customHeight="1">
      <c r="A2" s="140" t="s">
        <v>299</v>
      </c>
      <c r="B2" s="140"/>
      <c r="C2" s="140"/>
      <c r="D2" s="140"/>
      <c r="E2" s="140"/>
      <c r="F2" s="140"/>
      <c r="G2" s="140"/>
      <c r="H2" s="140"/>
      <c r="I2" s="140"/>
      <c r="J2" s="140"/>
      <c r="K2" s="140"/>
      <c r="L2" s="140"/>
      <c r="M2" s="140"/>
      <c r="N2" s="140"/>
      <c r="O2" s="140"/>
    </row>
    <row r="4" spans="1:15">
      <c r="B4" s="136" t="s">
        <v>306</v>
      </c>
      <c r="C4" s="136"/>
      <c r="D4" s="136" t="s">
        <v>307</v>
      </c>
      <c r="E4" s="136"/>
      <c r="F4" s="136" t="s">
        <v>308</v>
      </c>
      <c r="G4" s="136"/>
      <c r="H4" s="136" t="s">
        <v>309</v>
      </c>
      <c r="I4" s="136"/>
      <c r="J4" s="136" t="s">
        <v>310</v>
      </c>
      <c r="K4" s="136"/>
    </row>
    <row r="5" spans="1:15">
      <c r="A5" t="s">
        <v>300</v>
      </c>
      <c r="B5" t="s">
        <v>301</v>
      </c>
      <c r="C5" t="s">
        <v>302</v>
      </c>
      <c r="D5" t="s">
        <v>301</v>
      </c>
      <c r="E5" t="s">
        <v>302</v>
      </c>
      <c r="F5" t="s">
        <v>301</v>
      </c>
      <c r="G5" t="s">
        <v>302</v>
      </c>
      <c r="H5" t="s">
        <v>301</v>
      </c>
      <c r="I5" t="s">
        <v>302</v>
      </c>
      <c r="J5" t="s">
        <v>301</v>
      </c>
      <c r="K5" t="s">
        <v>302</v>
      </c>
    </row>
    <row r="6" spans="1:15">
      <c r="B6" s="14">
        <v>10</v>
      </c>
      <c r="C6" s="14">
        <v>0</v>
      </c>
      <c r="D6" s="14">
        <v>10</v>
      </c>
      <c r="E6" s="14">
        <v>0</v>
      </c>
      <c r="F6" s="14">
        <v>0</v>
      </c>
      <c r="G6" s="14">
        <v>20</v>
      </c>
      <c r="H6" s="14">
        <v>15</v>
      </c>
      <c r="I6" s="14">
        <v>0</v>
      </c>
      <c r="J6" s="14">
        <v>10</v>
      </c>
      <c r="K6" s="14">
        <v>0</v>
      </c>
    </row>
    <row r="7" spans="1:15">
      <c r="B7">
        <v>4000</v>
      </c>
      <c r="C7">
        <v>2000</v>
      </c>
      <c r="D7">
        <v>4000</v>
      </c>
      <c r="E7">
        <v>2000</v>
      </c>
    </row>
    <row r="9" spans="1:15">
      <c r="A9" s="136" t="s">
        <v>286</v>
      </c>
      <c r="B9" s="136"/>
    </row>
    <row r="10" spans="1:15">
      <c r="A10" t="s">
        <v>303</v>
      </c>
      <c r="B10">
        <v>50</v>
      </c>
    </row>
    <row r="11" spans="1:15">
      <c r="A11" t="s">
        <v>305</v>
      </c>
      <c r="B11">
        <v>10000</v>
      </c>
    </row>
    <row r="12" spans="1:15">
      <c r="A12" t="s">
        <v>312</v>
      </c>
      <c r="B12">
        <f>2000*(SUM(C6,E6,G6,I6,K6))</f>
        <v>40000</v>
      </c>
    </row>
    <row r="13" spans="1:15">
      <c r="A13" t="s">
        <v>311</v>
      </c>
      <c r="B13">
        <f>4000*(SUM(B6,D6,F6,H6,J6))</f>
        <v>180000</v>
      </c>
    </row>
    <row r="14" spans="1:15">
      <c r="A14" t="s">
        <v>304</v>
      </c>
      <c r="B14">
        <f>SUM(L19:L23)*B11</f>
        <v>3200000</v>
      </c>
    </row>
    <row r="15" spans="1:15" s="4" customFormat="1">
      <c r="A15" s="4" t="s">
        <v>264</v>
      </c>
      <c r="B15" s="4">
        <f>SUM(B12:B14)</f>
        <v>3420000</v>
      </c>
    </row>
    <row r="18" spans="1:14">
      <c r="A18" s="22" t="s">
        <v>289</v>
      </c>
      <c r="B18" s="22"/>
      <c r="C18" s="22"/>
      <c r="D18" s="22"/>
      <c r="E18" s="22"/>
      <c r="F18" s="22"/>
      <c r="G18" s="22"/>
      <c r="H18" s="22"/>
      <c r="I18" s="22"/>
      <c r="J18" s="22"/>
      <c r="K18" s="22"/>
      <c r="L18" s="22" t="s">
        <v>197</v>
      </c>
      <c r="M18" s="22" t="s">
        <v>199</v>
      </c>
      <c r="N18" s="22" t="s">
        <v>198</v>
      </c>
    </row>
    <row r="19" spans="1:14">
      <c r="A19" s="22" t="s">
        <v>306</v>
      </c>
      <c r="B19" s="22">
        <v>1</v>
      </c>
      <c r="C19" s="22"/>
      <c r="D19" s="22"/>
      <c r="E19" s="22"/>
      <c r="F19" s="22"/>
      <c r="G19" s="22"/>
      <c r="H19" s="22"/>
      <c r="I19" s="22"/>
      <c r="J19" s="22"/>
      <c r="K19" s="22"/>
      <c r="L19" s="22">
        <f>B10+SUMPRODUCT($B$6:$K$6,B19:K19)-C6</f>
        <v>60</v>
      </c>
      <c r="M19" s="22" t="s">
        <v>298</v>
      </c>
      <c r="N19" s="22">
        <v>60</v>
      </c>
    </row>
    <row r="20" spans="1:14">
      <c r="A20" s="22" t="s">
        <v>307</v>
      </c>
      <c r="B20" s="22"/>
      <c r="C20" s="22"/>
      <c r="D20" s="22">
        <v>1</v>
      </c>
      <c r="E20" s="22"/>
      <c r="F20" s="22"/>
      <c r="G20" s="22"/>
      <c r="H20" s="22"/>
      <c r="I20" s="22"/>
      <c r="J20" s="22"/>
      <c r="K20" s="22"/>
      <c r="L20" s="22">
        <f>(B10+B6-C6)+D6-E6</f>
        <v>70</v>
      </c>
      <c r="M20" s="22" t="s">
        <v>298</v>
      </c>
      <c r="N20" s="22">
        <v>70</v>
      </c>
    </row>
    <row r="21" spans="1:14">
      <c r="A21" s="22" t="s">
        <v>308</v>
      </c>
      <c r="B21" s="22"/>
      <c r="C21" s="22"/>
      <c r="D21" s="22"/>
      <c r="E21" s="22"/>
      <c r="F21" s="22">
        <v>1</v>
      </c>
      <c r="G21" s="22"/>
      <c r="H21" s="22"/>
      <c r="I21" s="22"/>
      <c r="J21" s="22"/>
      <c r="K21" s="22"/>
      <c r="L21" s="22">
        <f>((B10+B6-C6)+(D6-E6))+F6-G6</f>
        <v>50</v>
      </c>
      <c r="M21" s="22" t="s">
        <v>298</v>
      </c>
      <c r="N21" s="22">
        <v>50</v>
      </c>
    </row>
    <row r="22" spans="1:14">
      <c r="A22" s="22" t="s">
        <v>309</v>
      </c>
      <c r="B22" s="22"/>
      <c r="C22" s="22"/>
      <c r="D22" s="22"/>
      <c r="E22" s="22"/>
      <c r="F22" s="22"/>
      <c r="G22" s="22"/>
      <c r="H22" s="22">
        <v>1</v>
      </c>
      <c r="I22" s="22"/>
      <c r="J22" s="22"/>
      <c r="K22" s="22"/>
      <c r="L22" s="22">
        <f>(((B10+B6-C6)+(D6-E6))+F6-G6)+H6-I6</f>
        <v>65</v>
      </c>
      <c r="M22" s="22" t="s">
        <v>298</v>
      </c>
      <c r="N22" s="22">
        <v>65</v>
      </c>
    </row>
    <row r="23" spans="1:14">
      <c r="A23" s="22" t="s">
        <v>310</v>
      </c>
      <c r="B23" s="22"/>
      <c r="C23" s="22"/>
      <c r="D23" s="22"/>
      <c r="E23" s="22"/>
      <c r="F23" s="22"/>
      <c r="G23" s="22"/>
      <c r="H23" s="22"/>
      <c r="I23" s="22"/>
      <c r="J23" s="22">
        <v>1</v>
      </c>
      <c r="K23" s="22"/>
      <c r="L23" s="22">
        <f>((((B10+B6-C6)+(D6-E6))+F6-G6)+H6-I6)+J6-K6</f>
        <v>75</v>
      </c>
      <c r="M23" s="22" t="s">
        <v>298</v>
      </c>
      <c r="N23" s="22">
        <v>75</v>
      </c>
    </row>
    <row r="24" spans="1:14">
      <c r="A24" s="22"/>
      <c r="B24" s="22"/>
      <c r="C24" s="22"/>
      <c r="D24" s="22"/>
      <c r="E24" s="22"/>
      <c r="F24" s="22"/>
      <c r="G24" s="22"/>
      <c r="H24" s="22"/>
      <c r="I24" s="22"/>
      <c r="J24" s="22"/>
      <c r="K24" s="22"/>
      <c r="L24" s="22"/>
      <c r="M24" s="22"/>
      <c r="N24" s="22"/>
    </row>
    <row r="25" spans="1:14">
      <c r="A25" s="22"/>
      <c r="B25" s="22"/>
      <c r="C25" s="22"/>
      <c r="D25" s="22"/>
      <c r="E25" s="22"/>
      <c r="F25" s="22"/>
      <c r="G25" s="22"/>
      <c r="H25" s="22"/>
      <c r="I25" s="22"/>
      <c r="J25" s="22"/>
      <c r="K25" s="22"/>
      <c r="L25" s="22"/>
      <c r="M25" s="22"/>
      <c r="N25" s="22"/>
    </row>
  </sheetData>
  <mergeCells count="7">
    <mergeCell ref="A2:O2"/>
    <mergeCell ref="A9:B9"/>
    <mergeCell ref="B4:C4"/>
    <mergeCell ref="D4:E4"/>
    <mergeCell ref="F4:G4"/>
    <mergeCell ref="H4:I4"/>
    <mergeCell ref="J4:K4"/>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9"/>
  <sheetViews>
    <sheetView topLeftCell="A2" zoomScaleNormal="100" workbookViewId="0">
      <selection activeCell="H3" sqref="H3"/>
    </sheetView>
  </sheetViews>
  <sheetFormatPr defaultRowHeight="15"/>
  <sheetData>
    <row r="2" spans="1:13" ht="130.5" customHeight="1">
      <c r="A2" s="140" t="s">
        <v>313</v>
      </c>
      <c r="B2" s="140"/>
      <c r="C2" s="140"/>
      <c r="D2" s="140"/>
      <c r="E2" s="140"/>
      <c r="F2" s="140"/>
      <c r="G2" s="140"/>
      <c r="H2" s="140"/>
      <c r="I2" s="140"/>
      <c r="J2" s="140"/>
      <c r="K2" s="140"/>
      <c r="L2" s="140"/>
      <c r="M2" s="140"/>
    </row>
    <row r="3" spans="1:13">
      <c r="B3" t="s">
        <v>314</v>
      </c>
      <c r="C3" t="s">
        <v>315</v>
      </c>
    </row>
    <row r="4" spans="1:13">
      <c r="A4" t="s">
        <v>300</v>
      </c>
      <c r="B4" s="14">
        <v>4</v>
      </c>
      <c r="C4" s="14">
        <v>12</v>
      </c>
    </row>
    <row r="5" spans="1:13">
      <c r="B5" s="2">
        <v>20</v>
      </c>
      <c r="C5" s="2">
        <v>10</v>
      </c>
    </row>
    <row r="7" spans="1:13">
      <c r="A7" s="136" t="s">
        <v>195</v>
      </c>
      <c r="B7" s="136"/>
    </row>
    <row r="8" spans="1:13">
      <c r="A8" t="s">
        <v>316</v>
      </c>
      <c r="B8">
        <v>1.5</v>
      </c>
      <c r="C8">
        <v>3</v>
      </c>
    </row>
    <row r="9" spans="1:13">
      <c r="A9" t="s">
        <v>317</v>
      </c>
      <c r="B9">
        <v>3</v>
      </c>
      <c r="C9">
        <v>1</v>
      </c>
    </row>
    <row r="10" spans="1:13">
      <c r="A10" t="s">
        <v>73</v>
      </c>
      <c r="B10" s="92">
        <f>SUMPRODUCT(B4:C4,B5:C5)</f>
        <v>200</v>
      </c>
    </row>
    <row r="13" spans="1:13">
      <c r="A13" s="22" t="s">
        <v>289</v>
      </c>
      <c r="B13" s="22"/>
      <c r="C13" s="22"/>
      <c r="D13" s="22" t="s">
        <v>197</v>
      </c>
      <c r="E13" s="22" t="s">
        <v>199</v>
      </c>
      <c r="F13" s="22" t="s">
        <v>198</v>
      </c>
    </row>
    <row r="14" spans="1:13">
      <c r="A14" s="22" t="s">
        <v>316</v>
      </c>
      <c r="B14" s="22"/>
      <c r="C14" s="22"/>
      <c r="D14" s="22">
        <f>SUMPRODUCT(B4:C4,B8:C8)</f>
        <v>42</v>
      </c>
      <c r="E14" s="22" t="s">
        <v>201</v>
      </c>
      <c r="F14" s="22">
        <v>42</v>
      </c>
    </row>
    <row r="15" spans="1:13">
      <c r="A15" s="22" t="s">
        <v>317</v>
      </c>
      <c r="B15" s="22"/>
      <c r="C15" s="22"/>
      <c r="D15" s="22">
        <f>SUMPRODUCT(B4:C4,B9:C9)</f>
        <v>24</v>
      </c>
      <c r="E15" s="22" t="s">
        <v>201</v>
      </c>
      <c r="F15" s="22">
        <v>24</v>
      </c>
    </row>
    <row r="16" spans="1:13">
      <c r="A16" s="89"/>
      <c r="B16" s="89"/>
      <c r="C16" s="89"/>
      <c r="D16" s="89"/>
      <c r="E16" s="89"/>
      <c r="F16" s="89"/>
      <c r="G16" s="89"/>
    </row>
    <row r="17" spans="1:7">
      <c r="A17" s="89"/>
      <c r="B17" s="89"/>
      <c r="C17" s="89"/>
      <c r="D17" s="89"/>
      <c r="E17" s="89"/>
      <c r="F17" s="89"/>
      <c r="G17" s="89"/>
    </row>
    <row r="18" spans="1:7">
      <c r="A18" s="89"/>
      <c r="B18" s="89"/>
      <c r="C18" s="89"/>
      <c r="D18" s="89"/>
      <c r="E18" s="89"/>
      <c r="F18" s="89"/>
      <c r="G18" s="89"/>
    </row>
    <row r="19" spans="1:7">
      <c r="A19" s="89"/>
      <c r="B19" s="89"/>
      <c r="C19" s="89"/>
      <c r="D19" s="89"/>
      <c r="E19" s="89"/>
      <c r="F19" s="89"/>
      <c r="G19" s="89"/>
    </row>
  </sheetData>
  <mergeCells count="2">
    <mergeCell ref="A2:M2"/>
    <mergeCell ref="A7:B7"/>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20"/>
  <sheetViews>
    <sheetView topLeftCell="B1" workbookViewId="0">
      <selection activeCell="Q9" sqref="Q9"/>
    </sheetView>
  </sheetViews>
  <sheetFormatPr defaultRowHeight="15"/>
  <cols>
    <col min="2" max="2" width="12.42578125" customWidth="1"/>
    <col min="8" max="8" width="12.5703125" customWidth="1"/>
    <col min="9" max="9" width="10.85546875" customWidth="1"/>
  </cols>
  <sheetData>
    <row r="2" spans="1:16">
      <c r="A2" s="22" t="s">
        <v>318</v>
      </c>
      <c r="B2" s="22"/>
      <c r="C2" s="142" t="s">
        <v>328</v>
      </c>
      <c r="D2" s="142"/>
      <c r="E2" s="142"/>
      <c r="F2" s="22"/>
      <c r="H2" s="37" t="s">
        <v>331</v>
      </c>
      <c r="I2" s="37" t="s">
        <v>332</v>
      </c>
      <c r="J2" s="37" t="s">
        <v>333</v>
      </c>
      <c r="K2" s="37" t="s">
        <v>334</v>
      </c>
    </row>
    <row r="3" spans="1:16">
      <c r="A3" s="141" t="s">
        <v>327</v>
      </c>
      <c r="B3" s="22"/>
      <c r="C3" s="22" t="s">
        <v>322</v>
      </c>
      <c r="D3" s="22" t="s">
        <v>323</v>
      </c>
      <c r="E3" s="22" t="s">
        <v>324</v>
      </c>
      <c r="F3" s="37" t="s">
        <v>325</v>
      </c>
      <c r="H3" s="22" t="s">
        <v>319</v>
      </c>
      <c r="I3" s="22" t="s">
        <v>322</v>
      </c>
      <c r="J3" s="22">
        <v>5</v>
      </c>
      <c r="K3" s="112">
        <v>2</v>
      </c>
      <c r="M3" t="s">
        <v>339</v>
      </c>
      <c r="N3" t="s">
        <v>340</v>
      </c>
      <c r="O3" t="s">
        <v>337</v>
      </c>
      <c r="P3" t="s">
        <v>341</v>
      </c>
    </row>
    <row r="4" spans="1:16">
      <c r="A4" s="141"/>
      <c r="B4" s="22" t="s">
        <v>319</v>
      </c>
      <c r="C4" s="22">
        <v>5</v>
      </c>
      <c r="D4" s="22">
        <v>4</v>
      </c>
      <c r="E4" s="22">
        <v>3</v>
      </c>
      <c r="F4" s="22">
        <v>100</v>
      </c>
      <c r="H4" s="22" t="s">
        <v>319</v>
      </c>
      <c r="I4" s="22" t="s">
        <v>323</v>
      </c>
      <c r="J4" s="22">
        <v>4</v>
      </c>
      <c r="K4" s="112">
        <v>2</v>
      </c>
      <c r="M4" s="22" t="s">
        <v>322</v>
      </c>
      <c r="N4">
        <f>SUMIF($I$3:$I$11,I3,$K$3:$K$11)</f>
        <v>2</v>
      </c>
      <c r="O4" t="s">
        <v>298</v>
      </c>
      <c r="P4">
        <v>300</v>
      </c>
    </row>
    <row r="5" spans="1:16">
      <c r="A5" s="141"/>
      <c r="B5" s="22" t="s">
        <v>320</v>
      </c>
      <c r="C5" s="22">
        <v>8</v>
      </c>
      <c r="D5" s="22">
        <v>4</v>
      </c>
      <c r="E5" s="22">
        <v>3</v>
      </c>
      <c r="F5" s="22">
        <v>300</v>
      </c>
      <c r="H5" s="22" t="s">
        <v>319</v>
      </c>
      <c r="I5" s="22" t="s">
        <v>324</v>
      </c>
      <c r="J5" s="22">
        <v>3</v>
      </c>
      <c r="K5" s="112">
        <v>2</v>
      </c>
      <c r="M5" s="22" t="s">
        <v>323</v>
      </c>
      <c r="N5">
        <f t="shared" ref="N5:N6" si="0">SUMIF($I$3:$I$11,I4,$K$3:$K$11)</f>
        <v>6</v>
      </c>
      <c r="O5" t="s">
        <v>298</v>
      </c>
      <c r="P5">
        <v>200</v>
      </c>
    </row>
    <row r="6" spans="1:16">
      <c r="A6" s="141"/>
      <c r="B6" s="22" t="s">
        <v>321</v>
      </c>
      <c r="C6" s="22">
        <v>9</v>
      </c>
      <c r="D6" s="22">
        <v>7</v>
      </c>
      <c r="E6" s="22">
        <v>5</v>
      </c>
      <c r="F6" s="22">
        <v>300</v>
      </c>
      <c r="H6" s="62" t="s">
        <v>320</v>
      </c>
      <c r="I6" s="22" t="s">
        <v>322</v>
      </c>
      <c r="J6" s="22">
        <v>8</v>
      </c>
      <c r="K6" s="112"/>
      <c r="M6" s="22" t="s">
        <v>324</v>
      </c>
      <c r="N6">
        <f t="shared" si="0"/>
        <v>26</v>
      </c>
      <c r="O6" t="s">
        <v>298</v>
      </c>
      <c r="P6">
        <v>200</v>
      </c>
    </row>
    <row r="7" spans="1:16">
      <c r="A7" s="22"/>
      <c r="B7" s="37" t="s">
        <v>326</v>
      </c>
      <c r="C7" s="22">
        <v>300</v>
      </c>
      <c r="D7" s="22">
        <v>200</v>
      </c>
      <c r="E7" s="22">
        <v>200</v>
      </c>
      <c r="F7" s="22"/>
      <c r="H7" s="62" t="s">
        <v>320</v>
      </c>
      <c r="I7" s="22" t="s">
        <v>323</v>
      </c>
      <c r="J7" s="22">
        <v>4</v>
      </c>
      <c r="K7" s="112">
        <v>2</v>
      </c>
    </row>
    <row r="8" spans="1:16">
      <c r="H8" s="62" t="s">
        <v>320</v>
      </c>
      <c r="I8" s="22" t="s">
        <v>324</v>
      </c>
      <c r="J8" s="22">
        <v>3</v>
      </c>
      <c r="K8" s="112">
        <v>2</v>
      </c>
    </row>
    <row r="9" spans="1:16">
      <c r="H9" s="62" t="s">
        <v>321</v>
      </c>
      <c r="I9" s="22" t="s">
        <v>322</v>
      </c>
      <c r="J9" s="22">
        <v>9</v>
      </c>
      <c r="K9" s="112"/>
    </row>
    <row r="10" spans="1:16">
      <c r="H10" s="62" t="s">
        <v>321</v>
      </c>
      <c r="I10" s="22" t="s">
        <v>323</v>
      </c>
      <c r="J10" s="22">
        <v>7</v>
      </c>
      <c r="K10" s="112">
        <v>2</v>
      </c>
      <c r="M10" t="s">
        <v>264</v>
      </c>
      <c r="N10">
        <f>SUMPRODUCT(J3:J11,K3:K11)</f>
        <v>162</v>
      </c>
    </row>
    <row r="11" spans="1:16">
      <c r="A11" s="143" t="s">
        <v>329</v>
      </c>
      <c r="B11" s="144"/>
      <c r="C11" s="142" t="s">
        <v>328</v>
      </c>
      <c r="D11" s="142"/>
      <c r="E11" s="142"/>
      <c r="F11" s="22"/>
      <c r="H11" s="62" t="s">
        <v>321</v>
      </c>
      <c r="I11" s="22" t="s">
        <v>324</v>
      </c>
      <c r="J11" s="22">
        <v>5</v>
      </c>
      <c r="K11" s="112">
        <v>22</v>
      </c>
    </row>
    <row r="12" spans="1:16">
      <c r="A12" s="141" t="s">
        <v>327</v>
      </c>
      <c r="B12" s="22"/>
      <c r="C12" s="22" t="s">
        <v>322</v>
      </c>
      <c r="D12" s="22" t="s">
        <v>323</v>
      </c>
      <c r="E12" s="22" t="s">
        <v>324</v>
      </c>
      <c r="F12" s="37" t="s">
        <v>325</v>
      </c>
    </row>
    <row r="13" spans="1:16">
      <c r="A13" s="141"/>
      <c r="B13" s="22" t="s">
        <v>319</v>
      </c>
      <c r="C13" s="112">
        <v>100</v>
      </c>
      <c r="D13" s="112">
        <v>0</v>
      </c>
      <c r="E13" s="112">
        <v>0</v>
      </c>
      <c r="F13" s="22">
        <f>SUM(C13:E13)</f>
        <v>100</v>
      </c>
    </row>
    <row r="14" spans="1:16">
      <c r="A14" s="141"/>
      <c r="B14" s="22" t="s">
        <v>320</v>
      </c>
      <c r="C14" s="112">
        <v>0</v>
      </c>
      <c r="D14" s="112">
        <v>200</v>
      </c>
      <c r="E14" s="112">
        <v>100</v>
      </c>
      <c r="F14" s="22">
        <f t="shared" ref="F14:F15" si="1">SUM(C14:E14)</f>
        <v>300</v>
      </c>
    </row>
    <row r="15" spans="1:16">
      <c r="A15" s="141"/>
      <c r="B15" s="22" t="s">
        <v>321</v>
      </c>
      <c r="C15" s="112">
        <v>200</v>
      </c>
      <c r="D15" s="112">
        <v>0</v>
      </c>
      <c r="E15" s="112">
        <v>100</v>
      </c>
      <c r="F15" s="22">
        <f t="shared" si="1"/>
        <v>300</v>
      </c>
      <c r="H15" t="s">
        <v>335</v>
      </c>
      <c r="I15" t="s">
        <v>336</v>
      </c>
      <c r="J15" t="s">
        <v>337</v>
      </c>
      <c r="K15" t="s">
        <v>338</v>
      </c>
    </row>
    <row r="16" spans="1:16">
      <c r="A16" s="22"/>
      <c r="B16" s="37" t="s">
        <v>326</v>
      </c>
      <c r="C16" s="22">
        <f>SUM(C13:C15)</f>
        <v>300</v>
      </c>
      <c r="D16" s="22">
        <f t="shared" ref="D16:E16" si="2">SUM(D13:D15)</f>
        <v>200</v>
      </c>
      <c r="E16" s="22">
        <f t="shared" si="2"/>
        <v>200</v>
      </c>
      <c r="F16" s="22"/>
      <c r="H16" s="22" t="s">
        <v>319</v>
      </c>
      <c r="I16">
        <f>SUMIF($H$3:$H$11, H3, $K$3:$K$11)</f>
        <v>6</v>
      </c>
      <c r="J16" t="s">
        <v>201</v>
      </c>
      <c r="K16">
        <v>100</v>
      </c>
    </row>
    <row r="17" spans="1:11">
      <c r="H17" s="22" t="s">
        <v>320</v>
      </c>
      <c r="I17">
        <f>SUMIF($H$3:$H$11, H6, $K$3:$K$11)</f>
        <v>4</v>
      </c>
      <c r="J17" t="s">
        <v>201</v>
      </c>
      <c r="K17">
        <v>300</v>
      </c>
    </row>
    <row r="18" spans="1:11">
      <c r="H18" s="22" t="s">
        <v>321</v>
      </c>
      <c r="I18">
        <f>SUMIF($H$3:$H$11, H9, $K$3:$K$11)</f>
        <v>24</v>
      </c>
      <c r="J18" t="s">
        <v>201</v>
      </c>
      <c r="K18">
        <v>300</v>
      </c>
    </row>
    <row r="19" spans="1:11">
      <c r="A19" s="136" t="s">
        <v>286</v>
      </c>
      <c r="B19" s="136"/>
    </row>
    <row r="20" spans="1:11">
      <c r="A20" t="s">
        <v>330</v>
      </c>
      <c r="B20" s="92">
        <f>SUMPRODUCT(C4:E6,C13:E15)</f>
        <v>3900</v>
      </c>
    </row>
  </sheetData>
  <mergeCells count="6">
    <mergeCell ref="A19:B19"/>
    <mergeCell ref="A3:A6"/>
    <mergeCell ref="C2:E2"/>
    <mergeCell ref="C11:E11"/>
    <mergeCell ref="A12:A15"/>
    <mergeCell ref="A11:B1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2:P18"/>
  <sheetViews>
    <sheetView workbookViewId="0">
      <selection activeCell="H2" sqref="H2:P18"/>
    </sheetView>
  </sheetViews>
  <sheetFormatPr defaultRowHeight="15"/>
  <cols>
    <col min="8" max="8" width="11.42578125" customWidth="1"/>
  </cols>
  <sheetData>
    <row r="2" spans="8:16">
      <c r="H2" s="37" t="s">
        <v>331</v>
      </c>
      <c r="I2" s="37" t="s">
        <v>332</v>
      </c>
      <c r="J2" s="37" t="s">
        <v>333</v>
      </c>
      <c r="K2" s="37" t="s">
        <v>334</v>
      </c>
    </row>
    <row r="3" spans="8:16">
      <c r="H3" s="22" t="s">
        <v>319</v>
      </c>
      <c r="I3" s="22" t="s">
        <v>322</v>
      </c>
      <c r="J3" s="22">
        <v>5</v>
      </c>
      <c r="K3" s="112">
        <v>100</v>
      </c>
      <c r="M3" t="s">
        <v>339</v>
      </c>
      <c r="N3" t="s">
        <v>340</v>
      </c>
      <c r="O3" t="s">
        <v>337</v>
      </c>
      <c r="P3" t="s">
        <v>341</v>
      </c>
    </row>
    <row r="4" spans="8:16">
      <c r="H4" s="22" t="s">
        <v>319</v>
      </c>
      <c r="I4" s="22" t="s">
        <v>323</v>
      </c>
      <c r="J4" s="22">
        <v>4</v>
      </c>
      <c r="K4" s="112">
        <v>0</v>
      </c>
      <c r="M4" s="22" t="s">
        <v>322</v>
      </c>
      <c r="N4">
        <f>SUMIF($I$3:$I$11,I3,$K$3:$K$11)</f>
        <v>300</v>
      </c>
      <c r="O4" t="s">
        <v>298</v>
      </c>
      <c r="P4">
        <v>300</v>
      </c>
    </row>
    <row r="5" spans="8:16">
      <c r="H5" s="22" t="s">
        <v>319</v>
      </c>
      <c r="I5" s="22" t="s">
        <v>324</v>
      </c>
      <c r="J5" s="22">
        <v>3</v>
      </c>
      <c r="K5" s="112">
        <v>0</v>
      </c>
      <c r="M5" s="22" t="s">
        <v>323</v>
      </c>
      <c r="N5">
        <f t="shared" ref="N5:N6" si="0">SUMIF($I$3:$I$11,I4,$K$3:$K$11)</f>
        <v>200</v>
      </c>
      <c r="O5" t="s">
        <v>298</v>
      </c>
      <c r="P5">
        <v>200</v>
      </c>
    </row>
    <row r="6" spans="8:16">
      <c r="H6" s="62" t="s">
        <v>320</v>
      </c>
      <c r="I6" s="22" t="s">
        <v>322</v>
      </c>
      <c r="J6" s="22">
        <v>8</v>
      </c>
      <c r="K6" s="112">
        <v>0</v>
      </c>
      <c r="M6" s="22" t="s">
        <v>324</v>
      </c>
      <c r="N6">
        <f t="shared" si="0"/>
        <v>200</v>
      </c>
      <c r="O6" t="s">
        <v>298</v>
      </c>
      <c r="P6">
        <v>200</v>
      </c>
    </row>
    <row r="7" spans="8:16">
      <c r="H7" s="62" t="s">
        <v>320</v>
      </c>
      <c r="I7" s="22" t="s">
        <v>323</v>
      </c>
      <c r="J7" s="22">
        <v>4</v>
      </c>
      <c r="K7" s="112">
        <v>200</v>
      </c>
    </row>
    <row r="8" spans="8:16">
      <c r="H8" s="62" t="s">
        <v>320</v>
      </c>
      <c r="I8" s="22" t="s">
        <v>324</v>
      </c>
      <c r="J8" s="22">
        <v>3</v>
      </c>
      <c r="K8" s="112">
        <v>100</v>
      </c>
    </row>
    <row r="9" spans="8:16">
      <c r="H9" s="62" t="s">
        <v>321</v>
      </c>
      <c r="I9" s="22" t="s">
        <v>322</v>
      </c>
      <c r="J9" s="22">
        <v>9</v>
      </c>
      <c r="K9" s="112">
        <v>200</v>
      </c>
    </row>
    <row r="10" spans="8:16">
      <c r="H10" s="62" t="s">
        <v>321</v>
      </c>
      <c r="I10" s="22" t="s">
        <v>323</v>
      </c>
      <c r="J10" s="22">
        <v>7</v>
      </c>
      <c r="K10" s="112">
        <v>0</v>
      </c>
      <c r="M10" t="s">
        <v>264</v>
      </c>
      <c r="N10">
        <f>SUMPRODUCT(J3:J11,K3:K11)</f>
        <v>3900</v>
      </c>
    </row>
    <row r="11" spans="8:16">
      <c r="H11" s="62" t="s">
        <v>321</v>
      </c>
      <c r="I11" s="22" t="s">
        <v>324</v>
      </c>
      <c r="J11" s="22">
        <v>5</v>
      </c>
      <c r="K11" s="112">
        <v>100</v>
      </c>
    </row>
    <row r="15" spans="8:16">
      <c r="H15" t="s">
        <v>335</v>
      </c>
      <c r="I15" t="s">
        <v>336</v>
      </c>
      <c r="J15" t="s">
        <v>337</v>
      </c>
      <c r="K15" t="s">
        <v>338</v>
      </c>
    </row>
    <row r="16" spans="8:16">
      <c r="H16" s="22" t="s">
        <v>319</v>
      </c>
      <c r="I16">
        <f>SUMIF($H$3:$H$11, H3, $K$3:$K$11)</f>
        <v>100</v>
      </c>
      <c r="J16" t="s">
        <v>201</v>
      </c>
      <c r="K16">
        <v>100</v>
      </c>
    </row>
    <row r="17" spans="8:11">
      <c r="H17" s="22" t="s">
        <v>320</v>
      </c>
      <c r="I17">
        <f>SUMIF($H$3:$H$11, H6, $K$3:$K$11)</f>
        <v>300</v>
      </c>
      <c r="J17" t="s">
        <v>201</v>
      </c>
      <c r="K17">
        <v>300</v>
      </c>
    </row>
    <row r="18" spans="8:11">
      <c r="H18" s="22" t="s">
        <v>321</v>
      </c>
      <c r="I18">
        <f>SUMIF($H$3:$H$11, H9, $K$3:$K$11)</f>
        <v>300</v>
      </c>
      <c r="J18" t="s">
        <v>201</v>
      </c>
      <c r="K18">
        <v>300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2:P18"/>
  <sheetViews>
    <sheetView workbookViewId="0">
      <selection activeCell="N10" sqref="N10"/>
    </sheetView>
  </sheetViews>
  <sheetFormatPr defaultRowHeight="15"/>
  <cols>
    <col min="8" max="8" width="14.5703125" customWidth="1"/>
  </cols>
  <sheetData>
    <row r="2" spans="8:16">
      <c r="H2" s="37" t="s">
        <v>331</v>
      </c>
      <c r="I2" s="37" t="s">
        <v>332</v>
      </c>
      <c r="J2" s="37" t="s">
        <v>333</v>
      </c>
      <c r="K2" s="37" t="s">
        <v>334</v>
      </c>
    </row>
    <row r="3" spans="8:16">
      <c r="H3" s="22" t="s">
        <v>342</v>
      </c>
      <c r="I3" s="22" t="s">
        <v>345</v>
      </c>
      <c r="J3" s="22">
        <v>10</v>
      </c>
      <c r="K3" s="112">
        <v>40</v>
      </c>
      <c r="M3" t="s">
        <v>339</v>
      </c>
      <c r="N3" t="s">
        <v>340</v>
      </c>
      <c r="O3" t="s">
        <v>337</v>
      </c>
      <c r="P3" t="s">
        <v>326</v>
      </c>
    </row>
    <row r="4" spans="8:16">
      <c r="H4" s="22" t="s">
        <v>342</v>
      </c>
      <c r="I4" s="22" t="s">
        <v>346</v>
      </c>
      <c r="J4" s="22">
        <v>4</v>
      </c>
      <c r="K4" s="112">
        <v>40</v>
      </c>
      <c r="M4" s="22" t="s">
        <v>322</v>
      </c>
      <c r="N4">
        <f>SUMIF($I$3:$I$11,I3,$K$3:$K$11)</f>
        <v>50</v>
      </c>
      <c r="O4" t="s">
        <v>298</v>
      </c>
      <c r="P4">
        <v>50</v>
      </c>
    </row>
    <row r="5" spans="8:16">
      <c r="H5" s="22" t="s">
        <v>342</v>
      </c>
      <c r="I5" s="22" t="s">
        <v>347</v>
      </c>
      <c r="J5" s="22">
        <v>9</v>
      </c>
      <c r="K5" s="112">
        <v>0</v>
      </c>
      <c r="M5" s="22" t="s">
        <v>323</v>
      </c>
      <c r="N5">
        <f t="shared" ref="N5:N6" si="0">SUMIF($I$3:$I$11,I4,$K$3:$K$11)</f>
        <v>40</v>
      </c>
      <c r="O5" t="s">
        <v>298</v>
      </c>
      <c r="P5">
        <v>40</v>
      </c>
    </row>
    <row r="6" spans="8:16">
      <c r="H6" s="22" t="s">
        <v>343</v>
      </c>
      <c r="I6" s="22" t="s">
        <v>345</v>
      </c>
      <c r="J6" s="22">
        <v>12</v>
      </c>
      <c r="K6" s="112">
        <v>0</v>
      </c>
      <c r="M6" s="22" t="s">
        <v>324</v>
      </c>
      <c r="N6">
        <f t="shared" si="0"/>
        <v>60</v>
      </c>
      <c r="O6" t="s">
        <v>298</v>
      </c>
      <c r="P6">
        <v>60</v>
      </c>
    </row>
    <row r="7" spans="8:16">
      <c r="H7" s="22" t="s">
        <v>343</v>
      </c>
      <c r="I7" s="22" t="s">
        <v>346</v>
      </c>
      <c r="J7" s="22">
        <v>6</v>
      </c>
      <c r="K7" s="112">
        <v>0</v>
      </c>
    </row>
    <row r="8" spans="8:16">
      <c r="H8" s="22" t="s">
        <v>343</v>
      </c>
      <c r="I8" s="22" t="s">
        <v>347</v>
      </c>
      <c r="J8" s="22">
        <v>8</v>
      </c>
      <c r="K8" s="112">
        <v>40</v>
      </c>
    </row>
    <row r="9" spans="8:16">
      <c r="H9" s="22" t="s">
        <v>344</v>
      </c>
      <c r="I9" s="22" t="s">
        <v>345</v>
      </c>
      <c r="J9" s="22">
        <v>8</v>
      </c>
      <c r="K9" s="112">
        <v>10</v>
      </c>
    </row>
    <row r="10" spans="8:16">
      <c r="H10" s="22" t="s">
        <v>344</v>
      </c>
      <c r="I10" s="22" t="s">
        <v>346</v>
      </c>
      <c r="J10" s="22">
        <v>9</v>
      </c>
      <c r="K10" s="112">
        <v>0</v>
      </c>
      <c r="M10" t="s">
        <v>264</v>
      </c>
      <c r="N10">
        <f>SUMPRODUCT(J3:J11,K3:K11)</f>
        <v>1060</v>
      </c>
    </row>
    <row r="11" spans="8:16">
      <c r="H11" s="22" t="s">
        <v>344</v>
      </c>
      <c r="I11" s="22" t="s">
        <v>347</v>
      </c>
      <c r="J11" s="22">
        <v>5</v>
      </c>
      <c r="K11" s="112">
        <v>20</v>
      </c>
    </row>
    <row r="15" spans="8:16">
      <c r="H15" t="s">
        <v>335</v>
      </c>
      <c r="I15" t="s">
        <v>336</v>
      </c>
      <c r="J15" t="s">
        <v>337</v>
      </c>
      <c r="K15" t="s">
        <v>338</v>
      </c>
    </row>
    <row r="16" spans="8:16">
      <c r="H16" s="22" t="s">
        <v>319</v>
      </c>
      <c r="I16">
        <f>SUMIF($H$3:$H$11, H3, $K$3:$K$11)</f>
        <v>80</v>
      </c>
      <c r="J16" t="s">
        <v>201</v>
      </c>
      <c r="K16">
        <v>80</v>
      </c>
    </row>
    <row r="17" spans="8:11">
      <c r="H17" s="22" t="s">
        <v>320</v>
      </c>
      <c r="I17">
        <f>SUMIF($H$3:$H$11, H6, $K$3:$K$11)</f>
        <v>40</v>
      </c>
      <c r="J17" t="s">
        <v>201</v>
      </c>
      <c r="K17">
        <v>40</v>
      </c>
    </row>
    <row r="18" spans="8:11">
      <c r="H18" s="22" t="s">
        <v>321</v>
      </c>
      <c r="I18">
        <f>SUMIF($H$3:$H$11, H9, $K$3:$K$11)</f>
        <v>30</v>
      </c>
      <c r="J18" t="s">
        <v>201</v>
      </c>
      <c r="K18">
        <v>30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22"/>
  <sheetViews>
    <sheetView topLeftCell="A2" zoomScaleNormal="100" workbookViewId="0">
      <selection activeCell="E17" sqref="E17"/>
    </sheetView>
  </sheetViews>
  <sheetFormatPr defaultRowHeight="15"/>
  <sheetData>
    <row r="3" spans="1:15" ht="66" customHeight="1">
      <c r="A3" s="140" t="s">
        <v>348</v>
      </c>
      <c r="B3" s="140"/>
      <c r="C3" s="140"/>
      <c r="D3" s="140"/>
      <c r="E3" s="140"/>
      <c r="F3" s="140"/>
      <c r="G3" s="140"/>
      <c r="H3" s="140"/>
      <c r="I3" s="140"/>
      <c r="J3" s="140"/>
      <c r="K3" s="140"/>
      <c r="L3" s="140"/>
      <c r="M3" s="140"/>
      <c r="N3" s="140"/>
      <c r="O3" s="140"/>
    </row>
    <row r="6" spans="1:15" ht="15" customHeight="1">
      <c r="A6" s="22"/>
      <c r="B6" s="148" t="s">
        <v>349</v>
      </c>
      <c r="C6" s="148" t="s">
        <v>350</v>
      </c>
      <c r="D6" s="148" t="s">
        <v>351</v>
      </c>
      <c r="E6" s="147" t="s">
        <v>352</v>
      </c>
      <c r="F6" s="22"/>
      <c r="H6" s="114"/>
      <c r="I6" s="146"/>
      <c r="J6" s="146"/>
      <c r="K6" s="146"/>
    </row>
    <row r="7" spans="1:15">
      <c r="A7" s="22"/>
      <c r="B7" s="148"/>
      <c r="C7" s="148"/>
      <c r="D7" s="148"/>
      <c r="E7" s="147"/>
      <c r="F7" s="22"/>
      <c r="H7" s="115"/>
      <c r="I7" s="146"/>
      <c r="J7" s="146"/>
      <c r="K7" s="146"/>
    </row>
    <row r="8" spans="1:15">
      <c r="A8" s="17" t="s">
        <v>353</v>
      </c>
      <c r="B8" s="113">
        <v>800</v>
      </c>
      <c r="C8" s="113">
        <v>1100</v>
      </c>
      <c r="D8" s="113">
        <v>1200</v>
      </c>
      <c r="E8" s="113">
        <v>1000</v>
      </c>
      <c r="F8" s="119">
        <v>1</v>
      </c>
    </row>
    <row r="9" spans="1:15">
      <c r="A9" s="17" t="s">
        <v>354</v>
      </c>
      <c r="B9" s="113">
        <v>500</v>
      </c>
      <c r="C9" s="113">
        <v>1600</v>
      </c>
      <c r="D9" s="113">
        <v>1300</v>
      </c>
      <c r="E9" s="113">
        <v>800</v>
      </c>
      <c r="F9" s="119">
        <v>1</v>
      </c>
    </row>
    <row r="10" spans="1:15">
      <c r="A10" s="17" t="s">
        <v>355</v>
      </c>
      <c r="B10" s="113">
        <v>500</v>
      </c>
      <c r="C10" s="113">
        <v>1000</v>
      </c>
      <c r="D10" s="113">
        <v>2300</v>
      </c>
      <c r="E10" s="113">
        <v>1500</v>
      </c>
      <c r="F10" s="120">
        <v>1</v>
      </c>
    </row>
    <row r="11" spans="1:15">
      <c r="A11" s="22"/>
      <c r="B11" s="119">
        <v>1</v>
      </c>
      <c r="C11" s="120">
        <v>1</v>
      </c>
      <c r="D11" s="120">
        <v>1</v>
      </c>
      <c r="E11" s="120">
        <v>1</v>
      </c>
      <c r="F11" s="22"/>
    </row>
    <row r="15" spans="1:15">
      <c r="A15" s="82"/>
      <c r="B15" s="135" t="s">
        <v>349</v>
      </c>
      <c r="C15" s="135" t="s">
        <v>350</v>
      </c>
      <c r="D15" s="135" t="s">
        <v>351</v>
      </c>
      <c r="E15" s="145" t="s">
        <v>352</v>
      </c>
      <c r="F15" s="86"/>
    </row>
    <row r="16" spans="1:15">
      <c r="A16" s="82"/>
      <c r="B16" s="135"/>
      <c r="C16" s="135"/>
      <c r="D16" s="135"/>
      <c r="E16" s="145"/>
      <c r="F16" s="86"/>
      <c r="G16" t="s">
        <v>337</v>
      </c>
    </row>
    <row r="17" spans="1:12">
      <c r="A17" s="116" t="s">
        <v>353</v>
      </c>
      <c r="B17" s="121">
        <v>0</v>
      </c>
      <c r="C17" s="121">
        <v>1</v>
      </c>
      <c r="D17" s="121">
        <v>0</v>
      </c>
      <c r="E17" s="121">
        <v>0</v>
      </c>
      <c r="F17" s="117">
        <f>SUM(B17:E17)</f>
        <v>1</v>
      </c>
      <c r="G17" t="s">
        <v>298</v>
      </c>
      <c r="H17">
        <v>1</v>
      </c>
    </row>
    <row r="18" spans="1:12">
      <c r="A18" s="116" t="s">
        <v>354</v>
      </c>
      <c r="B18" s="121">
        <v>0</v>
      </c>
      <c r="C18" s="121">
        <v>0</v>
      </c>
      <c r="D18" s="121">
        <v>0</v>
      </c>
      <c r="E18" s="121">
        <v>1</v>
      </c>
      <c r="F18" s="117">
        <f t="shared" ref="F18:F19" si="0">SUM(B18:E18)</f>
        <v>1</v>
      </c>
      <c r="G18" t="s">
        <v>298</v>
      </c>
      <c r="H18">
        <v>1</v>
      </c>
    </row>
    <row r="19" spans="1:12">
      <c r="A19" s="116" t="s">
        <v>355</v>
      </c>
      <c r="B19" s="121">
        <v>1</v>
      </c>
      <c r="C19" s="121">
        <v>0</v>
      </c>
      <c r="D19" s="121">
        <v>0</v>
      </c>
      <c r="E19" s="121">
        <v>0</v>
      </c>
      <c r="F19" s="117">
        <f t="shared" si="0"/>
        <v>1</v>
      </c>
      <c r="G19" t="s">
        <v>298</v>
      </c>
      <c r="H19">
        <v>1</v>
      </c>
      <c r="K19" t="s">
        <v>264</v>
      </c>
      <c r="L19">
        <f>SUMPRODUCT(B17:E19,B8:E10)</f>
        <v>2400</v>
      </c>
    </row>
    <row r="20" spans="1:12">
      <c r="A20" s="86"/>
      <c r="B20" s="118">
        <f>SUM(B17:B19)</f>
        <v>1</v>
      </c>
      <c r="C20" s="118">
        <f t="shared" ref="C20:E20" si="1">SUM(C17:C19)</f>
        <v>1</v>
      </c>
      <c r="D20" s="118">
        <f t="shared" si="1"/>
        <v>0</v>
      </c>
      <c r="E20" s="118">
        <f t="shared" si="1"/>
        <v>1</v>
      </c>
      <c r="F20" s="86"/>
    </row>
    <row r="21" spans="1:12">
      <c r="A21" s="90"/>
      <c r="B21" s="90" t="s">
        <v>201</v>
      </c>
      <c r="C21" s="90" t="s">
        <v>201</v>
      </c>
      <c r="D21" s="90" t="s">
        <v>201</v>
      </c>
      <c r="E21" s="90" t="s">
        <v>201</v>
      </c>
      <c r="F21" s="90"/>
    </row>
    <row r="22" spans="1:12">
      <c r="B22">
        <v>1</v>
      </c>
      <c r="C22">
        <v>1</v>
      </c>
      <c r="D22">
        <v>1</v>
      </c>
      <c r="E22">
        <v>1</v>
      </c>
    </row>
  </sheetData>
  <mergeCells count="12">
    <mergeCell ref="B15:B16"/>
    <mergeCell ref="C15:C16"/>
    <mergeCell ref="D15:D16"/>
    <mergeCell ref="E15:E16"/>
    <mergeCell ref="A3:O3"/>
    <mergeCell ref="I6:I7"/>
    <mergeCell ref="J6:J7"/>
    <mergeCell ref="K6:K7"/>
    <mergeCell ref="E6:E7"/>
    <mergeCell ref="D6:D7"/>
    <mergeCell ref="C6:C7"/>
    <mergeCell ref="B6:B7"/>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3"/>
  <sheetViews>
    <sheetView zoomScaleNormal="100" workbookViewId="0">
      <selection activeCell="P7" sqref="P7:P10"/>
    </sheetView>
  </sheetViews>
  <sheetFormatPr defaultRowHeight="15"/>
  <cols>
    <col min="1" max="1" width="11.5703125" customWidth="1"/>
  </cols>
  <sheetData>
    <row r="2" spans="1:17" ht="137.25" customHeight="1">
      <c r="A2" s="140" t="s">
        <v>356</v>
      </c>
      <c r="B2" s="140"/>
      <c r="C2" s="140"/>
      <c r="D2" s="140"/>
      <c r="E2" s="140"/>
      <c r="F2" s="140"/>
      <c r="G2" s="140"/>
      <c r="H2" s="140"/>
      <c r="I2" s="140"/>
      <c r="J2" s="140"/>
      <c r="K2" s="140"/>
      <c r="L2" s="140"/>
      <c r="M2" s="140"/>
      <c r="N2" s="140"/>
    </row>
    <row r="4" spans="1:17">
      <c r="J4" s="151" t="s">
        <v>366</v>
      </c>
      <c r="K4" s="151"/>
      <c r="L4" s="151"/>
    </row>
    <row r="5" spans="1:17">
      <c r="A5" s="153"/>
      <c r="B5" s="152" t="s">
        <v>365</v>
      </c>
      <c r="C5" s="152" t="s">
        <v>357</v>
      </c>
      <c r="D5" s="152" t="s">
        <v>358</v>
      </c>
      <c r="E5" s="149" t="s">
        <v>359</v>
      </c>
      <c r="J5" s="153"/>
      <c r="K5" s="152" t="s">
        <v>365</v>
      </c>
      <c r="L5" s="152" t="s">
        <v>357</v>
      </c>
      <c r="M5" s="152" t="s">
        <v>358</v>
      </c>
      <c r="N5" s="149" t="s">
        <v>359</v>
      </c>
    </row>
    <row r="6" spans="1:17">
      <c r="A6" s="154"/>
      <c r="B6" s="152"/>
      <c r="C6" s="152"/>
      <c r="D6" s="152"/>
      <c r="E6" s="150"/>
      <c r="J6" s="154"/>
      <c r="K6" s="152"/>
      <c r="L6" s="152"/>
      <c r="M6" s="152"/>
      <c r="N6" s="150"/>
      <c r="O6" t="s">
        <v>221</v>
      </c>
    </row>
    <row r="7" spans="1:17">
      <c r="A7" s="17" t="s">
        <v>360</v>
      </c>
      <c r="B7" s="17">
        <v>1500</v>
      </c>
      <c r="C7" s="17">
        <v>1730</v>
      </c>
      <c r="D7" s="17">
        <v>1940</v>
      </c>
      <c r="E7" s="17">
        <v>2070</v>
      </c>
      <c r="J7" s="17" t="s">
        <v>360</v>
      </c>
      <c r="K7" s="17">
        <v>0</v>
      </c>
      <c r="L7" s="17">
        <v>0</v>
      </c>
      <c r="M7" s="17">
        <v>1</v>
      </c>
      <c r="N7" s="17">
        <v>0</v>
      </c>
      <c r="O7">
        <f>SUM(K7:N7)</f>
        <v>1</v>
      </c>
      <c r="P7" t="s">
        <v>201</v>
      </c>
      <c r="Q7">
        <v>1</v>
      </c>
    </row>
    <row r="8" spans="1:17">
      <c r="A8" s="17" t="s">
        <v>361</v>
      </c>
      <c r="B8" s="17">
        <v>460</v>
      </c>
      <c r="C8" s="17">
        <v>810</v>
      </c>
      <c r="D8" s="17">
        <v>1020</v>
      </c>
      <c r="E8" s="17">
        <v>1270</v>
      </c>
      <c r="J8" s="17" t="s">
        <v>361</v>
      </c>
      <c r="K8" s="17">
        <v>0</v>
      </c>
      <c r="L8" s="17">
        <v>1</v>
      </c>
      <c r="M8" s="17">
        <v>0</v>
      </c>
      <c r="N8" s="17">
        <v>0</v>
      </c>
      <c r="O8">
        <f t="shared" ref="O8:O10" si="0">SUM(K8:N8)</f>
        <v>1</v>
      </c>
      <c r="P8" t="s">
        <v>201</v>
      </c>
      <c r="Q8">
        <v>1</v>
      </c>
    </row>
    <row r="9" spans="1:17">
      <c r="A9" s="17" t="s">
        <v>362</v>
      </c>
      <c r="B9" s="17">
        <v>1500</v>
      </c>
      <c r="C9" s="17">
        <v>1850</v>
      </c>
      <c r="D9" s="17">
        <v>2080</v>
      </c>
      <c r="E9" s="17" t="s">
        <v>363</v>
      </c>
      <c r="J9" s="17" t="s">
        <v>362</v>
      </c>
      <c r="K9" s="17">
        <v>1</v>
      </c>
      <c r="L9" s="17">
        <v>0</v>
      </c>
      <c r="M9" s="17">
        <v>0</v>
      </c>
      <c r="N9" s="17">
        <v>0</v>
      </c>
      <c r="O9">
        <f t="shared" si="0"/>
        <v>1</v>
      </c>
      <c r="P9" t="s">
        <v>201</v>
      </c>
      <c r="Q9">
        <v>1</v>
      </c>
    </row>
    <row r="10" spans="1:17" ht="28.5">
      <c r="A10" s="17" t="s">
        <v>364</v>
      </c>
      <c r="B10" s="17">
        <v>960</v>
      </c>
      <c r="C10" s="17">
        <v>610</v>
      </c>
      <c r="D10" s="17">
        <v>400</v>
      </c>
      <c r="E10" s="17">
        <v>330</v>
      </c>
      <c r="J10" s="17" t="s">
        <v>364</v>
      </c>
      <c r="K10" s="17">
        <v>0</v>
      </c>
      <c r="L10" s="17">
        <v>0</v>
      </c>
      <c r="M10" s="17">
        <v>0</v>
      </c>
      <c r="N10" s="17">
        <v>1</v>
      </c>
      <c r="O10">
        <f t="shared" si="0"/>
        <v>1</v>
      </c>
      <c r="P10" t="s">
        <v>201</v>
      </c>
      <c r="Q10">
        <v>1</v>
      </c>
    </row>
    <row r="11" spans="1:17">
      <c r="G11" t="s">
        <v>367</v>
      </c>
      <c r="H11" t="s">
        <v>368</v>
      </c>
      <c r="J11" s="122" t="s">
        <v>221</v>
      </c>
      <c r="K11">
        <f>SUM(K7:K10)</f>
        <v>1</v>
      </c>
      <c r="L11">
        <f t="shared" ref="L11:N11" si="1">SUM(L7:L10)</f>
        <v>1</v>
      </c>
      <c r="M11">
        <f t="shared" si="1"/>
        <v>1</v>
      </c>
      <c r="N11">
        <f t="shared" si="1"/>
        <v>1</v>
      </c>
    </row>
    <row r="12" spans="1:17">
      <c r="G12" t="s">
        <v>369</v>
      </c>
      <c r="H12" s="93">
        <f>SUMPRODUCT(B7:E10,K7:N10)</f>
        <v>4580</v>
      </c>
      <c r="K12" t="s">
        <v>298</v>
      </c>
      <c r="L12" t="s">
        <v>298</v>
      </c>
      <c r="M12" t="s">
        <v>298</v>
      </c>
      <c r="N12" t="s">
        <v>298</v>
      </c>
    </row>
    <row r="13" spans="1:17">
      <c r="K13">
        <v>1</v>
      </c>
      <c r="L13">
        <v>1</v>
      </c>
      <c r="M13">
        <v>1</v>
      </c>
      <c r="N13">
        <v>1</v>
      </c>
    </row>
  </sheetData>
  <mergeCells count="12">
    <mergeCell ref="N5:N6"/>
    <mergeCell ref="J4:L4"/>
    <mergeCell ref="A2:N2"/>
    <mergeCell ref="B5:B6"/>
    <mergeCell ref="C5:C6"/>
    <mergeCell ref="D5:D6"/>
    <mergeCell ref="E5:E6"/>
    <mergeCell ref="A5:A6"/>
    <mergeCell ref="J5:J6"/>
    <mergeCell ref="K5:K6"/>
    <mergeCell ref="L5:L6"/>
    <mergeCell ref="M5:M6"/>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Q16"/>
  <sheetViews>
    <sheetView zoomScaleNormal="100" workbookViewId="0">
      <selection activeCell="H13" sqref="H13"/>
    </sheetView>
  </sheetViews>
  <sheetFormatPr defaultRowHeight="15"/>
  <cols>
    <col min="7" max="7" width="19.85546875" customWidth="1"/>
  </cols>
  <sheetData>
    <row r="3" spans="1:17" ht="128.25" customHeight="1">
      <c r="A3" s="140" t="s">
        <v>370</v>
      </c>
      <c r="B3" s="140"/>
      <c r="C3" s="140"/>
      <c r="D3" s="140"/>
      <c r="E3" s="140"/>
      <c r="F3" s="140"/>
      <c r="G3" s="140"/>
      <c r="H3" s="140"/>
      <c r="I3" s="140"/>
      <c r="J3" s="140"/>
      <c r="K3" s="140"/>
      <c r="L3" s="140"/>
    </row>
    <row r="6" spans="1:17" s="4" customFormat="1" ht="15" customHeight="1">
      <c r="B6" s="4" t="s">
        <v>371</v>
      </c>
      <c r="C6" s="4" t="s">
        <v>372</v>
      </c>
      <c r="D6" s="4" t="s">
        <v>373</v>
      </c>
      <c r="E6" s="4" t="s">
        <v>374</v>
      </c>
      <c r="K6" s="155"/>
      <c r="L6" s="155"/>
      <c r="M6" s="155"/>
      <c r="N6" s="155"/>
    </row>
    <row r="7" spans="1:17" ht="30" customHeight="1">
      <c r="A7" s="123" t="s">
        <v>375</v>
      </c>
      <c r="B7" s="36">
        <v>80</v>
      </c>
      <c r="C7" s="36">
        <v>85</v>
      </c>
      <c r="D7" s="36">
        <v>95</v>
      </c>
      <c r="E7" s="36">
        <v>40</v>
      </c>
      <c r="K7" s="155"/>
      <c r="L7" s="155"/>
      <c r="M7" s="155"/>
      <c r="N7" s="155"/>
    </row>
    <row r="8" spans="1:17">
      <c r="A8" s="123" t="s">
        <v>376</v>
      </c>
      <c r="B8" s="36">
        <v>85</v>
      </c>
      <c r="C8" s="36">
        <v>30</v>
      </c>
      <c r="D8" s="36">
        <v>75</v>
      </c>
      <c r="E8" s="36">
        <v>65</v>
      </c>
    </row>
    <row r="9" spans="1:17">
      <c r="A9" s="123" t="s">
        <v>377</v>
      </c>
      <c r="B9" s="36">
        <v>90</v>
      </c>
      <c r="C9" s="36">
        <v>55</v>
      </c>
      <c r="D9" s="36">
        <v>80</v>
      </c>
      <c r="E9" s="36">
        <v>70</v>
      </c>
      <c r="J9" s="4"/>
      <c r="K9" s="4" t="s">
        <v>371</v>
      </c>
      <c r="L9" s="4" t="s">
        <v>372</v>
      </c>
      <c r="M9" s="4" t="s">
        <v>373</v>
      </c>
      <c r="N9" s="4" t="s">
        <v>374</v>
      </c>
    </row>
    <row r="10" spans="1:17">
      <c r="A10" s="123" t="s">
        <v>378</v>
      </c>
      <c r="B10" s="36">
        <v>55</v>
      </c>
      <c r="C10" s="36">
        <v>80</v>
      </c>
      <c r="D10" s="36">
        <v>65</v>
      </c>
      <c r="E10" s="36">
        <v>50</v>
      </c>
      <c r="J10" s="123" t="s">
        <v>375</v>
      </c>
      <c r="K10" s="36">
        <v>0</v>
      </c>
      <c r="L10" s="36">
        <v>0</v>
      </c>
      <c r="M10" s="36">
        <v>1</v>
      </c>
      <c r="N10" s="36">
        <v>0</v>
      </c>
      <c r="O10">
        <f>SUM(K10:N10)</f>
        <v>1</v>
      </c>
      <c r="P10" t="s">
        <v>298</v>
      </c>
      <c r="Q10">
        <v>1</v>
      </c>
    </row>
    <row r="11" spans="1:17">
      <c r="G11" t="s">
        <v>195</v>
      </c>
      <c r="J11" s="123" t="s">
        <v>376</v>
      </c>
      <c r="K11" s="36">
        <v>1</v>
      </c>
      <c r="L11" s="36">
        <v>0</v>
      </c>
      <c r="M11" s="36">
        <v>0</v>
      </c>
      <c r="N11" s="36">
        <v>0</v>
      </c>
      <c r="O11">
        <f t="shared" ref="O11:O13" si="0">SUM(K11:N11)</f>
        <v>1</v>
      </c>
      <c r="P11" t="s">
        <v>298</v>
      </c>
      <c r="Q11">
        <v>1</v>
      </c>
    </row>
    <row r="12" spans="1:17">
      <c r="G12" t="s">
        <v>379</v>
      </c>
      <c r="H12">
        <f>SUMPRODUCT(B7:E10,K10:N13)</f>
        <v>330</v>
      </c>
      <c r="J12" s="123" t="s">
        <v>377</v>
      </c>
      <c r="K12" s="36">
        <v>0</v>
      </c>
      <c r="L12" s="36">
        <v>0</v>
      </c>
      <c r="M12" s="36">
        <v>0</v>
      </c>
      <c r="N12" s="36">
        <v>1</v>
      </c>
      <c r="O12">
        <f t="shared" si="0"/>
        <v>1</v>
      </c>
      <c r="P12" t="s">
        <v>298</v>
      </c>
      <c r="Q12">
        <v>1</v>
      </c>
    </row>
    <row r="13" spans="1:17">
      <c r="J13" s="123" t="s">
        <v>378</v>
      </c>
      <c r="K13" s="36">
        <v>0</v>
      </c>
      <c r="L13" s="36">
        <v>1</v>
      </c>
      <c r="M13" s="36">
        <v>0</v>
      </c>
      <c r="N13" s="36">
        <v>0</v>
      </c>
      <c r="O13">
        <f t="shared" si="0"/>
        <v>1</v>
      </c>
      <c r="P13" t="s">
        <v>298</v>
      </c>
      <c r="Q13">
        <v>1</v>
      </c>
    </row>
    <row r="14" spans="1:17">
      <c r="K14">
        <f>SUM(K10:K13)</f>
        <v>1</v>
      </c>
      <c r="L14">
        <f t="shared" ref="L14:N14" si="1">SUM(L10:L13)</f>
        <v>1</v>
      </c>
      <c r="M14">
        <f t="shared" si="1"/>
        <v>1</v>
      </c>
      <c r="N14">
        <f t="shared" si="1"/>
        <v>1</v>
      </c>
    </row>
    <row r="15" spans="1:17">
      <c r="K15" t="s">
        <v>298</v>
      </c>
      <c r="L15" t="s">
        <v>298</v>
      </c>
      <c r="M15" t="s">
        <v>298</v>
      </c>
      <c r="N15" t="s">
        <v>298</v>
      </c>
    </row>
    <row r="16" spans="1:17">
      <c r="K16">
        <v>1</v>
      </c>
      <c r="L16">
        <v>1</v>
      </c>
      <c r="M16">
        <v>1</v>
      </c>
      <c r="N16">
        <v>1</v>
      </c>
    </row>
  </sheetData>
  <mergeCells count="2">
    <mergeCell ref="A3:L3"/>
    <mergeCell ref="K6:N7"/>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5"/>
  <sheetViews>
    <sheetView topLeftCell="A3" zoomScaleNormal="100" workbookViewId="0">
      <selection activeCell="K15" sqref="K15"/>
    </sheetView>
  </sheetViews>
  <sheetFormatPr defaultRowHeight="15"/>
  <cols>
    <col min="6" max="6" width="13.140625" customWidth="1"/>
    <col min="12" max="12" width="18.42578125" customWidth="1"/>
  </cols>
  <sheetData>
    <row r="2" spans="1:15" ht="203.25" customHeight="1">
      <c r="A2" s="140" t="s">
        <v>380</v>
      </c>
      <c r="B2" s="140"/>
      <c r="C2" s="140"/>
      <c r="D2" s="140"/>
      <c r="E2" s="140"/>
      <c r="F2" s="140"/>
      <c r="G2" s="140"/>
      <c r="H2" s="140"/>
      <c r="I2" s="140"/>
      <c r="J2" s="140"/>
      <c r="K2" s="140"/>
      <c r="L2" s="140"/>
      <c r="M2" s="140"/>
      <c r="N2" s="140"/>
      <c r="O2" s="140"/>
    </row>
    <row r="4" spans="1:15">
      <c r="C4" t="s">
        <v>386</v>
      </c>
      <c r="D4" t="s">
        <v>334</v>
      </c>
      <c r="L4" t="s">
        <v>286</v>
      </c>
    </row>
    <row r="5" spans="1:15">
      <c r="A5" t="s">
        <v>381</v>
      </c>
      <c r="B5" t="s">
        <v>383</v>
      </c>
      <c r="C5">
        <v>22</v>
      </c>
      <c r="D5" s="14">
        <v>30</v>
      </c>
      <c r="F5" t="s">
        <v>339</v>
      </c>
      <c r="G5" t="s">
        <v>340</v>
      </c>
      <c r="H5" t="s">
        <v>337</v>
      </c>
      <c r="I5" t="s">
        <v>341</v>
      </c>
    </row>
    <row r="6" spans="1:15">
      <c r="A6" t="s">
        <v>381</v>
      </c>
      <c r="B6" t="s">
        <v>384</v>
      </c>
      <c r="C6">
        <v>14</v>
      </c>
      <c r="D6" s="14">
        <v>60</v>
      </c>
      <c r="F6" s="22" t="s">
        <v>387</v>
      </c>
      <c r="G6">
        <f>SUMIF($B$5:$B$10,B5,$D$5:$D$10)</f>
        <v>80</v>
      </c>
      <c r="H6" t="s">
        <v>298</v>
      </c>
      <c r="I6">
        <v>80</v>
      </c>
      <c r="L6" t="s">
        <v>392</v>
      </c>
      <c r="M6">
        <f>SUMPRODUCT(B13:B14,G12:G13)</f>
        <v>1290</v>
      </c>
    </row>
    <row r="7" spans="1:15">
      <c r="A7" t="s">
        <v>381</v>
      </c>
      <c r="B7" t="s">
        <v>385</v>
      </c>
      <c r="C7">
        <v>30</v>
      </c>
      <c r="D7" s="14">
        <v>0</v>
      </c>
      <c r="F7" s="22" t="s">
        <v>388</v>
      </c>
      <c r="G7">
        <f t="shared" ref="G7:G8" si="0">SUMIF($B$5:$B$10,B6,$D$5:$D$10)</f>
        <v>60</v>
      </c>
      <c r="H7" t="s">
        <v>298</v>
      </c>
      <c r="I7">
        <v>60</v>
      </c>
      <c r="L7" t="s">
        <v>393</v>
      </c>
      <c r="M7">
        <f>SUMPRODUCT(C5:C10,D5:D10)</f>
        <v>3980</v>
      </c>
    </row>
    <row r="8" spans="1:15">
      <c r="A8" t="s">
        <v>382</v>
      </c>
      <c r="B8" t="s">
        <v>383</v>
      </c>
      <c r="C8">
        <v>16</v>
      </c>
      <c r="D8" s="14">
        <v>50</v>
      </c>
      <c r="F8" s="22" t="s">
        <v>389</v>
      </c>
      <c r="G8">
        <f t="shared" si="0"/>
        <v>70</v>
      </c>
      <c r="H8" t="s">
        <v>298</v>
      </c>
      <c r="I8">
        <v>70</v>
      </c>
      <c r="L8" t="s">
        <v>330</v>
      </c>
      <c r="M8" s="92">
        <f>SUM(M6:M7)</f>
        <v>5270</v>
      </c>
    </row>
    <row r="9" spans="1:15">
      <c r="A9" t="s">
        <v>382</v>
      </c>
      <c r="B9" t="s">
        <v>384</v>
      </c>
      <c r="C9">
        <v>20</v>
      </c>
      <c r="D9" s="14">
        <v>0</v>
      </c>
    </row>
    <row r="10" spans="1:15">
      <c r="A10" t="s">
        <v>382</v>
      </c>
      <c r="B10" t="s">
        <v>385</v>
      </c>
      <c r="C10">
        <v>24</v>
      </c>
      <c r="D10" s="14">
        <v>70</v>
      </c>
    </row>
    <row r="12" spans="1:15">
      <c r="A12" t="s">
        <v>335</v>
      </c>
      <c r="B12" t="s">
        <v>336</v>
      </c>
      <c r="C12" t="s">
        <v>337</v>
      </c>
      <c r="D12" t="s">
        <v>338</v>
      </c>
      <c r="F12" t="s">
        <v>390</v>
      </c>
      <c r="G12">
        <v>6</v>
      </c>
    </row>
    <row r="13" spans="1:15">
      <c r="A13" s="22" t="s">
        <v>381</v>
      </c>
      <c r="B13">
        <f>SUMIF(A5:A10,A6,D5:D10)</f>
        <v>90</v>
      </c>
      <c r="C13" t="s">
        <v>201</v>
      </c>
      <c r="D13">
        <v>100</v>
      </c>
      <c r="F13" t="s">
        <v>391</v>
      </c>
      <c r="G13">
        <v>6.25</v>
      </c>
    </row>
    <row r="14" spans="1:15">
      <c r="A14" s="22" t="s">
        <v>382</v>
      </c>
      <c r="B14">
        <f>SUMIF(A5:A10,A9,D5:D10)</f>
        <v>120</v>
      </c>
      <c r="C14" t="s">
        <v>201</v>
      </c>
      <c r="D14">
        <v>120</v>
      </c>
    </row>
    <row r="15" spans="1:15">
      <c r="A15" s="22"/>
    </row>
  </sheetData>
  <mergeCells count="1">
    <mergeCell ref="A2:O2"/>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13"/>
  <sheetViews>
    <sheetView workbookViewId="0">
      <selection activeCell="E14" sqref="E14"/>
    </sheetView>
  </sheetViews>
  <sheetFormatPr defaultRowHeight="15"/>
  <sheetData>
    <row r="3" spans="1:12" ht="15" customHeight="1">
      <c r="A3" s="156" t="s">
        <v>394</v>
      </c>
      <c r="B3" s="157"/>
      <c r="C3" s="157"/>
      <c r="D3" s="158"/>
      <c r="F3" s="156" t="s">
        <v>394</v>
      </c>
      <c r="G3" s="157"/>
      <c r="H3" s="157"/>
      <c r="I3" s="158"/>
    </row>
    <row r="4" spans="1:12" ht="15" customHeight="1">
      <c r="A4" s="159"/>
      <c r="B4" s="160"/>
      <c r="C4" s="160"/>
      <c r="D4" s="161"/>
      <c r="F4" s="159"/>
      <c r="G4" s="160"/>
      <c r="H4" s="160"/>
      <c r="I4" s="161"/>
      <c r="J4" t="s">
        <v>396</v>
      </c>
    </row>
    <row r="5" spans="1:12" ht="15.75">
      <c r="A5" s="124" t="s">
        <v>395</v>
      </c>
      <c r="B5" s="124" t="s">
        <v>256</v>
      </c>
      <c r="C5" s="124" t="s">
        <v>257</v>
      </c>
      <c r="D5" s="49" t="s">
        <v>258</v>
      </c>
      <c r="F5" s="124" t="s">
        <v>395</v>
      </c>
      <c r="G5" s="124" t="s">
        <v>256</v>
      </c>
      <c r="H5" s="124" t="s">
        <v>257</v>
      </c>
      <c r="I5" s="49" t="s">
        <v>258</v>
      </c>
    </row>
    <row r="6" spans="1:12" ht="15.75">
      <c r="A6" s="124">
        <v>1</v>
      </c>
      <c r="B6" s="49">
        <v>5</v>
      </c>
      <c r="C6" s="49">
        <v>8</v>
      </c>
      <c r="D6" s="49">
        <v>6</v>
      </c>
      <c r="F6" s="124">
        <v>1</v>
      </c>
      <c r="G6" s="125">
        <v>0</v>
      </c>
      <c r="H6" s="125">
        <v>60</v>
      </c>
      <c r="I6" s="125">
        <v>0</v>
      </c>
      <c r="J6">
        <f>SUM(G6:I6)</f>
        <v>60</v>
      </c>
      <c r="K6" t="s">
        <v>201</v>
      </c>
      <c r="L6">
        <v>60</v>
      </c>
    </row>
    <row r="7" spans="1:12">
      <c r="A7" s="49">
        <v>2</v>
      </c>
      <c r="B7" s="49">
        <v>10</v>
      </c>
      <c r="C7" s="49">
        <v>9</v>
      </c>
      <c r="D7" s="49">
        <v>12</v>
      </c>
      <c r="F7" s="49">
        <v>2</v>
      </c>
      <c r="G7" s="125">
        <v>45</v>
      </c>
      <c r="H7" s="125">
        <v>30</v>
      </c>
      <c r="I7" s="125">
        <v>30</v>
      </c>
      <c r="J7">
        <f t="shared" ref="J7:J8" si="0">SUM(G7:I7)</f>
        <v>105</v>
      </c>
      <c r="K7" t="s">
        <v>201</v>
      </c>
      <c r="L7">
        <v>105</v>
      </c>
    </row>
    <row r="8" spans="1:12">
      <c r="A8" s="49">
        <v>3</v>
      </c>
      <c r="B8" s="49">
        <v>7</v>
      </c>
      <c r="C8" s="49">
        <v>6</v>
      </c>
      <c r="D8" s="49">
        <v>10</v>
      </c>
      <c r="F8" s="49">
        <v>3</v>
      </c>
      <c r="G8" s="125">
        <v>0</v>
      </c>
      <c r="H8" s="125">
        <v>0</v>
      </c>
      <c r="I8" s="125">
        <v>5</v>
      </c>
      <c r="J8">
        <f t="shared" si="0"/>
        <v>5</v>
      </c>
      <c r="K8" t="s">
        <v>201</v>
      </c>
      <c r="L8">
        <v>70</v>
      </c>
    </row>
    <row r="9" spans="1:12">
      <c r="A9" s="22"/>
      <c r="B9" s="22"/>
      <c r="C9" s="22"/>
      <c r="D9" s="22"/>
      <c r="G9">
        <f>SUM(G6:G8)</f>
        <v>45</v>
      </c>
      <c r="H9">
        <f t="shared" ref="H9:I9" si="1">SUM(H6:H8)</f>
        <v>90</v>
      </c>
      <c r="I9">
        <f t="shared" si="1"/>
        <v>35</v>
      </c>
    </row>
    <row r="10" spans="1:12">
      <c r="G10" t="s">
        <v>298</v>
      </c>
      <c r="H10" t="s">
        <v>298</v>
      </c>
      <c r="I10" t="s">
        <v>298</v>
      </c>
    </row>
    <row r="11" spans="1:12">
      <c r="B11" s="136" t="s">
        <v>397</v>
      </c>
      <c r="C11" s="136"/>
      <c r="G11">
        <v>45</v>
      </c>
      <c r="H11">
        <v>90</v>
      </c>
      <c r="I11">
        <v>35</v>
      </c>
    </row>
    <row r="13" spans="1:12">
      <c r="B13" s="136" t="s">
        <v>398</v>
      </c>
      <c r="C13" s="136"/>
      <c r="D13" s="136"/>
      <c r="E13">
        <f>SUMPRODUCT(B6:D8,G6:I8)</f>
        <v>1610</v>
      </c>
    </row>
  </sheetData>
  <mergeCells count="4">
    <mergeCell ref="F3:I4"/>
    <mergeCell ref="A3:D4"/>
    <mergeCell ref="B13:D13"/>
    <mergeCell ref="B11:C11"/>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19"/>
  <sheetViews>
    <sheetView topLeftCell="A3" zoomScaleNormal="100" workbookViewId="0">
      <selection activeCell="B11" sqref="B11"/>
    </sheetView>
  </sheetViews>
  <sheetFormatPr defaultRowHeight="15"/>
  <cols>
    <col min="1" max="1" width="27.5703125" customWidth="1"/>
  </cols>
  <sheetData>
    <row r="2" spans="1:14" ht="105" customHeight="1">
      <c r="A2" s="140" t="s">
        <v>399</v>
      </c>
      <c r="B2" s="140"/>
      <c r="C2" s="140"/>
      <c r="D2" s="140"/>
      <c r="E2" s="140"/>
      <c r="F2" s="140"/>
      <c r="G2" s="140"/>
      <c r="H2" s="140"/>
      <c r="I2" s="140"/>
      <c r="J2" s="140"/>
      <c r="K2" s="140"/>
      <c r="L2" s="140"/>
      <c r="M2" s="140"/>
      <c r="N2" s="140"/>
    </row>
    <row r="4" spans="1:14">
      <c r="A4" s="136" t="s">
        <v>400</v>
      </c>
      <c r="B4" s="136"/>
    </row>
    <row r="6" spans="1:14">
      <c r="B6" t="s">
        <v>401</v>
      </c>
      <c r="C6" t="s">
        <v>402</v>
      </c>
    </row>
    <row r="7" spans="1:14">
      <c r="A7" t="s">
        <v>300</v>
      </c>
      <c r="B7" s="14">
        <v>4</v>
      </c>
      <c r="C7" s="14">
        <v>1</v>
      </c>
    </row>
    <row r="8" spans="1:14">
      <c r="B8">
        <v>8200</v>
      </c>
      <c r="C8">
        <v>5100</v>
      </c>
    </row>
    <row r="10" spans="1:14">
      <c r="A10" t="s">
        <v>195</v>
      </c>
    </row>
    <row r="11" spans="1:14">
      <c r="A11" t="s">
        <v>403</v>
      </c>
      <c r="B11" s="92">
        <f>SUMPRODUCT(B7:C7,B8:C8)</f>
        <v>37900</v>
      </c>
    </row>
    <row r="15" spans="1:14">
      <c r="A15" s="22" t="s">
        <v>216</v>
      </c>
      <c r="B15" s="22"/>
      <c r="C15" s="22"/>
      <c r="D15" s="22" t="s">
        <v>197</v>
      </c>
      <c r="E15" s="22" t="s">
        <v>199</v>
      </c>
      <c r="F15" s="22" t="s">
        <v>198</v>
      </c>
    </row>
    <row r="16" spans="1:14">
      <c r="A16" s="22" t="s">
        <v>404</v>
      </c>
      <c r="B16" s="22">
        <v>1</v>
      </c>
      <c r="C16" s="22"/>
      <c r="D16" s="22">
        <f>SUMPRODUCT(B16:C16,B7:C7)</f>
        <v>4</v>
      </c>
      <c r="E16" s="22" t="s">
        <v>206</v>
      </c>
      <c r="F16" s="22">
        <v>2</v>
      </c>
    </row>
    <row r="17" spans="1:6">
      <c r="A17" s="22" t="s">
        <v>405</v>
      </c>
      <c r="B17" s="22"/>
      <c r="C17" s="22">
        <v>1</v>
      </c>
      <c r="D17" s="22">
        <f>SUMPRODUCT(B17:C17,B7:C7)</f>
        <v>1</v>
      </c>
      <c r="E17" s="22" t="s">
        <v>201</v>
      </c>
      <c r="F17" s="22">
        <v>6</v>
      </c>
    </row>
    <row r="18" spans="1:6">
      <c r="A18" s="22" t="s">
        <v>0</v>
      </c>
      <c r="B18" s="22">
        <v>390</v>
      </c>
      <c r="C18" s="22">
        <v>240</v>
      </c>
      <c r="D18" s="22">
        <f>SUMPRODUCT(B18:C18,B7:C7)</f>
        <v>1800</v>
      </c>
      <c r="E18" s="22" t="s">
        <v>201</v>
      </c>
      <c r="F18" s="22">
        <v>1800</v>
      </c>
    </row>
    <row r="19" spans="1:6">
      <c r="A19" s="22"/>
      <c r="B19" s="22"/>
      <c r="C19" s="22"/>
      <c r="D19" s="22"/>
      <c r="E19" s="22"/>
      <c r="F19" s="22"/>
    </row>
  </sheetData>
  <mergeCells count="2">
    <mergeCell ref="A2:N2"/>
    <mergeCell ref="A4:B4"/>
  </mergeCell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23"/>
  <sheetViews>
    <sheetView topLeftCell="A7" zoomScaleNormal="100" workbookViewId="0">
      <selection activeCell="A15" sqref="A15:F18"/>
    </sheetView>
  </sheetViews>
  <sheetFormatPr defaultRowHeight="15"/>
  <cols>
    <col min="1" max="1" width="20.28515625" customWidth="1"/>
    <col min="2" max="2" width="11.5703125" customWidth="1"/>
    <col min="3" max="3" width="14" customWidth="1"/>
    <col min="4" max="4" width="14.7109375" customWidth="1"/>
  </cols>
  <sheetData>
    <row r="2" spans="1:15" ht="111.75" customHeight="1">
      <c r="A2" s="140" t="s">
        <v>406</v>
      </c>
      <c r="B2" s="140"/>
      <c r="C2" s="140"/>
      <c r="D2" s="140"/>
      <c r="E2" s="140"/>
      <c r="F2" s="140"/>
      <c r="G2" s="140"/>
      <c r="H2" s="140"/>
      <c r="I2" s="140"/>
      <c r="J2" s="140"/>
      <c r="K2" s="140"/>
      <c r="L2" s="140"/>
      <c r="M2" s="140"/>
      <c r="N2" s="140"/>
      <c r="O2" s="140"/>
    </row>
    <row r="4" spans="1:15" ht="45">
      <c r="A4" s="16" t="s">
        <v>407</v>
      </c>
      <c r="B4" s="16" t="s">
        <v>408</v>
      </c>
      <c r="C4" s="16" t="s">
        <v>409</v>
      </c>
      <c r="D4" s="16" t="s">
        <v>410</v>
      </c>
    </row>
    <row r="5" spans="1:15">
      <c r="A5" s="17" t="s">
        <v>256</v>
      </c>
      <c r="B5" s="17">
        <v>30</v>
      </c>
      <c r="C5" s="17">
        <v>0.5</v>
      </c>
      <c r="D5" s="17">
        <v>2000</v>
      </c>
    </row>
    <row r="6" spans="1:15">
      <c r="A6" s="17" t="s">
        <v>257</v>
      </c>
      <c r="B6" s="17">
        <v>18</v>
      </c>
      <c r="C6" s="17">
        <v>0.4</v>
      </c>
      <c r="D6" s="17">
        <v>800</v>
      </c>
    </row>
    <row r="7" spans="1:15">
      <c r="A7" s="17" t="s">
        <v>258</v>
      </c>
      <c r="B7" s="17">
        <v>2</v>
      </c>
      <c r="C7" s="17">
        <v>0.1</v>
      </c>
      <c r="D7" s="17">
        <v>200</v>
      </c>
    </row>
    <row r="9" spans="1:15">
      <c r="B9" t="s">
        <v>411</v>
      </c>
      <c r="C9" t="s">
        <v>412</v>
      </c>
    </row>
    <row r="10" spans="1:15" ht="15" customHeight="1">
      <c r="A10" s="162" t="s">
        <v>300</v>
      </c>
      <c r="B10" s="14">
        <v>44</v>
      </c>
      <c r="C10" s="163">
        <v>20</v>
      </c>
    </row>
    <row r="11" spans="1:15">
      <c r="B11">
        <v>85</v>
      </c>
      <c r="C11">
        <v>1.5</v>
      </c>
    </row>
    <row r="12" spans="1:15">
      <c r="A12" t="s">
        <v>195</v>
      </c>
    </row>
    <row r="13" spans="1:15">
      <c r="A13" t="s">
        <v>120</v>
      </c>
      <c r="B13" s="92">
        <f>SUMPRODUCT(B10:C10,B11:C11)</f>
        <v>3770</v>
      </c>
    </row>
    <row r="15" spans="1:15">
      <c r="A15" s="22" t="s">
        <v>289</v>
      </c>
      <c r="B15" s="22"/>
      <c r="C15" s="22"/>
      <c r="D15" s="22" t="s">
        <v>197</v>
      </c>
      <c r="E15" s="22" t="s">
        <v>199</v>
      </c>
      <c r="F15" s="22" t="s">
        <v>198</v>
      </c>
    </row>
    <row r="16" spans="1:15">
      <c r="A16" s="22" t="s">
        <v>256</v>
      </c>
      <c r="B16" s="17">
        <v>30</v>
      </c>
      <c r="C16" s="17">
        <v>0.5</v>
      </c>
      <c r="D16" s="22">
        <f>SUMPRODUCT($B$10:$C$10,B16:C16)</f>
        <v>1330</v>
      </c>
      <c r="E16" s="22" t="s">
        <v>201</v>
      </c>
      <c r="F16" s="17">
        <v>2000</v>
      </c>
    </row>
    <row r="17" spans="1:6">
      <c r="A17" s="22" t="s">
        <v>257</v>
      </c>
      <c r="B17" s="17">
        <v>18</v>
      </c>
      <c r="C17" s="17">
        <v>0.4</v>
      </c>
      <c r="D17" s="22">
        <f t="shared" ref="D17:D18" si="0">SUMPRODUCT($B$10:$C$10,B17:C17)</f>
        <v>800</v>
      </c>
      <c r="E17" s="22" t="s">
        <v>201</v>
      </c>
      <c r="F17" s="17">
        <v>800</v>
      </c>
    </row>
    <row r="18" spans="1:6">
      <c r="A18" s="22" t="s">
        <v>258</v>
      </c>
      <c r="B18" s="17">
        <v>2</v>
      </c>
      <c r="C18" s="17">
        <v>0.1</v>
      </c>
      <c r="D18" s="22">
        <f t="shared" si="0"/>
        <v>90</v>
      </c>
      <c r="E18" s="22" t="s">
        <v>201</v>
      </c>
      <c r="F18" s="17">
        <v>200</v>
      </c>
    </row>
    <row r="19" spans="1:6">
      <c r="A19" s="89"/>
      <c r="B19" s="89"/>
      <c r="C19" s="89"/>
      <c r="D19" s="89"/>
      <c r="E19" s="89"/>
      <c r="F19" s="89"/>
    </row>
    <row r="20" spans="1:6">
      <c r="A20" s="89"/>
      <c r="B20" s="89"/>
      <c r="C20" s="89"/>
      <c r="D20" s="89"/>
      <c r="E20" s="89"/>
      <c r="F20" s="89"/>
    </row>
    <row r="21" spans="1:6">
      <c r="A21" s="89"/>
      <c r="B21" s="89"/>
      <c r="C21" s="89"/>
      <c r="D21" s="89"/>
      <c r="E21" s="89"/>
      <c r="F21" s="89"/>
    </row>
    <row r="22" spans="1:6">
      <c r="A22" s="89"/>
      <c r="B22" s="89"/>
      <c r="C22" s="89"/>
      <c r="D22" s="89"/>
      <c r="E22" s="89"/>
      <c r="F22" s="89"/>
    </row>
    <row r="23" spans="1:6">
      <c r="A23" s="89"/>
      <c r="B23" s="89"/>
      <c r="C23" s="89"/>
      <c r="D23" s="89"/>
      <c r="E23" s="89"/>
      <c r="F23" s="89"/>
    </row>
  </sheetData>
  <mergeCells count="1">
    <mergeCell ref="A2:O2"/>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17"/>
  <sheetViews>
    <sheetView topLeftCell="A3" zoomScaleNormal="100" workbookViewId="0">
      <selection activeCell="B10" sqref="B10"/>
    </sheetView>
  </sheetViews>
  <sheetFormatPr defaultRowHeight="15"/>
  <cols>
    <col min="1" max="1" width="17.42578125" customWidth="1"/>
    <col min="2" max="2" width="11.140625" customWidth="1"/>
    <col min="3" max="3" width="10.5703125" customWidth="1"/>
  </cols>
  <sheetData>
    <row r="3" spans="1:15" ht="165.75" customHeight="1">
      <c r="A3" s="140" t="s">
        <v>413</v>
      </c>
      <c r="B3" s="140"/>
      <c r="C3" s="140"/>
      <c r="D3" s="140"/>
      <c r="E3" s="140"/>
      <c r="F3" s="140"/>
      <c r="G3" s="140"/>
      <c r="H3" s="140"/>
      <c r="I3" s="140"/>
      <c r="J3" s="140"/>
      <c r="K3" s="140"/>
      <c r="L3" s="140"/>
      <c r="M3" s="140"/>
      <c r="N3" s="140"/>
      <c r="O3" s="140"/>
    </row>
    <row r="5" spans="1:15">
      <c r="B5" s="164" t="s">
        <v>414</v>
      </c>
      <c r="C5" t="s">
        <v>415</v>
      </c>
    </row>
    <row r="6" spans="1:15">
      <c r="A6" t="s">
        <v>300</v>
      </c>
      <c r="B6" s="14">
        <v>2</v>
      </c>
      <c r="C6" s="14">
        <v>6</v>
      </c>
    </row>
    <row r="7" spans="1:15">
      <c r="B7">
        <v>5</v>
      </c>
      <c r="C7">
        <v>7</v>
      </c>
    </row>
    <row r="9" spans="1:15">
      <c r="A9" t="s">
        <v>195</v>
      </c>
    </row>
    <row r="10" spans="1:15">
      <c r="A10" t="s">
        <v>73</v>
      </c>
      <c r="B10" s="92">
        <f>SUMPRODUCT(B6:C6,B7:C7)</f>
        <v>52</v>
      </c>
    </row>
    <row r="12" spans="1:15">
      <c r="A12" s="22" t="s">
        <v>289</v>
      </c>
      <c r="B12" s="22"/>
      <c r="C12" s="22"/>
      <c r="D12" s="22" t="s">
        <v>197</v>
      </c>
      <c r="E12" s="22" t="s">
        <v>199</v>
      </c>
      <c r="F12" s="22" t="s">
        <v>198</v>
      </c>
    </row>
    <row r="13" spans="1:15">
      <c r="A13" s="22" t="s">
        <v>416</v>
      </c>
      <c r="B13" s="22">
        <v>1</v>
      </c>
      <c r="C13" s="22"/>
      <c r="D13" s="22">
        <f>SUMPRODUCT($B$6:$C$6,B13:C13)</f>
        <v>2</v>
      </c>
      <c r="E13" s="22" t="s">
        <v>201</v>
      </c>
      <c r="F13" s="22">
        <v>4</v>
      </c>
    </row>
    <row r="14" spans="1:15">
      <c r="A14" s="22" t="s">
        <v>417</v>
      </c>
      <c r="B14" s="22"/>
      <c r="C14" s="22">
        <v>1</v>
      </c>
      <c r="D14" s="22">
        <f>SUMPRODUCT($B$6:$C$6,B14:C14)</f>
        <v>6</v>
      </c>
      <c r="E14" s="22" t="s">
        <v>201</v>
      </c>
      <c r="F14" s="22">
        <v>6</v>
      </c>
    </row>
    <row r="15" spans="1:15">
      <c r="A15" s="22" t="s">
        <v>418</v>
      </c>
      <c r="B15" s="22">
        <v>3</v>
      </c>
      <c r="C15" s="22">
        <v>1.5</v>
      </c>
      <c r="D15" s="22">
        <f>SUMPRODUCT($B$6:$C$6,B15:C15)</f>
        <v>15</v>
      </c>
      <c r="E15" s="22" t="s">
        <v>201</v>
      </c>
      <c r="F15" s="22">
        <v>15</v>
      </c>
    </row>
    <row r="16" spans="1:15">
      <c r="A16" s="22"/>
      <c r="B16" s="22"/>
      <c r="C16" s="22"/>
      <c r="D16" s="22"/>
      <c r="E16" s="22"/>
      <c r="F16" s="22"/>
    </row>
    <row r="17" spans="1:6">
      <c r="A17" s="22"/>
      <c r="B17" s="22"/>
      <c r="C17" s="22"/>
      <c r="D17" s="22"/>
      <c r="E17" s="22"/>
      <c r="F17" s="22"/>
    </row>
  </sheetData>
  <mergeCells count="1">
    <mergeCell ref="A3:O3"/>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7"/>
  <sheetViews>
    <sheetView zoomScaleNormal="100" workbookViewId="0">
      <selection activeCell="M15" sqref="M15"/>
    </sheetView>
  </sheetViews>
  <sheetFormatPr defaultRowHeight="15"/>
  <cols>
    <col min="1" max="1" width="21.7109375" customWidth="1"/>
    <col min="2" max="2" width="33" customWidth="1"/>
    <col min="3" max="3" width="33.140625" customWidth="1"/>
    <col min="5" max="5" width="18.140625" customWidth="1"/>
    <col min="6" max="12" width="5.28515625" customWidth="1"/>
  </cols>
  <sheetData>
    <row r="2" spans="1:15" ht="105.75" customHeight="1">
      <c r="A2" s="140" t="s">
        <v>429</v>
      </c>
      <c r="B2" s="140"/>
      <c r="C2" s="140"/>
      <c r="D2" s="140"/>
      <c r="E2" s="140"/>
      <c r="F2" s="140"/>
      <c r="G2" s="140"/>
      <c r="H2" s="140"/>
      <c r="I2" s="140"/>
      <c r="J2" s="140"/>
      <c r="K2" s="140"/>
      <c r="L2" s="140"/>
      <c r="M2" s="140"/>
    </row>
    <row r="4" spans="1:15" ht="15" customHeight="1">
      <c r="A4" s="16" t="s">
        <v>419</v>
      </c>
      <c r="B4" s="16" t="s">
        <v>420</v>
      </c>
      <c r="C4" s="16" t="s">
        <v>421</v>
      </c>
      <c r="E4" s="16" t="s">
        <v>430</v>
      </c>
      <c r="F4" s="22" t="s">
        <v>242</v>
      </c>
      <c r="G4" s="22" t="s">
        <v>243</v>
      </c>
      <c r="H4" s="22" t="s">
        <v>244</v>
      </c>
      <c r="I4" s="22" t="s">
        <v>245</v>
      </c>
      <c r="J4" s="22" t="s">
        <v>246</v>
      </c>
      <c r="K4" s="22" t="s">
        <v>431</v>
      </c>
      <c r="L4" s="22" t="s">
        <v>432</v>
      </c>
    </row>
    <row r="5" spans="1:15" ht="15" customHeight="1">
      <c r="A5" s="17" t="s">
        <v>422</v>
      </c>
      <c r="B5" s="17">
        <v>50</v>
      </c>
      <c r="C5" s="17">
        <v>480</v>
      </c>
      <c r="E5" s="22" t="s">
        <v>433</v>
      </c>
      <c r="F5" s="112">
        <v>0</v>
      </c>
      <c r="G5" s="112">
        <v>0</v>
      </c>
      <c r="H5" s="112">
        <v>1</v>
      </c>
      <c r="I5" s="112">
        <v>1</v>
      </c>
      <c r="J5" s="112">
        <v>1</v>
      </c>
      <c r="K5" s="112">
        <v>1</v>
      </c>
      <c r="L5" s="112">
        <v>0</v>
      </c>
    </row>
    <row r="6" spans="1:15" ht="15" customHeight="1">
      <c r="A6" s="17" t="s">
        <v>423</v>
      </c>
      <c r="B6" s="17">
        <v>80</v>
      </c>
      <c r="C6" s="17">
        <v>540</v>
      </c>
      <c r="F6">
        <v>50</v>
      </c>
      <c r="G6">
        <v>80</v>
      </c>
      <c r="H6">
        <v>90</v>
      </c>
      <c r="I6">
        <v>120</v>
      </c>
      <c r="J6">
        <v>110</v>
      </c>
      <c r="K6">
        <v>40</v>
      </c>
      <c r="L6">
        <v>75</v>
      </c>
    </row>
    <row r="7" spans="1:15" ht="15" customHeight="1">
      <c r="A7" s="17" t="s">
        <v>428</v>
      </c>
      <c r="B7" s="17">
        <v>90</v>
      </c>
      <c r="C7" s="17">
        <v>680</v>
      </c>
    </row>
    <row r="8" spans="1:15" ht="15" customHeight="1">
      <c r="A8" s="17" t="s">
        <v>424</v>
      </c>
      <c r="B8" s="17">
        <v>120</v>
      </c>
      <c r="C8" s="17">
        <v>1000</v>
      </c>
      <c r="E8" s="37" t="s">
        <v>195</v>
      </c>
      <c r="F8" s="148"/>
      <c r="G8" s="148"/>
      <c r="H8" s="148"/>
      <c r="I8" s="148"/>
    </row>
    <row r="9" spans="1:15" ht="15" customHeight="1">
      <c r="A9" s="17" t="s">
        <v>425</v>
      </c>
      <c r="B9" s="17">
        <v>110</v>
      </c>
      <c r="C9" s="17">
        <v>700</v>
      </c>
      <c r="E9" s="22" t="s">
        <v>434</v>
      </c>
      <c r="F9" s="165">
        <f>SUMPRODUCT(F5:L5,F6:L6)</f>
        <v>360</v>
      </c>
      <c r="G9" s="165"/>
      <c r="H9" s="165"/>
      <c r="I9" s="165"/>
      <c r="J9" t="s">
        <v>435</v>
      </c>
    </row>
    <row r="10" spans="1:15" ht="15" customHeight="1">
      <c r="A10" s="17" t="s">
        <v>426</v>
      </c>
      <c r="B10" s="17">
        <v>40</v>
      </c>
      <c r="C10" s="17">
        <v>510</v>
      </c>
    </row>
    <row r="11" spans="1:15" ht="15" customHeight="1">
      <c r="A11" s="17" t="s">
        <v>427</v>
      </c>
      <c r="B11" s="17">
        <v>75</v>
      </c>
      <c r="C11" s="17">
        <v>900</v>
      </c>
      <c r="E11" s="22" t="s">
        <v>289</v>
      </c>
      <c r="F11" s="22"/>
      <c r="G11" s="22"/>
      <c r="H11" s="22"/>
      <c r="I11" s="22"/>
      <c r="J11" s="22"/>
      <c r="K11" s="22"/>
      <c r="L11" s="22"/>
      <c r="M11" s="22" t="s">
        <v>197</v>
      </c>
      <c r="N11" s="22" t="s">
        <v>199</v>
      </c>
      <c r="O11" s="22" t="s">
        <v>198</v>
      </c>
    </row>
    <row r="12" spans="1:15">
      <c r="E12" s="22" t="s">
        <v>436</v>
      </c>
      <c r="F12" s="22">
        <v>1</v>
      </c>
      <c r="G12" s="22"/>
      <c r="H12" s="22"/>
      <c r="I12" s="22">
        <v>1</v>
      </c>
      <c r="J12" s="22">
        <v>1</v>
      </c>
      <c r="K12" s="22"/>
      <c r="L12" s="22"/>
      <c r="M12" s="22">
        <f>SUMPRODUCT($F$5:$L$5,F12:L12)</f>
        <v>2</v>
      </c>
      <c r="N12" s="22" t="s">
        <v>206</v>
      </c>
      <c r="O12" s="22">
        <v>2</v>
      </c>
    </row>
    <row r="13" spans="1:15">
      <c r="A13" s="162"/>
      <c r="E13" s="22" t="s">
        <v>437</v>
      </c>
      <c r="F13" s="22"/>
      <c r="G13" s="22">
        <v>1</v>
      </c>
      <c r="H13" s="22">
        <v>1</v>
      </c>
      <c r="I13" s="22"/>
      <c r="J13" s="22"/>
      <c r="K13" s="22"/>
      <c r="L13" s="22"/>
      <c r="M13" s="22">
        <f>SUMPRODUCT($F$5:$L$5,F13:L13)</f>
        <v>1</v>
      </c>
      <c r="N13" s="22" t="s">
        <v>201</v>
      </c>
      <c r="O13" s="22">
        <v>1</v>
      </c>
    </row>
    <row r="14" spans="1:15">
      <c r="E14" s="22" t="s">
        <v>438</v>
      </c>
      <c r="F14" s="22"/>
      <c r="G14" s="22"/>
      <c r="H14" s="22"/>
      <c r="I14" s="22"/>
      <c r="J14" s="22"/>
      <c r="K14" s="22">
        <v>1</v>
      </c>
      <c r="L14" s="22">
        <v>1</v>
      </c>
      <c r="M14" s="22">
        <f>SUMPRODUCT($F$5:$L$5,F14:L14)</f>
        <v>1</v>
      </c>
      <c r="N14" s="22" t="s">
        <v>298</v>
      </c>
      <c r="O14" s="22">
        <v>1</v>
      </c>
    </row>
    <row r="15" spans="1:15">
      <c r="E15" s="22" t="s">
        <v>0</v>
      </c>
      <c r="F15" s="22">
        <v>480</v>
      </c>
      <c r="G15" s="22">
        <v>540</v>
      </c>
      <c r="H15" s="22">
        <v>680</v>
      </c>
      <c r="I15" s="22">
        <v>1000</v>
      </c>
      <c r="J15" s="22">
        <v>700</v>
      </c>
      <c r="K15" s="22">
        <v>510</v>
      </c>
      <c r="L15" s="22">
        <v>900</v>
      </c>
      <c r="M15" s="22">
        <f>SUMPRODUCT($F$5:$L$5,F15:L15)</f>
        <v>2890</v>
      </c>
      <c r="N15" s="22" t="s">
        <v>201</v>
      </c>
      <c r="O15" s="22">
        <v>3000</v>
      </c>
    </row>
    <row r="16" spans="1:15">
      <c r="E16" s="22"/>
      <c r="F16" s="22"/>
      <c r="G16" s="22"/>
      <c r="H16" s="22"/>
      <c r="I16" s="22"/>
      <c r="J16" s="22"/>
      <c r="K16" s="22"/>
      <c r="L16" s="22"/>
      <c r="M16" s="22"/>
      <c r="N16" s="22"/>
      <c r="O16" s="22"/>
    </row>
    <row r="17" spans="5:15">
      <c r="E17" s="22"/>
      <c r="F17" s="22"/>
      <c r="G17" s="22"/>
      <c r="H17" s="22"/>
      <c r="I17" s="22"/>
      <c r="J17" s="22"/>
      <c r="K17" s="22"/>
      <c r="L17" s="22"/>
      <c r="M17" s="22"/>
      <c r="N17" s="22"/>
      <c r="O17" s="22"/>
    </row>
  </sheetData>
  <mergeCells count="3">
    <mergeCell ref="A2:M2"/>
    <mergeCell ref="F8:I8"/>
    <mergeCell ref="F9:I9"/>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28"/>
  <sheetViews>
    <sheetView topLeftCell="A4" zoomScaleNormal="100" workbookViewId="0">
      <selection activeCell="B18" sqref="B18"/>
    </sheetView>
  </sheetViews>
  <sheetFormatPr defaultRowHeight="15"/>
  <cols>
    <col min="1" max="1" width="21.5703125" customWidth="1"/>
    <col min="2" max="2" width="17.7109375" customWidth="1"/>
  </cols>
  <sheetData>
    <row r="3" spans="1:12" ht="149.25" customHeight="1">
      <c r="A3" s="140" t="s">
        <v>439</v>
      </c>
      <c r="B3" s="140"/>
      <c r="C3" s="140"/>
      <c r="D3" s="140"/>
      <c r="E3" s="140"/>
      <c r="F3" s="140"/>
      <c r="G3" s="140"/>
      <c r="H3" s="140"/>
      <c r="I3" s="140"/>
      <c r="J3" s="140"/>
      <c r="K3" s="140"/>
      <c r="L3" s="140"/>
    </row>
    <row r="5" spans="1:12" ht="15" customHeight="1">
      <c r="A5" s="124" t="s">
        <v>440</v>
      </c>
      <c r="B5" s="124" t="s">
        <v>441</v>
      </c>
    </row>
    <row r="6" spans="1:12">
      <c r="A6" s="49" t="s">
        <v>442</v>
      </c>
      <c r="B6" s="49" t="s">
        <v>443</v>
      </c>
    </row>
    <row r="7" spans="1:12">
      <c r="A7" s="49" t="s">
        <v>444</v>
      </c>
      <c r="B7" s="49" t="s">
        <v>445</v>
      </c>
    </row>
    <row r="8" spans="1:12" ht="15" customHeight="1">
      <c r="A8" s="49" t="s">
        <v>446</v>
      </c>
      <c r="B8" s="49" t="s">
        <v>447</v>
      </c>
    </row>
    <row r="9" spans="1:12">
      <c r="A9" s="49" t="s">
        <v>448</v>
      </c>
      <c r="B9" s="49" t="s">
        <v>449</v>
      </c>
    </row>
    <row r="10" spans="1:12">
      <c r="A10" s="49" t="s">
        <v>450</v>
      </c>
      <c r="B10" s="49" t="s">
        <v>451</v>
      </c>
    </row>
    <row r="11" spans="1:12">
      <c r="A11" s="49" t="s">
        <v>452</v>
      </c>
      <c r="B11" s="49" t="s">
        <v>453</v>
      </c>
    </row>
    <row r="13" spans="1:12">
      <c r="A13" s="49" t="s">
        <v>300</v>
      </c>
      <c r="B13" s="49" t="s">
        <v>454</v>
      </c>
      <c r="C13" s="22" t="s">
        <v>455</v>
      </c>
      <c r="D13" s="49" t="s">
        <v>456</v>
      </c>
      <c r="E13" s="22" t="s">
        <v>457</v>
      </c>
      <c r="F13" s="49" t="s">
        <v>458</v>
      </c>
      <c r="G13" s="22" t="s">
        <v>459</v>
      </c>
      <c r="H13" s="166"/>
    </row>
    <row r="14" spans="1:12">
      <c r="A14" s="22"/>
      <c r="B14" s="112">
        <v>1</v>
      </c>
      <c r="C14" s="112">
        <v>1</v>
      </c>
      <c r="D14" s="112">
        <v>0</v>
      </c>
      <c r="E14" s="112">
        <v>1</v>
      </c>
      <c r="F14" s="112">
        <v>0</v>
      </c>
      <c r="G14" s="112">
        <v>0</v>
      </c>
    </row>
    <row r="15" spans="1:12">
      <c r="B15" t="s">
        <v>460</v>
      </c>
      <c r="C15" t="s">
        <v>461</v>
      </c>
      <c r="D15" t="s">
        <v>462</v>
      </c>
      <c r="E15" t="s">
        <v>463</v>
      </c>
      <c r="F15" t="s">
        <v>464</v>
      </c>
      <c r="G15" t="s">
        <v>465</v>
      </c>
    </row>
    <row r="17" spans="1:10">
      <c r="A17" t="s">
        <v>286</v>
      </c>
    </row>
    <row r="18" spans="1:10">
      <c r="A18" t="s">
        <v>466</v>
      </c>
      <c r="B18" s="92">
        <f>SUM(B14:G14)</f>
        <v>3</v>
      </c>
    </row>
    <row r="20" spans="1:10">
      <c r="A20" s="22" t="s">
        <v>289</v>
      </c>
      <c r="B20" s="22"/>
      <c r="C20" s="22"/>
      <c r="D20" s="22"/>
      <c r="E20" s="22"/>
      <c r="F20" s="22"/>
      <c r="G20" s="22"/>
      <c r="H20" s="22" t="s">
        <v>197</v>
      </c>
      <c r="I20" s="22" t="s">
        <v>199</v>
      </c>
      <c r="J20" s="22" t="s">
        <v>198</v>
      </c>
    </row>
    <row r="21" spans="1:10">
      <c r="A21" s="22" t="s">
        <v>256</v>
      </c>
      <c r="B21" s="22">
        <v>1</v>
      </c>
      <c r="C21" s="22"/>
      <c r="D21" s="22"/>
      <c r="E21" s="22"/>
      <c r="F21" s="22"/>
      <c r="G21" s="22">
        <v>1</v>
      </c>
      <c r="H21" s="22">
        <f>SUMPRODUCT($B$14:$G$14,B21:G21)</f>
        <v>1</v>
      </c>
      <c r="I21" s="22" t="s">
        <v>206</v>
      </c>
      <c r="J21" s="22">
        <v>1</v>
      </c>
    </row>
    <row r="22" spans="1:10">
      <c r="A22" s="22" t="s">
        <v>257</v>
      </c>
      <c r="B22" s="22"/>
      <c r="C22" s="22">
        <v>1</v>
      </c>
      <c r="D22" s="22">
        <v>1</v>
      </c>
      <c r="E22" s="22"/>
      <c r="F22" s="22"/>
      <c r="G22" s="22"/>
      <c r="H22" s="22">
        <f t="shared" ref="H22:H28" si="0">SUMPRODUCT($B$14:$G$14,B22:G22)</f>
        <v>1</v>
      </c>
      <c r="I22" s="22" t="s">
        <v>206</v>
      </c>
      <c r="J22" s="22">
        <v>1</v>
      </c>
    </row>
    <row r="23" spans="1:10">
      <c r="A23" s="22" t="s">
        <v>258</v>
      </c>
      <c r="B23" s="22">
        <v>1</v>
      </c>
      <c r="C23" s="22"/>
      <c r="D23" s="22">
        <v>1</v>
      </c>
      <c r="E23" s="22"/>
      <c r="F23" s="22"/>
      <c r="G23" s="22"/>
      <c r="H23" s="22">
        <f t="shared" si="0"/>
        <v>1</v>
      </c>
      <c r="I23" s="22" t="s">
        <v>206</v>
      </c>
      <c r="J23" s="22">
        <v>1</v>
      </c>
    </row>
    <row r="24" spans="1:10">
      <c r="A24" s="22" t="s">
        <v>259</v>
      </c>
      <c r="B24" s="22">
        <v>1</v>
      </c>
      <c r="C24" s="22">
        <v>1</v>
      </c>
      <c r="D24" s="22"/>
      <c r="E24" s="22"/>
      <c r="F24" s="22">
        <v>1</v>
      </c>
      <c r="G24" s="22">
        <v>1</v>
      </c>
      <c r="H24" s="22">
        <f t="shared" si="0"/>
        <v>2</v>
      </c>
      <c r="I24" s="22" t="s">
        <v>206</v>
      </c>
      <c r="J24" s="22">
        <v>1</v>
      </c>
    </row>
    <row r="25" spans="1:10">
      <c r="A25" s="22" t="s">
        <v>260</v>
      </c>
      <c r="B25" s="22"/>
      <c r="C25" s="22"/>
      <c r="D25" s="22">
        <v>1</v>
      </c>
      <c r="E25" s="22">
        <v>1</v>
      </c>
      <c r="F25" s="22"/>
      <c r="G25" s="22"/>
      <c r="H25" s="22">
        <f t="shared" si="0"/>
        <v>1</v>
      </c>
      <c r="I25" s="22" t="s">
        <v>206</v>
      </c>
      <c r="J25" s="22">
        <v>1</v>
      </c>
    </row>
    <row r="26" spans="1:10">
      <c r="A26" s="22" t="s">
        <v>467</v>
      </c>
      <c r="B26" s="22"/>
      <c r="C26" s="22"/>
      <c r="D26" s="22">
        <v>1</v>
      </c>
      <c r="E26" s="22">
        <v>1</v>
      </c>
      <c r="F26" s="22"/>
      <c r="G26" s="22"/>
      <c r="H26" s="22">
        <f t="shared" si="0"/>
        <v>1</v>
      </c>
      <c r="I26" s="22" t="s">
        <v>206</v>
      </c>
      <c r="J26" s="22">
        <v>1</v>
      </c>
    </row>
    <row r="27" spans="1:10">
      <c r="A27" s="22" t="s">
        <v>468</v>
      </c>
      <c r="B27" s="22"/>
      <c r="C27" s="22">
        <v>1</v>
      </c>
      <c r="D27" s="22"/>
      <c r="E27" s="22"/>
      <c r="F27" s="22">
        <v>1</v>
      </c>
      <c r="G27" s="22"/>
      <c r="H27" s="22">
        <f t="shared" si="0"/>
        <v>1</v>
      </c>
      <c r="I27" s="22" t="s">
        <v>206</v>
      </c>
      <c r="J27" s="22">
        <v>1</v>
      </c>
    </row>
    <row r="28" spans="1:10">
      <c r="A28" s="22" t="s">
        <v>469</v>
      </c>
      <c r="B28" s="22"/>
      <c r="C28" s="22"/>
      <c r="D28" s="22"/>
      <c r="E28" s="22">
        <v>1</v>
      </c>
      <c r="F28" s="22">
        <v>1</v>
      </c>
      <c r="G28" s="22">
        <v>1</v>
      </c>
      <c r="H28" s="22">
        <f t="shared" si="0"/>
        <v>1</v>
      </c>
      <c r="I28" s="22" t="s">
        <v>206</v>
      </c>
      <c r="J28" s="22">
        <v>1</v>
      </c>
    </row>
  </sheetData>
  <mergeCells count="1">
    <mergeCell ref="A3:L3"/>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23"/>
  <sheetViews>
    <sheetView topLeftCell="A4" zoomScaleNormal="100" workbookViewId="0">
      <selection activeCell="K19" sqref="K19"/>
    </sheetView>
  </sheetViews>
  <sheetFormatPr defaultRowHeight="15"/>
  <cols>
    <col min="1" max="1" width="21" customWidth="1"/>
  </cols>
  <sheetData>
    <row r="3" spans="1:13" ht="133.5" customHeight="1">
      <c r="A3" s="140" t="s">
        <v>470</v>
      </c>
      <c r="B3" s="140"/>
      <c r="C3" s="140"/>
      <c r="D3" s="140"/>
      <c r="E3" s="140"/>
      <c r="F3" s="140"/>
      <c r="G3" s="140"/>
      <c r="H3" s="140"/>
      <c r="I3" s="140"/>
      <c r="J3" s="140"/>
      <c r="K3" s="140"/>
      <c r="L3" s="140"/>
      <c r="M3" s="140"/>
    </row>
    <row r="6" spans="1:13">
      <c r="A6" s="4" t="s">
        <v>192</v>
      </c>
      <c r="B6" t="s">
        <v>471</v>
      </c>
      <c r="C6" t="s">
        <v>472</v>
      </c>
    </row>
    <row r="7" spans="1:13">
      <c r="B7" s="29">
        <v>0.93023261196539642</v>
      </c>
      <c r="C7" s="29">
        <v>6.976738803460357E-2</v>
      </c>
    </row>
    <row r="9" spans="1:13">
      <c r="A9" s="37" t="s">
        <v>474</v>
      </c>
      <c r="B9" s="22"/>
      <c r="C9" s="22"/>
      <c r="D9" s="22"/>
    </row>
    <row r="10" spans="1:13">
      <c r="A10" s="22"/>
      <c r="B10" s="22" t="s">
        <v>475</v>
      </c>
      <c r="C10" s="22" t="s">
        <v>476</v>
      </c>
      <c r="D10" s="22" t="s">
        <v>477</v>
      </c>
    </row>
    <row r="11" spans="1:13">
      <c r="A11" s="22" t="s">
        <v>478</v>
      </c>
      <c r="B11" s="22">
        <f>B7^2</f>
        <v>0.86533271236396381</v>
      </c>
      <c r="C11" s="22">
        <f>B7*C7</f>
        <v>6.4899899601432623E-2</v>
      </c>
      <c r="D11" s="22">
        <f>C7^2</f>
        <v>4.867488433170945E-3</v>
      </c>
    </row>
    <row r="12" spans="1:13">
      <c r="A12" s="22" t="s">
        <v>479</v>
      </c>
      <c r="B12" s="22">
        <v>0.16</v>
      </c>
      <c r="C12" s="22">
        <v>0.2</v>
      </c>
      <c r="D12" s="22">
        <v>0.9</v>
      </c>
    </row>
    <row r="14" spans="1:13">
      <c r="A14" s="4" t="s">
        <v>286</v>
      </c>
    </row>
    <row r="15" spans="1:13">
      <c r="A15" t="s">
        <v>473</v>
      </c>
      <c r="B15" s="92">
        <f>SUMPRODUCT(B11:D11,B12:D12)</f>
        <v>0.1558139534883746</v>
      </c>
    </row>
    <row r="17" spans="1:8">
      <c r="A17" s="37" t="s">
        <v>289</v>
      </c>
      <c r="B17" s="22"/>
      <c r="C17" s="22"/>
      <c r="D17" s="22" t="s">
        <v>197</v>
      </c>
      <c r="E17" s="22" t="s">
        <v>199</v>
      </c>
      <c r="F17" s="22" t="s">
        <v>198</v>
      </c>
      <c r="G17" s="89"/>
      <c r="H17" s="89"/>
    </row>
    <row r="18" spans="1:8">
      <c r="A18" s="22" t="s">
        <v>480</v>
      </c>
      <c r="B18" s="22">
        <v>1</v>
      </c>
      <c r="C18" s="22">
        <v>1</v>
      </c>
      <c r="D18" s="55">
        <f>SUMPRODUCT($B$7:$C$7,B18:C18)</f>
        <v>1</v>
      </c>
      <c r="E18" s="22" t="s">
        <v>298</v>
      </c>
      <c r="F18" s="59">
        <v>1</v>
      </c>
      <c r="G18" s="89"/>
      <c r="H18" s="89"/>
    </row>
    <row r="19" spans="1:8">
      <c r="A19" s="22" t="s">
        <v>481</v>
      </c>
      <c r="B19" s="59">
        <v>0.11</v>
      </c>
      <c r="C19" s="59">
        <v>0.08</v>
      </c>
      <c r="D19" s="55">
        <f>SUMPRODUCT($B$7:$C$7,B19:C19)</f>
        <v>0.10790697835896189</v>
      </c>
      <c r="E19" s="22" t="s">
        <v>206</v>
      </c>
      <c r="F19" s="59">
        <v>0.09</v>
      </c>
      <c r="G19" s="89"/>
      <c r="H19" s="89"/>
    </row>
    <row r="20" spans="1:8">
      <c r="A20" s="89"/>
      <c r="B20" s="89"/>
      <c r="C20" s="89"/>
      <c r="D20" s="89"/>
      <c r="E20" s="89"/>
      <c r="F20" s="89"/>
      <c r="G20" s="89"/>
      <c r="H20" s="89"/>
    </row>
    <row r="21" spans="1:8">
      <c r="A21" s="89"/>
      <c r="B21" s="89"/>
      <c r="C21" s="89"/>
      <c r="D21" s="89"/>
      <c r="E21" s="89"/>
      <c r="F21" s="89"/>
      <c r="G21" s="89"/>
      <c r="H21" s="89"/>
    </row>
    <row r="22" spans="1:8">
      <c r="A22" s="89"/>
      <c r="B22" s="89"/>
      <c r="C22" s="89"/>
      <c r="D22" s="89"/>
      <c r="E22" s="89"/>
      <c r="F22" s="89"/>
      <c r="G22" s="89"/>
      <c r="H22" s="89"/>
    </row>
    <row r="23" spans="1:8">
      <c r="G23" s="89"/>
      <c r="H23" s="89"/>
    </row>
  </sheetData>
  <mergeCells count="1">
    <mergeCell ref="A3:M3"/>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9"/>
  <sheetViews>
    <sheetView zoomScaleNormal="100" workbookViewId="0">
      <selection activeCell="D11" sqref="D11"/>
    </sheetView>
  </sheetViews>
  <sheetFormatPr defaultRowHeight="15"/>
  <cols>
    <col min="1" max="1" width="20.140625" customWidth="1"/>
  </cols>
  <sheetData>
    <row r="2" spans="1:12" ht="142.5" customHeight="1">
      <c r="A2" s="140" t="s">
        <v>482</v>
      </c>
      <c r="B2" s="140"/>
      <c r="C2" s="140"/>
      <c r="D2" s="140"/>
      <c r="E2" s="140"/>
      <c r="F2" s="140"/>
      <c r="G2" s="140"/>
      <c r="H2" s="140"/>
      <c r="I2" s="140"/>
      <c r="J2" s="140"/>
      <c r="K2" s="140"/>
      <c r="L2" s="140"/>
    </row>
    <row r="5" spans="1:12">
      <c r="B5" t="s">
        <v>485</v>
      </c>
      <c r="C5" t="s">
        <v>484</v>
      </c>
      <c r="D5" t="s">
        <v>486</v>
      </c>
      <c r="E5" t="s">
        <v>487</v>
      </c>
    </row>
    <row r="6" spans="1:12">
      <c r="A6" s="4" t="s">
        <v>300</v>
      </c>
      <c r="B6" s="14">
        <v>18</v>
      </c>
      <c r="C6" s="14">
        <v>11</v>
      </c>
      <c r="D6">
        <f>4-0.1*B6</f>
        <v>2.2000000000000002</v>
      </c>
      <c r="E6">
        <f>5-0.2*C6</f>
        <v>2.8</v>
      </c>
    </row>
    <row r="9" spans="1:12">
      <c r="A9" t="s">
        <v>195</v>
      </c>
    </row>
    <row r="10" spans="1:12">
      <c r="A10" t="s">
        <v>87</v>
      </c>
      <c r="B10" s="92">
        <f>SUMPRODUCT(B6:C6,D6:E6)</f>
        <v>70.400000000000006</v>
      </c>
      <c r="C10" t="s">
        <v>435</v>
      </c>
      <c r="D10">
        <f>B6*D6+C6*E6</f>
        <v>70.400000000000006</v>
      </c>
    </row>
    <row r="12" spans="1:12">
      <c r="A12" s="37" t="s">
        <v>483</v>
      </c>
      <c r="B12" s="22"/>
      <c r="C12" s="22"/>
      <c r="D12" s="22" t="s">
        <v>197</v>
      </c>
      <c r="E12" s="22" t="s">
        <v>199</v>
      </c>
      <c r="F12" s="22" t="s">
        <v>198</v>
      </c>
    </row>
    <row r="13" spans="1:12">
      <c r="A13" s="22" t="s">
        <v>224</v>
      </c>
      <c r="B13" s="22">
        <v>1</v>
      </c>
      <c r="C13" s="22">
        <v>2</v>
      </c>
      <c r="D13" s="22">
        <f>SUMPRODUCT($B$6:$C$6,B13:C13)</f>
        <v>40</v>
      </c>
      <c r="E13" s="22" t="s">
        <v>201</v>
      </c>
      <c r="F13" s="22">
        <v>40</v>
      </c>
    </row>
    <row r="14" spans="1:12">
      <c r="A14" s="89"/>
      <c r="B14" s="89"/>
      <c r="C14" s="89"/>
      <c r="D14" s="89"/>
      <c r="E14" s="89"/>
      <c r="F14" s="89"/>
    </row>
    <row r="15" spans="1:12">
      <c r="A15" s="89"/>
      <c r="B15" s="89"/>
      <c r="C15" s="89"/>
      <c r="D15" s="89"/>
      <c r="E15" s="89"/>
      <c r="F15" s="89"/>
    </row>
    <row r="16" spans="1:12">
      <c r="A16" s="89"/>
      <c r="B16" s="89"/>
      <c r="C16" s="89"/>
      <c r="D16" s="89"/>
      <c r="E16" s="89"/>
      <c r="F16" s="89"/>
    </row>
    <row r="17" spans="1:6">
      <c r="A17" s="89"/>
      <c r="B17" s="89"/>
      <c r="C17" s="89"/>
      <c r="D17" s="89"/>
      <c r="E17" s="89"/>
      <c r="F17" s="89"/>
    </row>
    <row r="18" spans="1:6">
      <c r="A18" s="89"/>
      <c r="B18" s="89"/>
      <c r="C18" s="89"/>
      <c r="D18" s="89"/>
      <c r="E18" s="89"/>
      <c r="F18" s="89"/>
    </row>
    <row r="19" spans="1:6">
      <c r="A19" s="89"/>
      <c r="B19" s="89"/>
      <c r="C19" s="89"/>
      <c r="D19" s="89"/>
      <c r="E19" s="89"/>
      <c r="F19" s="89"/>
    </row>
  </sheetData>
  <mergeCells count="1">
    <mergeCell ref="A2:L2"/>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8"/>
  <sheetViews>
    <sheetView topLeftCell="A3" zoomScaleNormal="100" workbookViewId="0">
      <selection activeCell="A4" sqref="A4:E20"/>
    </sheetView>
  </sheetViews>
  <sheetFormatPr defaultRowHeight="15"/>
  <cols>
    <col min="1" max="1" width="15.85546875" customWidth="1"/>
  </cols>
  <sheetData>
    <row r="2" spans="1:12" ht="128.25" customHeight="1">
      <c r="A2" s="140" t="s">
        <v>488</v>
      </c>
      <c r="B2" s="140"/>
      <c r="C2" s="140"/>
      <c r="D2" s="140"/>
      <c r="E2" s="140"/>
      <c r="F2" s="140"/>
      <c r="G2" s="140"/>
      <c r="H2" s="140"/>
      <c r="I2" s="140"/>
      <c r="J2" s="140"/>
      <c r="K2" s="140"/>
      <c r="L2" s="140"/>
    </row>
    <row r="4" spans="1:12">
      <c r="B4" t="s">
        <v>471</v>
      </c>
    </row>
    <row r="5" spans="1:12">
      <c r="A5" t="s">
        <v>490</v>
      </c>
      <c r="B5" s="14">
        <v>16000</v>
      </c>
    </row>
    <row r="7" spans="1:12">
      <c r="A7" t="s">
        <v>95</v>
      </c>
      <c r="B7">
        <f>-0.0001*B5+4</f>
        <v>2.4</v>
      </c>
    </row>
    <row r="8" spans="1:12">
      <c r="A8" t="s">
        <v>491</v>
      </c>
      <c r="B8">
        <f>0.8*B5</f>
        <v>12800</v>
      </c>
    </row>
    <row r="9" spans="1:12">
      <c r="A9" t="s">
        <v>492</v>
      </c>
      <c r="B9">
        <v>1500</v>
      </c>
    </row>
    <row r="10" spans="1:12">
      <c r="A10" t="s">
        <v>493</v>
      </c>
      <c r="B10">
        <f>SUM(B8:B9)</f>
        <v>14300</v>
      </c>
    </row>
    <row r="12" spans="1:12">
      <c r="A12" t="s">
        <v>87</v>
      </c>
      <c r="B12">
        <f>B7*B5</f>
        <v>38400</v>
      </c>
    </row>
    <row r="14" spans="1:12">
      <c r="A14" t="s">
        <v>195</v>
      </c>
    </row>
    <row r="15" spans="1:12">
      <c r="A15" t="s">
        <v>73</v>
      </c>
      <c r="B15" s="92">
        <f>B12-B10</f>
        <v>24100</v>
      </c>
    </row>
    <row r="17" spans="1:5">
      <c r="A17" s="22" t="s">
        <v>483</v>
      </c>
      <c r="B17" s="22"/>
      <c r="C17" s="22" t="s">
        <v>197</v>
      </c>
      <c r="D17" s="22" t="s">
        <v>199</v>
      </c>
      <c r="E17" s="22" t="s">
        <v>198</v>
      </c>
    </row>
    <row r="18" spans="1:5">
      <c r="A18" s="22" t="s">
        <v>494</v>
      </c>
      <c r="B18" s="22">
        <v>1</v>
      </c>
      <c r="C18" s="22">
        <f>B7*B5</f>
        <v>38400</v>
      </c>
      <c r="D18" s="22" t="s">
        <v>206</v>
      </c>
      <c r="E18" s="22">
        <f>(0.8*B5)+B9</f>
        <v>14300</v>
      </c>
    </row>
  </sheetData>
  <mergeCells count="1">
    <mergeCell ref="A2:L2"/>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4"/>
  <sheetViews>
    <sheetView zoomScaleNormal="100" workbookViewId="0">
      <selection activeCell="B9" sqref="B9"/>
    </sheetView>
  </sheetViews>
  <sheetFormatPr defaultRowHeight="15"/>
  <cols>
    <col min="1" max="1" width="17.140625" customWidth="1"/>
    <col min="2" max="2" width="10.85546875" customWidth="1"/>
    <col min="3" max="3" width="11.7109375" customWidth="1"/>
  </cols>
  <sheetData>
    <row r="2" spans="1:11" ht="106.5" customHeight="1">
      <c r="A2" s="140" t="s">
        <v>495</v>
      </c>
      <c r="B2" s="140"/>
      <c r="C2" s="140"/>
      <c r="D2" s="140"/>
      <c r="E2" s="140"/>
      <c r="F2" s="140"/>
      <c r="G2" s="140"/>
      <c r="H2" s="140"/>
      <c r="I2" s="140"/>
      <c r="J2" s="140"/>
      <c r="K2" s="140"/>
    </row>
    <row r="4" spans="1:11">
      <c r="A4" t="s">
        <v>300</v>
      </c>
      <c r="B4" t="s">
        <v>496</v>
      </c>
      <c r="C4" t="s">
        <v>497</v>
      </c>
    </row>
    <row r="5" spans="1:11">
      <c r="B5" s="14">
        <v>35</v>
      </c>
      <c r="C5" s="14">
        <v>50</v>
      </c>
    </row>
    <row r="6" spans="1:11">
      <c r="B6">
        <v>80</v>
      </c>
      <c r="C6">
        <v>45</v>
      </c>
    </row>
    <row r="8" spans="1:11">
      <c r="A8" t="s">
        <v>195</v>
      </c>
    </row>
    <row r="9" spans="1:11">
      <c r="A9" t="s">
        <v>73</v>
      </c>
      <c r="B9" s="92">
        <f>SUMPRODUCT(B5:C5,B6:C6)</f>
        <v>5050</v>
      </c>
    </row>
    <row r="11" spans="1:11">
      <c r="A11" s="22" t="s">
        <v>483</v>
      </c>
      <c r="B11" s="22"/>
      <c r="C11" s="22"/>
      <c r="D11" s="22" t="s">
        <v>197</v>
      </c>
      <c r="E11" s="22" t="s">
        <v>199</v>
      </c>
      <c r="F11" s="22" t="s">
        <v>198</v>
      </c>
    </row>
    <row r="12" spans="1:11">
      <c r="A12" s="22" t="s">
        <v>498</v>
      </c>
      <c r="B12" s="22">
        <v>3</v>
      </c>
      <c r="C12" s="22">
        <v>5</v>
      </c>
      <c r="D12" s="22">
        <f>SUMPRODUCT($B$5:$C$5,B12:C12)</f>
        <v>355</v>
      </c>
      <c r="E12" s="22" t="s">
        <v>201</v>
      </c>
      <c r="F12" s="22">
        <v>360</v>
      </c>
    </row>
    <row r="13" spans="1:11">
      <c r="A13" s="22" t="s">
        <v>499</v>
      </c>
      <c r="B13" s="22">
        <v>4</v>
      </c>
      <c r="C13" s="22">
        <v>2</v>
      </c>
      <c r="D13" s="22">
        <f>SUMPRODUCT($B$5:$C$5,B13:C13)</f>
        <v>240</v>
      </c>
      <c r="E13" s="22" t="s">
        <v>201</v>
      </c>
      <c r="F13" s="22">
        <v>240</v>
      </c>
    </row>
    <row r="14" spans="1:11">
      <c r="A14" s="89"/>
      <c r="B14" s="89"/>
      <c r="C14" s="89"/>
      <c r="D14" s="89"/>
      <c r="E14" s="89"/>
      <c r="F14" s="89"/>
    </row>
  </sheetData>
  <mergeCells count="1">
    <mergeCell ref="A2:K2"/>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N18"/>
  <sheetViews>
    <sheetView topLeftCell="A2" zoomScaleNormal="100" workbookViewId="0">
      <selection activeCell="O16" sqref="O16"/>
    </sheetView>
  </sheetViews>
  <sheetFormatPr defaultRowHeight="15"/>
  <sheetData>
    <row r="3" spans="1:14" ht="78.75" customHeight="1">
      <c r="A3" s="140" t="s">
        <v>500</v>
      </c>
      <c r="B3" s="140"/>
      <c r="C3" s="140"/>
      <c r="D3" s="140"/>
      <c r="E3" s="140"/>
      <c r="F3" s="140"/>
      <c r="G3" s="140"/>
      <c r="H3" s="140"/>
      <c r="I3" s="140"/>
      <c r="J3" s="140"/>
      <c r="K3" s="140"/>
      <c r="L3" s="140"/>
      <c r="M3" s="140"/>
      <c r="N3" s="140"/>
    </row>
    <row r="4" spans="1:14">
      <c r="B4" t="s">
        <v>489</v>
      </c>
    </row>
    <row r="5" spans="1:14">
      <c r="A5" t="s">
        <v>490</v>
      </c>
      <c r="B5" s="14">
        <v>3.7999999999999994</v>
      </c>
    </row>
    <row r="7" spans="1:14">
      <c r="A7" t="s">
        <v>501</v>
      </c>
      <c r="B7">
        <f>-10000*B5+70000</f>
        <v>32000.000000000007</v>
      </c>
    </row>
    <row r="8" spans="1:14">
      <c r="A8" t="s">
        <v>491</v>
      </c>
      <c r="B8">
        <f>0.6*B7</f>
        <v>19200.000000000004</v>
      </c>
    </row>
    <row r="9" spans="1:14">
      <c r="A9" t="s">
        <v>492</v>
      </c>
      <c r="B9">
        <v>2500</v>
      </c>
    </row>
    <row r="10" spans="1:14">
      <c r="A10" t="s">
        <v>493</v>
      </c>
      <c r="B10">
        <f>SUM(B8:B9)</f>
        <v>21700.000000000004</v>
      </c>
    </row>
    <row r="12" spans="1:14">
      <c r="A12" t="s">
        <v>87</v>
      </c>
      <c r="B12">
        <f>B5*B7</f>
        <v>121600.00000000001</v>
      </c>
    </row>
    <row r="14" spans="1:14">
      <c r="A14" t="s">
        <v>195</v>
      </c>
    </row>
    <row r="15" spans="1:14">
      <c r="A15" t="s">
        <v>73</v>
      </c>
      <c r="B15" s="92">
        <f>B12-B10</f>
        <v>99900.000000000015</v>
      </c>
    </row>
    <row r="17" spans="1:5">
      <c r="A17" s="22" t="s">
        <v>483</v>
      </c>
      <c r="B17" s="22"/>
      <c r="C17" s="22" t="s">
        <v>197</v>
      </c>
      <c r="D17" s="22" t="s">
        <v>199</v>
      </c>
      <c r="E17" s="22" t="s">
        <v>198</v>
      </c>
    </row>
    <row r="18" spans="1:5">
      <c r="A18" s="22" t="s">
        <v>494</v>
      </c>
      <c r="B18" s="22">
        <v>1</v>
      </c>
      <c r="C18" s="22">
        <f>B7*B5</f>
        <v>121600.00000000001</v>
      </c>
      <c r="D18" s="22" t="s">
        <v>206</v>
      </c>
      <c r="E18" s="22">
        <f>(B7*0.6)+B9</f>
        <v>21700.000000000004</v>
      </c>
    </row>
  </sheetData>
  <mergeCells count="1">
    <mergeCell ref="A3:N3"/>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32"/>
  <sheetViews>
    <sheetView topLeftCell="A9" workbookViewId="0">
      <selection activeCell="A3" sqref="A3:G15"/>
    </sheetView>
  </sheetViews>
  <sheetFormatPr defaultRowHeight="15"/>
  <cols>
    <col min="1" max="1" width="16.5703125" customWidth="1"/>
    <col min="2" max="2" width="16.28515625" customWidth="1"/>
    <col min="3" max="3" width="15.42578125" customWidth="1"/>
    <col min="4" max="4" width="14" customWidth="1"/>
    <col min="5" max="5" width="13.28515625" customWidth="1"/>
    <col min="6" max="6" width="13.140625" customWidth="1"/>
    <col min="16" max="16" width="11.5703125" bestFit="1" customWidth="1"/>
  </cols>
  <sheetData>
    <row r="2" spans="1:13">
      <c r="D2" t="s">
        <v>508</v>
      </c>
    </row>
    <row r="3" spans="1:13" ht="15.75">
      <c r="A3" s="172" t="s">
        <v>175</v>
      </c>
      <c r="B3" s="170" t="s">
        <v>502</v>
      </c>
      <c r="C3" s="170" t="s">
        <v>503</v>
      </c>
      <c r="D3" s="170" t="s">
        <v>177</v>
      </c>
      <c r="E3" s="170" t="s">
        <v>178</v>
      </c>
      <c r="F3" s="171" t="s">
        <v>179</v>
      </c>
      <c r="G3" s="170" t="s">
        <v>180</v>
      </c>
    </row>
    <row r="4" spans="1:13" ht="15.75">
      <c r="A4" s="173">
        <v>1</v>
      </c>
      <c r="B4" s="174" t="s">
        <v>504</v>
      </c>
      <c r="C4" s="167">
        <v>1</v>
      </c>
      <c r="D4" s="179">
        <v>250</v>
      </c>
      <c r="E4" s="179">
        <v>100</v>
      </c>
      <c r="F4" s="180">
        <v>100</v>
      </c>
      <c r="G4" s="174">
        <v>60</v>
      </c>
    </row>
    <row r="5" spans="1:13" ht="15.75">
      <c r="A5" s="173">
        <v>2</v>
      </c>
      <c r="B5" s="174" t="s">
        <v>504</v>
      </c>
      <c r="C5" s="167">
        <v>0.33</v>
      </c>
      <c r="D5" s="179">
        <v>500</v>
      </c>
      <c r="E5" s="179">
        <v>300</v>
      </c>
      <c r="F5" s="180">
        <v>300</v>
      </c>
      <c r="G5" s="174">
        <v>180</v>
      </c>
    </row>
    <row r="6" spans="1:13" ht="15.75">
      <c r="A6" s="173">
        <v>3</v>
      </c>
      <c r="B6" s="174" t="s">
        <v>504</v>
      </c>
      <c r="C6" s="167">
        <v>0.5</v>
      </c>
      <c r="D6" s="179">
        <v>100</v>
      </c>
      <c r="E6" s="179">
        <v>200</v>
      </c>
      <c r="F6" s="180">
        <v>400</v>
      </c>
      <c r="G6" s="174">
        <v>80</v>
      </c>
    </row>
    <row r="7" spans="1:13" ht="15.75">
      <c r="A7" s="173">
        <v>4</v>
      </c>
      <c r="B7" s="174" t="s">
        <v>504</v>
      </c>
      <c r="C7" s="167">
        <v>1</v>
      </c>
      <c r="D7" s="179">
        <v>750</v>
      </c>
      <c r="E7" s="179">
        <v>500</v>
      </c>
      <c r="F7" s="180">
        <v>300</v>
      </c>
      <c r="G7" s="174">
        <v>310</v>
      </c>
      <c r="K7" t="s">
        <v>513</v>
      </c>
    </row>
    <row r="8" spans="1:13" ht="15.75">
      <c r="A8" s="173">
        <v>5</v>
      </c>
      <c r="B8" s="174" t="s">
        <v>504</v>
      </c>
      <c r="C8" s="167">
        <v>0.75</v>
      </c>
      <c r="D8" s="179">
        <v>200</v>
      </c>
      <c r="E8" s="179">
        <v>400</v>
      </c>
      <c r="F8" s="180">
        <v>800</v>
      </c>
      <c r="G8" s="174">
        <v>220</v>
      </c>
      <c r="K8" t="s">
        <v>509</v>
      </c>
      <c r="L8" t="s">
        <v>514</v>
      </c>
      <c r="M8" t="s">
        <v>515</v>
      </c>
    </row>
    <row r="9" spans="1:13" ht="15.75">
      <c r="A9" s="175">
        <v>6</v>
      </c>
      <c r="B9" s="176" t="s">
        <v>505</v>
      </c>
      <c r="C9" s="168">
        <v>0.5</v>
      </c>
      <c r="D9" s="181">
        <v>1000</v>
      </c>
      <c r="E9" s="181">
        <v>300</v>
      </c>
      <c r="F9" s="182">
        <v>300</v>
      </c>
      <c r="G9" s="176">
        <v>180</v>
      </c>
      <c r="I9" t="s">
        <v>516</v>
      </c>
      <c r="J9" t="s">
        <v>517</v>
      </c>
      <c r="K9" s="185">
        <v>1115</v>
      </c>
      <c r="L9" s="185">
        <v>999</v>
      </c>
      <c r="M9" s="185">
        <v>1199</v>
      </c>
    </row>
    <row r="10" spans="1:13" ht="15.75">
      <c r="A10" s="175">
        <v>7</v>
      </c>
      <c r="B10" s="176" t="s">
        <v>505</v>
      </c>
      <c r="C10" s="168">
        <v>1</v>
      </c>
      <c r="D10" s="181">
        <v>750</v>
      </c>
      <c r="E10" s="181">
        <v>750</v>
      </c>
      <c r="F10" s="182">
        <v>300</v>
      </c>
      <c r="G10" s="176">
        <v>410</v>
      </c>
      <c r="J10" t="s">
        <v>505</v>
      </c>
      <c r="K10" s="185">
        <v>1518</v>
      </c>
      <c r="L10" s="185">
        <v>1302</v>
      </c>
      <c r="M10" s="185">
        <v>986</v>
      </c>
    </row>
    <row r="11" spans="1:13" ht="15.75">
      <c r="A11" s="175">
        <v>8</v>
      </c>
      <c r="B11" s="176" t="s">
        <v>505</v>
      </c>
      <c r="C11" s="168">
        <v>1</v>
      </c>
      <c r="D11" s="181">
        <v>800</v>
      </c>
      <c r="E11" s="181">
        <v>700</v>
      </c>
      <c r="F11" s="182">
        <v>600</v>
      </c>
      <c r="G11" s="176">
        <v>280</v>
      </c>
      <c r="J11" t="s">
        <v>506</v>
      </c>
      <c r="K11" s="185">
        <v>1850</v>
      </c>
      <c r="L11" s="185">
        <v>650</v>
      </c>
      <c r="M11" s="185">
        <v>550</v>
      </c>
    </row>
    <row r="12" spans="1:13" ht="15.75">
      <c r="A12" s="175">
        <v>9</v>
      </c>
      <c r="B12" s="176" t="s">
        <v>505</v>
      </c>
      <c r="C12" s="168">
        <v>0.67</v>
      </c>
      <c r="D12" s="181">
        <v>400</v>
      </c>
      <c r="E12" s="181">
        <v>600</v>
      </c>
      <c r="F12" s="182">
        <v>800</v>
      </c>
      <c r="G12" s="176">
        <v>380</v>
      </c>
    </row>
    <row r="13" spans="1:13" ht="15.75">
      <c r="A13" s="177">
        <v>10</v>
      </c>
      <c r="B13" s="178" t="s">
        <v>506</v>
      </c>
      <c r="C13" s="169">
        <v>1</v>
      </c>
      <c r="D13" s="183">
        <v>100</v>
      </c>
      <c r="E13" s="183">
        <v>200</v>
      </c>
      <c r="F13" s="184">
        <v>400</v>
      </c>
      <c r="G13" s="178">
        <v>100</v>
      </c>
    </row>
    <row r="14" spans="1:13" ht="15.75">
      <c r="A14" s="177">
        <v>11</v>
      </c>
      <c r="B14" s="178" t="s">
        <v>506</v>
      </c>
      <c r="C14" s="169">
        <v>0.5</v>
      </c>
      <c r="D14" s="183">
        <v>700</v>
      </c>
      <c r="E14" s="183">
        <v>500</v>
      </c>
      <c r="F14" s="184">
        <v>300</v>
      </c>
      <c r="G14" s="178">
        <v>260</v>
      </c>
    </row>
    <row r="15" spans="1:13" ht="15.75">
      <c r="A15" s="177">
        <v>12</v>
      </c>
      <c r="B15" s="178" t="s">
        <v>506</v>
      </c>
      <c r="C15" s="169">
        <v>1</v>
      </c>
      <c r="D15" s="183">
        <v>1500</v>
      </c>
      <c r="E15" s="183">
        <v>400</v>
      </c>
      <c r="F15" s="184">
        <v>400</v>
      </c>
      <c r="G15" s="178">
        <v>340</v>
      </c>
    </row>
    <row r="19" spans="1:16">
      <c r="A19" t="s">
        <v>430</v>
      </c>
      <c r="B19">
        <v>1</v>
      </c>
      <c r="C19">
        <v>2</v>
      </c>
      <c r="D19">
        <v>3</v>
      </c>
      <c r="E19">
        <v>4</v>
      </c>
      <c r="F19">
        <v>5</v>
      </c>
      <c r="G19">
        <v>6</v>
      </c>
      <c r="H19">
        <v>7</v>
      </c>
      <c r="I19">
        <v>8</v>
      </c>
      <c r="J19">
        <v>9</v>
      </c>
      <c r="K19">
        <v>10</v>
      </c>
      <c r="L19">
        <v>11</v>
      </c>
      <c r="M19">
        <v>12</v>
      </c>
    </row>
    <row r="20" spans="1:16">
      <c r="B20" s="14">
        <v>0</v>
      </c>
      <c r="C20" s="14">
        <v>1</v>
      </c>
      <c r="D20" s="14">
        <v>0</v>
      </c>
      <c r="E20" s="14">
        <v>1</v>
      </c>
      <c r="F20" s="14">
        <v>1</v>
      </c>
      <c r="G20" s="14">
        <v>0</v>
      </c>
      <c r="H20" s="14">
        <v>1</v>
      </c>
      <c r="I20" s="14">
        <v>0</v>
      </c>
      <c r="J20" s="14">
        <v>1</v>
      </c>
      <c r="K20" s="14">
        <v>1</v>
      </c>
      <c r="L20" s="14">
        <v>1</v>
      </c>
      <c r="M20" s="14">
        <v>0</v>
      </c>
    </row>
    <row r="21" spans="1:16">
      <c r="B21">
        <v>60</v>
      </c>
      <c r="C21">
        <v>180</v>
      </c>
      <c r="D21">
        <v>80</v>
      </c>
      <c r="E21">
        <v>310</v>
      </c>
      <c r="F21">
        <v>220</v>
      </c>
      <c r="G21">
        <v>180</v>
      </c>
      <c r="H21">
        <v>410</v>
      </c>
      <c r="I21">
        <v>280</v>
      </c>
      <c r="J21">
        <v>380</v>
      </c>
      <c r="K21">
        <v>100</v>
      </c>
      <c r="L21">
        <v>260</v>
      </c>
      <c r="M21">
        <v>340</v>
      </c>
    </row>
    <row r="22" spans="1:16">
      <c r="A22" t="s">
        <v>195</v>
      </c>
    </row>
    <row r="23" spans="1:16">
      <c r="A23" t="s">
        <v>507</v>
      </c>
      <c r="B23">
        <f>SUMPRODUCT(B20:M20,B21:M21)</f>
        <v>1860</v>
      </c>
    </row>
    <row r="25" spans="1:16">
      <c r="A25" s="22" t="s">
        <v>289</v>
      </c>
      <c r="B25" s="22"/>
      <c r="C25" s="22"/>
      <c r="D25" s="22"/>
      <c r="E25" s="22"/>
      <c r="F25" s="22"/>
      <c r="G25" s="22"/>
      <c r="H25" s="22"/>
      <c r="I25" s="22"/>
      <c r="J25" s="22"/>
      <c r="K25" s="22"/>
      <c r="L25" s="22"/>
      <c r="M25" s="22"/>
      <c r="N25" s="22" t="s">
        <v>197</v>
      </c>
      <c r="O25" s="22" t="s">
        <v>199</v>
      </c>
      <c r="P25" s="22" t="s">
        <v>198</v>
      </c>
    </row>
    <row r="26" spans="1:16" ht="15.75">
      <c r="A26" s="22" t="s">
        <v>509</v>
      </c>
      <c r="B26" s="179">
        <v>250</v>
      </c>
      <c r="C26" s="179">
        <v>500</v>
      </c>
      <c r="D26" s="179">
        <v>100</v>
      </c>
      <c r="E26" s="179">
        <v>750</v>
      </c>
      <c r="F26" s="179">
        <v>200</v>
      </c>
      <c r="G26" s="181">
        <v>1000</v>
      </c>
      <c r="H26" s="181">
        <v>750</v>
      </c>
      <c r="I26" s="181">
        <v>800</v>
      </c>
      <c r="J26" s="181">
        <v>400</v>
      </c>
      <c r="K26" s="183">
        <v>100</v>
      </c>
      <c r="L26" s="183">
        <v>700</v>
      </c>
      <c r="M26" s="183">
        <v>1500</v>
      </c>
      <c r="N26" s="22">
        <f>SUMPRODUCT($B$20:$M$20,B26:M26)</f>
        <v>3400</v>
      </c>
      <c r="O26" s="22" t="s">
        <v>201</v>
      </c>
      <c r="P26" s="48">
        <v>4000</v>
      </c>
    </row>
    <row r="27" spans="1:16" ht="15.75">
      <c r="A27" s="22" t="s">
        <v>510</v>
      </c>
      <c r="B27" s="179">
        <v>100</v>
      </c>
      <c r="C27" s="179">
        <v>300</v>
      </c>
      <c r="D27" s="179">
        <v>200</v>
      </c>
      <c r="E27" s="179">
        <v>500</v>
      </c>
      <c r="F27" s="179">
        <v>400</v>
      </c>
      <c r="G27" s="181">
        <v>300</v>
      </c>
      <c r="H27" s="181">
        <v>750</v>
      </c>
      <c r="I27" s="181">
        <v>700</v>
      </c>
      <c r="J27" s="181">
        <v>600</v>
      </c>
      <c r="K27" s="183">
        <v>200</v>
      </c>
      <c r="L27" s="183">
        <v>500</v>
      </c>
      <c r="M27" s="183">
        <v>400</v>
      </c>
      <c r="N27" s="22">
        <f t="shared" ref="N27:N28" si="0">SUMPRODUCT($B$20:$M$20,B27:M27)</f>
        <v>3250</v>
      </c>
      <c r="O27" s="22" t="s">
        <v>201</v>
      </c>
      <c r="P27" s="48">
        <v>4000</v>
      </c>
    </row>
    <row r="28" spans="1:16" ht="15.75">
      <c r="A28" s="22" t="s">
        <v>511</v>
      </c>
      <c r="B28" s="180">
        <v>100</v>
      </c>
      <c r="C28" s="180">
        <v>300</v>
      </c>
      <c r="D28" s="180">
        <v>400</v>
      </c>
      <c r="E28" s="180">
        <v>300</v>
      </c>
      <c r="F28" s="180">
        <v>800</v>
      </c>
      <c r="G28" s="182">
        <v>300</v>
      </c>
      <c r="H28" s="182">
        <v>300</v>
      </c>
      <c r="I28" s="182">
        <v>600</v>
      </c>
      <c r="J28" s="182">
        <v>800</v>
      </c>
      <c r="K28" s="184">
        <v>400</v>
      </c>
      <c r="L28" s="184">
        <v>300</v>
      </c>
      <c r="M28" s="184">
        <v>400</v>
      </c>
      <c r="N28" s="22">
        <f t="shared" si="0"/>
        <v>3200</v>
      </c>
      <c r="O28" s="22" t="s">
        <v>201</v>
      </c>
      <c r="P28" s="48">
        <v>4000</v>
      </c>
    </row>
    <row r="29" spans="1:16">
      <c r="A29" s="22" t="s">
        <v>512</v>
      </c>
      <c r="B29" s="22"/>
      <c r="C29" s="22"/>
      <c r="D29" s="22"/>
      <c r="E29" s="22"/>
      <c r="F29" s="22"/>
      <c r="G29" s="22"/>
      <c r="H29" s="22"/>
      <c r="I29" s="22"/>
      <c r="J29" s="22"/>
      <c r="K29" s="22"/>
      <c r="L29" s="22"/>
      <c r="M29" s="22"/>
      <c r="N29" s="186">
        <f>SUM(N26:N28)</f>
        <v>9850</v>
      </c>
      <c r="O29" s="22" t="s">
        <v>201</v>
      </c>
      <c r="P29" s="48">
        <v>10000</v>
      </c>
    </row>
    <row r="30" spans="1:16">
      <c r="A30" s="22" t="s">
        <v>181</v>
      </c>
      <c r="B30" s="22">
        <v>1</v>
      </c>
      <c r="C30" s="22">
        <v>1</v>
      </c>
      <c r="D30" s="22">
        <v>1</v>
      </c>
      <c r="E30" s="22">
        <v>1</v>
      </c>
      <c r="F30" s="22">
        <v>1</v>
      </c>
      <c r="G30" s="22"/>
      <c r="H30" s="22"/>
      <c r="I30" s="22"/>
      <c r="J30" s="22"/>
      <c r="K30" s="22"/>
      <c r="L30" s="22"/>
      <c r="M30" s="22"/>
      <c r="N30" s="22">
        <f>SUMPRODUCT($B$20:$M$20,B30:M30)</f>
        <v>3</v>
      </c>
      <c r="O30" s="22" t="s">
        <v>206</v>
      </c>
      <c r="P30" s="22">
        <v>1</v>
      </c>
    </row>
    <row r="31" spans="1:16">
      <c r="A31" s="22" t="s">
        <v>182</v>
      </c>
      <c r="B31" s="22"/>
      <c r="C31" s="22"/>
      <c r="D31" s="22"/>
      <c r="E31" s="22"/>
      <c r="F31" s="22"/>
      <c r="G31" s="22">
        <v>1</v>
      </c>
      <c r="H31" s="22">
        <v>1</v>
      </c>
      <c r="I31" s="22">
        <v>1</v>
      </c>
      <c r="J31" s="22">
        <v>1</v>
      </c>
      <c r="K31" s="22"/>
      <c r="L31" s="22"/>
      <c r="M31" s="22"/>
      <c r="N31" s="22">
        <f t="shared" ref="N31:N32" si="1">SUMPRODUCT($B$20:$M$20,B31:M31)</f>
        <v>2</v>
      </c>
      <c r="O31" s="22" t="s">
        <v>206</v>
      </c>
      <c r="P31" s="22">
        <v>1</v>
      </c>
    </row>
    <row r="32" spans="1:16">
      <c r="A32" s="22" t="s">
        <v>183</v>
      </c>
      <c r="B32" s="22"/>
      <c r="C32" s="22"/>
      <c r="D32" s="22"/>
      <c r="E32" s="22"/>
      <c r="F32" s="22"/>
      <c r="G32" s="22"/>
      <c r="H32" s="22"/>
      <c r="I32" s="22"/>
      <c r="J32" s="22"/>
      <c r="K32" s="22">
        <v>1</v>
      </c>
      <c r="L32" s="22">
        <v>1</v>
      </c>
      <c r="M32" s="22">
        <v>1</v>
      </c>
      <c r="N32" s="22">
        <f t="shared" si="1"/>
        <v>2</v>
      </c>
      <c r="O32" s="22" t="s">
        <v>206</v>
      </c>
      <c r="P32" s="22">
        <v>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T36"/>
  <sheetViews>
    <sheetView tabSelected="1" topLeftCell="D15" workbookViewId="0">
      <selection activeCell="D36" sqref="D36"/>
    </sheetView>
  </sheetViews>
  <sheetFormatPr defaultRowHeight="15"/>
  <cols>
    <col min="1" max="1" width="16.85546875" customWidth="1"/>
    <col min="2" max="2" width="18.28515625" customWidth="1"/>
    <col min="3" max="3" width="12.7109375" customWidth="1"/>
    <col min="4" max="4" width="15.140625" customWidth="1"/>
    <col min="5" max="5" width="13.85546875" customWidth="1"/>
    <col min="6" max="6" width="12.7109375" customWidth="1"/>
    <col min="7" max="7" width="15.42578125" customWidth="1"/>
    <col min="8" max="8" width="14" customWidth="1"/>
    <col min="9" max="9" width="15.5703125" customWidth="1"/>
  </cols>
  <sheetData>
    <row r="3" spans="1:17" ht="15.75">
      <c r="B3" s="188" t="s">
        <v>518</v>
      </c>
      <c r="C3" s="187" t="s">
        <v>519</v>
      </c>
      <c r="D3" s="187" t="s">
        <v>520</v>
      </c>
      <c r="E3" s="187" t="s">
        <v>521</v>
      </c>
      <c r="F3" s="187" t="s">
        <v>522</v>
      </c>
      <c r="G3" s="187" t="s">
        <v>523</v>
      </c>
      <c r="H3" s="187" t="s">
        <v>524</v>
      </c>
      <c r="I3" s="187" t="s">
        <v>525</v>
      </c>
      <c r="K3" s="172" t="s">
        <v>175</v>
      </c>
      <c r="L3" s="170" t="s">
        <v>502</v>
      </c>
      <c r="M3" s="170" t="s">
        <v>503</v>
      </c>
      <c r="N3" s="170" t="s">
        <v>177</v>
      </c>
      <c r="O3" s="170" t="s">
        <v>178</v>
      </c>
      <c r="P3" s="171" t="s">
        <v>179</v>
      </c>
      <c r="Q3" s="170" t="s">
        <v>180</v>
      </c>
    </row>
    <row r="4" spans="1:17" ht="15.75">
      <c r="B4" s="189"/>
      <c r="C4" s="187"/>
      <c r="D4" s="187"/>
      <c r="E4" s="187"/>
      <c r="F4" s="187"/>
      <c r="G4" s="187"/>
      <c r="H4" s="187"/>
      <c r="I4" s="187"/>
      <c r="K4" s="173">
        <v>1</v>
      </c>
      <c r="L4" s="174" t="s">
        <v>504</v>
      </c>
      <c r="M4" s="167">
        <v>1</v>
      </c>
      <c r="N4" s="179">
        <v>250</v>
      </c>
      <c r="O4" s="179">
        <v>100</v>
      </c>
      <c r="P4" s="180">
        <v>100</v>
      </c>
      <c r="Q4" s="174">
        <v>60</v>
      </c>
    </row>
    <row r="5" spans="1:17" ht="15.75">
      <c r="A5" s="49" t="s">
        <v>526</v>
      </c>
      <c r="B5" s="49">
        <v>60</v>
      </c>
      <c r="C5" s="49">
        <v>60</v>
      </c>
      <c r="D5" s="49">
        <v>60</v>
      </c>
      <c r="E5" s="49">
        <v>60</v>
      </c>
      <c r="F5" s="49">
        <v>60</v>
      </c>
      <c r="G5" s="49">
        <v>0</v>
      </c>
      <c r="H5" s="49">
        <v>0</v>
      </c>
      <c r="I5" s="49">
        <v>0</v>
      </c>
      <c r="K5" s="173">
        <v>2</v>
      </c>
      <c r="L5" s="174" t="s">
        <v>504</v>
      </c>
      <c r="M5" s="167">
        <v>0.33</v>
      </c>
      <c r="N5" s="179">
        <v>500</v>
      </c>
      <c r="O5" s="179">
        <v>300</v>
      </c>
      <c r="P5" s="180">
        <v>300</v>
      </c>
      <c r="Q5" s="174">
        <v>180</v>
      </c>
    </row>
    <row r="6" spans="1:17" ht="15.75">
      <c r="A6" s="49" t="s">
        <v>527</v>
      </c>
      <c r="B6" s="49">
        <v>180</v>
      </c>
      <c r="C6" s="49">
        <v>180</v>
      </c>
      <c r="D6" s="49">
        <v>180</v>
      </c>
      <c r="E6" s="49">
        <v>180</v>
      </c>
      <c r="F6" s="49">
        <v>0</v>
      </c>
      <c r="G6" s="49">
        <v>180</v>
      </c>
      <c r="H6" s="49">
        <v>0</v>
      </c>
      <c r="I6" s="49">
        <v>180</v>
      </c>
      <c r="K6" s="173">
        <v>3</v>
      </c>
      <c r="L6" s="174" t="s">
        <v>504</v>
      </c>
      <c r="M6" s="167">
        <v>0.5</v>
      </c>
      <c r="N6" s="179">
        <v>100</v>
      </c>
      <c r="O6" s="179">
        <v>200</v>
      </c>
      <c r="P6" s="180">
        <v>400</v>
      </c>
      <c r="Q6" s="174">
        <v>80</v>
      </c>
    </row>
    <row r="7" spans="1:17" ht="15.75">
      <c r="A7" s="49" t="s">
        <v>528</v>
      </c>
      <c r="B7" s="49">
        <v>80</v>
      </c>
      <c r="C7" s="49">
        <v>0</v>
      </c>
      <c r="D7" s="49">
        <v>0</v>
      </c>
      <c r="E7" s="49">
        <v>80</v>
      </c>
      <c r="F7" s="49">
        <v>80</v>
      </c>
      <c r="G7" s="49">
        <v>80</v>
      </c>
      <c r="H7" s="49">
        <v>0</v>
      </c>
      <c r="I7" s="49">
        <v>80</v>
      </c>
      <c r="K7" s="173">
        <v>4</v>
      </c>
      <c r="L7" s="174" t="s">
        <v>504</v>
      </c>
      <c r="M7" s="167">
        <v>1</v>
      </c>
      <c r="N7" s="179">
        <v>750</v>
      </c>
      <c r="O7" s="179">
        <v>500</v>
      </c>
      <c r="P7" s="180">
        <v>300</v>
      </c>
      <c r="Q7" s="174">
        <v>310</v>
      </c>
    </row>
    <row r="8" spans="1:17" ht="15.75">
      <c r="A8" s="49" t="s">
        <v>529</v>
      </c>
      <c r="B8" s="49">
        <v>0</v>
      </c>
      <c r="C8" s="49">
        <v>310</v>
      </c>
      <c r="D8" s="49">
        <v>0</v>
      </c>
      <c r="E8" s="49">
        <v>0</v>
      </c>
      <c r="F8" s="49">
        <v>310</v>
      </c>
      <c r="G8" s="49">
        <v>310</v>
      </c>
      <c r="H8" s="49">
        <v>310</v>
      </c>
      <c r="I8" s="49">
        <v>310</v>
      </c>
      <c r="K8" s="173">
        <v>5</v>
      </c>
      <c r="L8" s="174" t="s">
        <v>504</v>
      </c>
      <c r="M8" s="167">
        <v>0.75</v>
      </c>
      <c r="N8" s="179">
        <v>200</v>
      </c>
      <c r="O8" s="179">
        <v>400</v>
      </c>
      <c r="P8" s="180">
        <v>800</v>
      </c>
      <c r="Q8" s="174">
        <v>220</v>
      </c>
    </row>
    <row r="9" spans="1:17" ht="21.75" customHeight="1">
      <c r="A9" s="49" t="s">
        <v>530</v>
      </c>
      <c r="B9" s="49">
        <v>220</v>
      </c>
      <c r="C9" s="49">
        <v>220</v>
      </c>
      <c r="D9" s="49">
        <v>220</v>
      </c>
      <c r="E9" s="49">
        <v>220</v>
      </c>
      <c r="F9" s="49">
        <v>220</v>
      </c>
      <c r="G9" s="49">
        <v>220</v>
      </c>
      <c r="H9" s="49">
        <v>220</v>
      </c>
      <c r="I9" s="49">
        <v>0</v>
      </c>
      <c r="K9" s="175">
        <v>6</v>
      </c>
      <c r="L9" s="176" t="s">
        <v>505</v>
      </c>
      <c r="M9" s="168">
        <v>0.5</v>
      </c>
      <c r="N9" s="181">
        <v>1000</v>
      </c>
      <c r="O9" s="181">
        <v>300</v>
      </c>
      <c r="P9" s="182">
        <v>300</v>
      </c>
      <c r="Q9" s="176">
        <v>180</v>
      </c>
    </row>
    <row r="10" spans="1:17" ht="19.5" customHeight="1">
      <c r="A10" s="49" t="s">
        <v>531</v>
      </c>
      <c r="B10" s="49">
        <v>180</v>
      </c>
      <c r="C10" s="49">
        <v>180</v>
      </c>
      <c r="D10" s="49">
        <v>180</v>
      </c>
      <c r="E10" s="49">
        <v>180</v>
      </c>
      <c r="F10" s="49">
        <v>180</v>
      </c>
      <c r="G10" s="49">
        <v>180</v>
      </c>
      <c r="H10" s="49">
        <v>180</v>
      </c>
      <c r="I10" s="49">
        <v>180</v>
      </c>
      <c r="K10" s="175">
        <v>7</v>
      </c>
      <c r="L10" s="176" t="s">
        <v>505</v>
      </c>
      <c r="M10" s="168">
        <v>1</v>
      </c>
      <c r="N10" s="181">
        <v>750</v>
      </c>
      <c r="O10" s="181">
        <v>750</v>
      </c>
      <c r="P10" s="182">
        <v>300</v>
      </c>
      <c r="Q10" s="176">
        <v>410</v>
      </c>
    </row>
    <row r="11" spans="1:17" ht="21" customHeight="1">
      <c r="A11" s="49" t="s">
        <v>532</v>
      </c>
      <c r="B11" s="49">
        <v>410</v>
      </c>
      <c r="C11" s="49">
        <v>410</v>
      </c>
      <c r="D11" s="49">
        <v>410</v>
      </c>
      <c r="E11" s="49">
        <v>410</v>
      </c>
      <c r="F11" s="49">
        <v>410</v>
      </c>
      <c r="G11" s="49">
        <v>410</v>
      </c>
      <c r="H11" s="49">
        <v>0</v>
      </c>
      <c r="I11" s="49">
        <v>410</v>
      </c>
      <c r="K11" s="175">
        <v>8</v>
      </c>
      <c r="L11" s="176" t="s">
        <v>505</v>
      </c>
      <c r="M11" s="168">
        <v>1</v>
      </c>
      <c r="N11" s="181">
        <v>800</v>
      </c>
      <c r="O11" s="181">
        <v>700</v>
      </c>
      <c r="P11" s="182">
        <v>600</v>
      </c>
      <c r="Q11" s="176">
        <v>280</v>
      </c>
    </row>
    <row r="12" spans="1:17" ht="20.25" customHeight="1">
      <c r="A12" s="49" t="s">
        <v>533</v>
      </c>
      <c r="B12" s="49">
        <v>280</v>
      </c>
      <c r="C12" s="49">
        <v>280</v>
      </c>
      <c r="D12" s="49">
        <v>280</v>
      </c>
      <c r="E12" s="49">
        <v>280</v>
      </c>
      <c r="F12" s="49">
        <v>0</v>
      </c>
      <c r="G12" s="49">
        <v>280</v>
      </c>
      <c r="H12" s="49">
        <v>280</v>
      </c>
      <c r="I12" s="49">
        <v>0</v>
      </c>
      <c r="K12" s="175">
        <v>9</v>
      </c>
      <c r="L12" s="176" t="s">
        <v>505</v>
      </c>
      <c r="M12" s="168">
        <v>0.67</v>
      </c>
      <c r="N12" s="181">
        <v>400</v>
      </c>
      <c r="O12" s="181">
        <v>600</v>
      </c>
      <c r="P12" s="182">
        <v>800</v>
      </c>
      <c r="Q12" s="176">
        <v>380</v>
      </c>
    </row>
    <row r="13" spans="1:17" ht="23.25" customHeight="1">
      <c r="A13" s="49" t="s">
        <v>534</v>
      </c>
      <c r="B13" s="49">
        <v>380</v>
      </c>
      <c r="C13" s="49">
        <v>380</v>
      </c>
      <c r="D13" s="49">
        <v>380</v>
      </c>
      <c r="E13" s="49">
        <v>380</v>
      </c>
      <c r="F13" s="49">
        <v>0</v>
      </c>
      <c r="G13" s="49">
        <v>0</v>
      </c>
      <c r="H13" s="49">
        <v>0</v>
      </c>
      <c r="I13" s="49">
        <v>380</v>
      </c>
      <c r="K13" s="177">
        <v>10</v>
      </c>
      <c r="L13" s="178" t="s">
        <v>506</v>
      </c>
      <c r="M13" s="169">
        <v>1</v>
      </c>
      <c r="N13" s="183">
        <v>100</v>
      </c>
      <c r="O13" s="183">
        <v>200</v>
      </c>
      <c r="P13" s="184">
        <v>400</v>
      </c>
      <c r="Q13" s="178">
        <v>100</v>
      </c>
    </row>
    <row r="14" spans="1:17" ht="21" customHeight="1">
      <c r="A14" s="49" t="s">
        <v>535</v>
      </c>
      <c r="B14" s="49">
        <v>100</v>
      </c>
      <c r="C14" s="49">
        <v>100</v>
      </c>
      <c r="D14" s="49">
        <v>100</v>
      </c>
      <c r="E14" s="49">
        <v>100</v>
      </c>
      <c r="F14" s="49">
        <v>0</v>
      </c>
      <c r="G14" s="49">
        <v>100</v>
      </c>
      <c r="H14" s="49">
        <v>100</v>
      </c>
      <c r="I14" s="49">
        <v>100</v>
      </c>
      <c r="K14" s="177">
        <v>11</v>
      </c>
      <c r="L14" s="178" t="s">
        <v>506</v>
      </c>
      <c r="M14" s="169">
        <v>0.5</v>
      </c>
      <c r="N14" s="183">
        <v>700</v>
      </c>
      <c r="O14" s="183">
        <v>500</v>
      </c>
      <c r="P14" s="184">
        <v>300</v>
      </c>
      <c r="Q14" s="178">
        <v>260</v>
      </c>
    </row>
    <row r="15" spans="1:17" ht="23.25" customHeight="1">
      <c r="A15" s="49" t="s">
        <v>536</v>
      </c>
      <c r="B15" s="49">
        <v>260</v>
      </c>
      <c r="C15" s="49">
        <v>260</v>
      </c>
      <c r="D15" s="49">
        <v>260</v>
      </c>
      <c r="E15" s="49">
        <v>260</v>
      </c>
      <c r="F15" s="49">
        <v>260</v>
      </c>
      <c r="G15" s="49">
        <v>260</v>
      </c>
      <c r="H15" s="49">
        <v>0</v>
      </c>
      <c r="I15" s="49">
        <v>260</v>
      </c>
      <c r="K15" s="177">
        <v>12</v>
      </c>
      <c r="L15" s="178" t="s">
        <v>506</v>
      </c>
      <c r="M15" s="169">
        <v>1</v>
      </c>
      <c r="N15" s="183">
        <v>1500</v>
      </c>
      <c r="O15" s="183">
        <v>400</v>
      </c>
      <c r="P15" s="184">
        <v>400</v>
      </c>
      <c r="Q15" s="178">
        <v>340</v>
      </c>
    </row>
    <row r="16" spans="1:17" ht="26.25" customHeight="1">
      <c r="A16" s="49" t="s">
        <v>537</v>
      </c>
      <c r="B16" s="49">
        <v>0</v>
      </c>
      <c r="C16" s="49">
        <v>0</v>
      </c>
      <c r="D16" s="49">
        <v>0</v>
      </c>
      <c r="E16" s="49">
        <v>340</v>
      </c>
      <c r="F16" s="49">
        <v>340</v>
      </c>
      <c r="G16" s="49">
        <v>0</v>
      </c>
      <c r="H16" s="49">
        <v>340</v>
      </c>
      <c r="I16" s="49">
        <v>340</v>
      </c>
    </row>
    <row r="19" spans="4:20">
      <c r="D19" t="s">
        <v>195</v>
      </c>
    </row>
    <row r="20" spans="4:20">
      <c r="D20" t="s">
        <v>507</v>
      </c>
      <c r="E20" s="92">
        <f>SUMPRODUCT(B5:I16,I22:P33)</f>
        <v>2220</v>
      </c>
      <c r="I20" s="188" t="s">
        <v>518</v>
      </c>
      <c r="J20" s="187" t="s">
        <v>519</v>
      </c>
      <c r="K20" s="187" t="s">
        <v>520</v>
      </c>
      <c r="L20" s="187" t="s">
        <v>521</v>
      </c>
      <c r="M20" s="187" t="s">
        <v>522</v>
      </c>
      <c r="N20" s="187" t="s">
        <v>523</v>
      </c>
      <c r="O20" s="187" t="s">
        <v>524</v>
      </c>
      <c r="P20" s="187" t="s">
        <v>525</v>
      </c>
    </row>
    <row r="21" spans="4:20">
      <c r="I21" s="189"/>
      <c r="J21" s="187"/>
      <c r="K21" s="187"/>
      <c r="L21" s="187"/>
      <c r="M21" s="187"/>
      <c r="N21" s="187"/>
      <c r="O21" s="187"/>
      <c r="P21" s="187"/>
    </row>
    <row r="22" spans="4:20" ht="15.75">
      <c r="H22" s="49" t="s">
        <v>526</v>
      </c>
      <c r="I22" s="125">
        <v>0</v>
      </c>
      <c r="J22" s="125">
        <v>0</v>
      </c>
      <c r="K22" s="125">
        <v>0</v>
      </c>
      <c r="L22" s="125">
        <v>0</v>
      </c>
      <c r="M22" s="125">
        <v>0</v>
      </c>
      <c r="N22" s="125">
        <v>0</v>
      </c>
      <c r="O22" s="125">
        <v>0</v>
      </c>
      <c r="P22" s="125">
        <v>0</v>
      </c>
      <c r="Q22">
        <f>SUM(I22:P22)</f>
        <v>0</v>
      </c>
      <c r="R22" t="s">
        <v>298</v>
      </c>
      <c r="S22">
        <v>0</v>
      </c>
      <c r="T22" s="190"/>
    </row>
    <row r="23" spans="4:20" ht="15.75">
      <c r="H23" s="49" t="s">
        <v>527</v>
      </c>
      <c r="I23" s="125">
        <v>0</v>
      </c>
      <c r="J23" s="125">
        <v>0</v>
      </c>
      <c r="K23" s="125">
        <v>0</v>
      </c>
      <c r="L23" s="125">
        <v>0</v>
      </c>
      <c r="M23" s="125">
        <v>0</v>
      </c>
      <c r="N23" s="125">
        <v>1</v>
      </c>
      <c r="O23" s="125">
        <v>0</v>
      </c>
      <c r="P23" s="125">
        <v>0</v>
      </c>
      <c r="Q23">
        <f t="shared" ref="Q23:Q33" si="0">SUM(I23:P23)</f>
        <v>1</v>
      </c>
      <c r="R23" t="s">
        <v>298</v>
      </c>
      <c r="S23">
        <v>1</v>
      </c>
      <c r="T23" s="190"/>
    </row>
    <row r="24" spans="4:20" ht="15.75">
      <c r="H24" s="49" t="s">
        <v>528</v>
      </c>
      <c r="I24" s="125">
        <v>0</v>
      </c>
      <c r="J24" s="125">
        <v>0</v>
      </c>
      <c r="K24" s="125">
        <v>0</v>
      </c>
      <c r="L24" s="125">
        <v>0</v>
      </c>
      <c r="M24" s="125">
        <v>0</v>
      </c>
      <c r="N24" s="125">
        <v>0</v>
      </c>
      <c r="O24" s="125">
        <v>0</v>
      </c>
      <c r="P24" s="125">
        <v>0</v>
      </c>
      <c r="Q24">
        <f t="shared" si="0"/>
        <v>0</v>
      </c>
      <c r="R24" t="s">
        <v>298</v>
      </c>
      <c r="S24">
        <v>0</v>
      </c>
      <c r="T24" s="190"/>
    </row>
    <row r="25" spans="4:20" ht="15.75">
      <c r="H25" s="49" t="s">
        <v>529</v>
      </c>
      <c r="I25" s="125">
        <v>0</v>
      </c>
      <c r="J25" s="125">
        <v>0</v>
      </c>
      <c r="K25" s="125">
        <v>0</v>
      </c>
      <c r="L25" s="125">
        <v>0</v>
      </c>
      <c r="M25" s="125">
        <v>0</v>
      </c>
      <c r="N25" s="125">
        <v>0</v>
      </c>
      <c r="O25" s="125">
        <v>1</v>
      </c>
      <c r="P25" s="125">
        <v>0</v>
      </c>
      <c r="Q25">
        <f t="shared" si="0"/>
        <v>1</v>
      </c>
      <c r="R25" t="s">
        <v>298</v>
      </c>
      <c r="S25">
        <v>1</v>
      </c>
      <c r="T25" s="190"/>
    </row>
    <row r="26" spans="4:20" ht="15.75">
      <c r="H26" s="49" t="s">
        <v>530</v>
      </c>
      <c r="I26" s="125">
        <v>0</v>
      </c>
      <c r="J26" s="125">
        <v>0</v>
      </c>
      <c r="K26" s="125">
        <v>0</v>
      </c>
      <c r="L26" s="125">
        <v>0</v>
      </c>
      <c r="M26" s="125">
        <v>1</v>
      </c>
      <c r="N26" s="125">
        <v>0</v>
      </c>
      <c r="O26" s="125">
        <v>0</v>
      </c>
      <c r="P26" s="125">
        <v>0</v>
      </c>
      <c r="Q26">
        <f t="shared" si="0"/>
        <v>1</v>
      </c>
      <c r="R26" t="s">
        <v>298</v>
      </c>
      <c r="S26">
        <v>1</v>
      </c>
      <c r="T26" s="190"/>
    </row>
    <row r="27" spans="4:20" ht="15.75">
      <c r="H27" s="49" t="s">
        <v>531</v>
      </c>
      <c r="I27" s="125">
        <v>0</v>
      </c>
      <c r="J27" s="125">
        <v>0</v>
      </c>
      <c r="K27" s="125">
        <v>0</v>
      </c>
      <c r="L27" s="125">
        <v>1</v>
      </c>
      <c r="M27" s="125">
        <v>0</v>
      </c>
      <c r="N27" s="125">
        <v>0</v>
      </c>
      <c r="O27" s="125">
        <v>0</v>
      </c>
      <c r="P27" s="125">
        <v>0</v>
      </c>
      <c r="Q27">
        <f t="shared" si="0"/>
        <v>1</v>
      </c>
      <c r="R27" t="s">
        <v>298</v>
      </c>
      <c r="S27">
        <v>1</v>
      </c>
      <c r="T27" s="190"/>
    </row>
    <row r="28" spans="4:20" ht="15.75">
      <c r="H28" s="49" t="s">
        <v>532</v>
      </c>
      <c r="I28" s="125">
        <v>0</v>
      </c>
      <c r="J28" s="125">
        <v>0</v>
      </c>
      <c r="K28" s="125">
        <v>1</v>
      </c>
      <c r="L28" s="125">
        <v>0</v>
      </c>
      <c r="M28" s="125">
        <v>0</v>
      </c>
      <c r="N28" s="125">
        <v>0</v>
      </c>
      <c r="O28" s="125">
        <v>0</v>
      </c>
      <c r="P28" s="125">
        <v>0</v>
      </c>
      <c r="Q28">
        <f t="shared" si="0"/>
        <v>1</v>
      </c>
      <c r="R28" t="s">
        <v>298</v>
      </c>
      <c r="S28">
        <v>1</v>
      </c>
      <c r="T28" s="190"/>
    </row>
    <row r="29" spans="4:20" ht="15.75">
      <c r="H29" s="49" t="s">
        <v>533</v>
      </c>
      <c r="I29" s="125">
        <v>0</v>
      </c>
      <c r="J29" s="125">
        <v>1</v>
      </c>
      <c r="K29" s="125">
        <v>0</v>
      </c>
      <c r="L29" s="125">
        <v>0</v>
      </c>
      <c r="M29" s="125">
        <v>0</v>
      </c>
      <c r="N29" s="125">
        <v>0</v>
      </c>
      <c r="O29" s="125">
        <v>0</v>
      </c>
      <c r="P29" s="125">
        <v>0</v>
      </c>
      <c r="Q29">
        <f t="shared" si="0"/>
        <v>1</v>
      </c>
      <c r="R29" t="s">
        <v>298</v>
      </c>
      <c r="S29">
        <v>1</v>
      </c>
      <c r="T29" s="190"/>
    </row>
    <row r="30" spans="4:20" ht="15.75">
      <c r="H30" s="49" t="s">
        <v>534</v>
      </c>
      <c r="I30" s="125">
        <v>1</v>
      </c>
      <c r="J30" s="125">
        <v>0</v>
      </c>
      <c r="K30" s="125">
        <v>0</v>
      </c>
      <c r="L30" s="125">
        <v>0</v>
      </c>
      <c r="M30" s="125">
        <v>0</v>
      </c>
      <c r="N30" s="125">
        <v>0</v>
      </c>
      <c r="O30" s="125">
        <v>0</v>
      </c>
      <c r="P30" s="125">
        <v>0</v>
      </c>
      <c r="Q30">
        <f t="shared" si="0"/>
        <v>1</v>
      </c>
      <c r="R30" t="s">
        <v>298</v>
      </c>
      <c r="S30">
        <v>1</v>
      </c>
      <c r="T30" s="190"/>
    </row>
    <row r="31" spans="4:20" ht="15.75">
      <c r="H31" s="49" t="s">
        <v>535</v>
      </c>
      <c r="I31" s="125">
        <v>0</v>
      </c>
      <c r="J31" s="125">
        <v>0</v>
      </c>
      <c r="K31" s="125">
        <v>0</v>
      </c>
      <c r="L31" s="125">
        <v>0</v>
      </c>
      <c r="M31" s="125">
        <v>0</v>
      </c>
      <c r="N31" s="125">
        <v>0</v>
      </c>
      <c r="O31" s="125">
        <v>0</v>
      </c>
      <c r="P31" s="125">
        <v>0</v>
      </c>
      <c r="Q31">
        <f t="shared" si="0"/>
        <v>0</v>
      </c>
      <c r="R31" t="s">
        <v>298</v>
      </c>
      <c r="S31">
        <v>0</v>
      </c>
      <c r="T31" s="190"/>
    </row>
    <row r="32" spans="4:20" ht="15.75">
      <c r="H32" s="49" t="s">
        <v>536</v>
      </c>
      <c r="I32" s="125">
        <v>0</v>
      </c>
      <c r="J32" s="125">
        <v>0</v>
      </c>
      <c r="K32" s="125">
        <v>0</v>
      </c>
      <c r="L32" s="125">
        <v>0</v>
      </c>
      <c r="M32" s="125">
        <v>0</v>
      </c>
      <c r="N32" s="125">
        <v>0</v>
      </c>
      <c r="O32" s="125">
        <v>0</v>
      </c>
      <c r="P32" s="125">
        <v>1</v>
      </c>
      <c r="Q32">
        <f t="shared" si="0"/>
        <v>1</v>
      </c>
      <c r="R32" t="s">
        <v>298</v>
      </c>
      <c r="S32">
        <v>1</v>
      </c>
      <c r="T32" s="190"/>
    </row>
    <row r="33" spans="8:20" ht="15.75">
      <c r="H33" s="49" t="s">
        <v>537</v>
      </c>
      <c r="I33" s="125">
        <v>0</v>
      </c>
      <c r="J33" s="125">
        <v>0</v>
      </c>
      <c r="K33" s="125">
        <v>0</v>
      </c>
      <c r="L33" s="125">
        <v>0</v>
      </c>
      <c r="M33" s="125">
        <v>0</v>
      </c>
      <c r="N33" s="125">
        <v>0</v>
      </c>
      <c r="O33" s="125">
        <v>0</v>
      </c>
      <c r="P33" s="125">
        <v>0</v>
      </c>
      <c r="Q33">
        <f t="shared" si="0"/>
        <v>0</v>
      </c>
      <c r="R33" t="s">
        <v>298</v>
      </c>
      <c r="S33">
        <v>0</v>
      </c>
      <c r="T33" s="190"/>
    </row>
    <row r="34" spans="8:20">
      <c r="I34">
        <f>SUM(I22:I33)</f>
        <v>1</v>
      </c>
      <c r="J34">
        <f t="shared" ref="J34:P34" si="1">SUM(J22:J33)</f>
        <v>1</v>
      </c>
      <c r="K34">
        <f t="shared" si="1"/>
        <v>1</v>
      </c>
      <c r="L34">
        <f t="shared" si="1"/>
        <v>1</v>
      </c>
      <c r="M34">
        <f t="shared" si="1"/>
        <v>1</v>
      </c>
      <c r="N34">
        <f t="shared" si="1"/>
        <v>1</v>
      </c>
      <c r="O34">
        <f t="shared" si="1"/>
        <v>1</v>
      </c>
      <c r="P34">
        <f t="shared" si="1"/>
        <v>1</v>
      </c>
    </row>
    <row r="35" spans="8:20">
      <c r="I35" t="s">
        <v>298</v>
      </c>
      <c r="J35" t="s">
        <v>298</v>
      </c>
      <c r="K35" t="s">
        <v>298</v>
      </c>
      <c r="L35" t="s">
        <v>298</v>
      </c>
      <c r="M35" t="s">
        <v>298</v>
      </c>
      <c r="N35" t="s">
        <v>298</v>
      </c>
      <c r="O35" t="s">
        <v>298</v>
      </c>
      <c r="P35" t="s">
        <v>298</v>
      </c>
    </row>
    <row r="36" spans="8:20">
      <c r="I36">
        <v>1</v>
      </c>
      <c r="J36">
        <v>1</v>
      </c>
      <c r="K36">
        <v>1</v>
      </c>
      <c r="L36">
        <v>1</v>
      </c>
      <c r="M36">
        <v>1</v>
      </c>
      <c r="N36">
        <v>1</v>
      </c>
      <c r="O36">
        <v>1</v>
      </c>
      <c r="P36">
        <v>1</v>
      </c>
    </row>
  </sheetData>
  <mergeCells count="16">
    <mergeCell ref="M20:M21"/>
    <mergeCell ref="N20:N21"/>
    <mergeCell ref="O20:O21"/>
    <mergeCell ref="P20:P21"/>
    <mergeCell ref="I3:I4"/>
    <mergeCell ref="B3:B4"/>
    <mergeCell ref="I20:I21"/>
    <mergeCell ref="J20:J21"/>
    <mergeCell ref="K20:K21"/>
    <mergeCell ref="L20:L21"/>
    <mergeCell ref="C3:C4"/>
    <mergeCell ref="D3:D4"/>
    <mergeCell ref="E3:E4"/>
    <mergeCell ref="F3:F4"/>
    <mergeCell ref="G3:G4"/>
    <mergeCell ref="H3:H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Budget</vt:lpstr>
      <vt:lpstr>NCAA T- Shirt Vendor</vt:lpstr>
      <vt:lpstr>Woodworks BookShelf Co.</vt:lpstr>
      <vt:lpstr>Copiers</vt:lpstr>
      <vt:lpstr>Concert</vt:lpstr>
      <vt:lpstr>19th hole</vt:lpstr>
      <vt:lpstr>Quiz1</vt:lpstr>
      <vt:lpstr>NPV</vt:lpstr>
      <vt:lpstr>Quiz</vt:lpstr>
      <vt:lpstr>Sales</vt:lpstr>
      <vt:lpstr>Toy Shop</vt:lpstr>
      <vt:lpstr>Projects</vt:lpstr>
      <vt:lpstr>LP</vt:lpstr>
      <vt:lpstr>Task1</vt:lpstr>
      <vt:lpstr>PC</vt:lpstr>
      <vt:lpstr>Task2</vt:lpstr>
      <vt:lpstr>Investing</vt:lpstr>
      <vt:lpstr>Cattle</vt:lpstr>
      <vt:lpstr>Transport</vt:lpstr>
      <vt:lpstr>Task3</vt:lpstr>
      <vt:lpstr>Task4</vt:lpstr>
      <vt:lpstr>TP1</vt:lpstr>
      <vt:lpstr>Tp2</vt:lpstr>
      <vt:lpstr>Task5</vt:lpstr>
      <vt:lpstr>New Hire</vt:lpstr>
      <vt:lpstr>MLB</vt:lpstr>
      <vt:lpstr>Teachers</vt:lpstr>
      <vt:lpstr>Task6 Q1</vt:lpstr>
      <vt:lpstr>Task6 q2</vt:lpstr>
      <vt:lpstr>Ads</vt:lpstr>
      <vt:lpstr>Coffee</vt:lpstr>
      <vt:lpstr>Posters</vt:lpstr>
      <vt:lpstr>Oil</vt:lpstr>
      <vt:lpstr>Task7</vt:lpstr>
      <vt:lpstr>Funds</vt:lpstr>
      <vt:lpstr>cell</vt:lpstr>
      <vt:lpstr>Hotdog</vt:lpstr>
      <vt:lpstr>Mbook</vt:lpstr>
      <vt:lpstr>Burger</vt:lpstr>
      <vt:lpstr>pro</vt:lpstr>
      <vt:lpstr>Sheet12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2023-11-16T11:11:53Z</dcterms:modified>
</cp:coreProperties>
</file>